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IA-99\Desktop\1925\"/>
    </mc:Choice>
  </mc:AlternateContent>
  <xr:revisionPtr revIDLastSave="0" documentId="13_ncr:1_{DD08D67A-B332-4E02-81C7-836FD47A4C10}" xr6:coauthVersionLast="47" xr6:coauthVersionMax="47" xr10:uidLastSave="{00000000-0000-0000-0000-000000000000}"/>
  <bookViews>
    <workbookView xWindow="1260" yWindow="2190" windowWidth="22380" windowHeight="13230" xr2:uid="{00000000-000D-0000-FFFF-FFFF00000000}"/>
  </bookViews>
  <sheets>
    <sheet name="1925th" sheetId="2" r:id="rId1"/>
  </sheets>
  <definedNames>
    <definedName name="_xlnm._FilterDatabase" localSheetId="0" hidden="1">'1925th'!$A$1:$I$2322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22" i="2" l="1"/>
  <c r="E2321" i="2"/>
  <c r="E2320" i="2"/>
  <c r="E2319" i="2"/>
  <c r="E2318" i="2"/>
  <c r="E2317" i="2"/>
  <c r="E2316" i="2"/>
  <c r="E2315" i="2"/>
  <c r="E2314" i="2"/>
  <c r="E2313" i="2"/>
  <c r="E2312" i="2"/>
  <c r="E2311" i="2"/>
  <c r="E2310" i="2"/>
  <c r="E2309" i="2"/>
  <c r="E2308" i="2"/>
  <c r="E2307" i="2"/>
  <c r="E2306" i="2"/>
  <c r="E2305" i="2"/>
  <c r="E2304" i="2"/>
  <c r="E2303" i="2"/>
  <c r="E2302" i="2"/>
  <c r="E2301" i="2"/>
  <c r="E2300" i="2"/>
  <c r="E2299" i="2"/>
  <c r="E2298" i="2"/>
  <c r="E2297" i="2"/>
  <c r="E2296" i="2"/>
  <c r="E2295" i="2"/>
  <c r="E2294" i="2"/>
  <c r="E2293" i="2"/>
  <c r="E2292" i="2"/>
  <c r="E2291" i="2"/>
  <c r="E2290" i="2"/>
  <c r="E2289" i="2"/>
  <c r="E2288" i="2"/>
  <c r="E2287" i="2"/>
  <c r="E2286" i="2"/>
  <c r="E2285" i="2"/>
  <c r="E2284" i="2"/>
  <c r="E2283" i="2"/>
  <c r="E2282" i="2"/>
  <c r="E2281" i="2"/>
  <c r="E2280" i="2"/>
  <c r="E2279" i="2"/>
  <c r="E2278" i="2"/>
  <c r="E2277" i="2"/>
  <c r="E2276" i="2"/>
  <c r="E2275" i="2"/>
  <c r="E2274" i="2"/>
  <c r="E2273" i="2"/>
  <c r="E2272" i="2"/>
  <c r="E2271" i="2"/>
  <c r="E2270" i="2"/>
  <c r="E2269" i="2"/>
  <c r="E2268" i="2"/>
  <c r="E2267" i="2"/>
  <c r="E2266" i="2"/>
  <c r="E2265" i="2"/>
  <c r="E2264" i="2"/>
  <c r="E2263" i="2"/>
  <c r="E2262" i="2"/>
  <c r="E2261" i="2"/>
  <c r="E2260" i="2"/>
  <c r="E2259" i="2"/>
  <c r="E2258" i="2"/>
  <c r="E2257" i="2"/>
  <c r="E2256" i="2"/>
  <c r="E2255" i="2"/>
  <c r="E2254" i="2"/>
  <c r="E2253" i="2"/>
  <c r="E2252" i="2"/>
  <c r="E2251" i="2"/>
  <c r="E2250" i="2"/>
  <c r="E2249" i="2"/>
  <c r="E2248" i="2"/>
  <c r="E2247" i="2"/>
  <c r="E2246" i="2"/>
  <c r="E2245" i="2"/>
  <c r="E2244" i="2"/>
  <c r="E2243" i="2"/>
  <c r="E2242" i="2"/>
  <c r="E2241" i="2"/>
  <c r="E2240" i="2"/>
  <c r="E2239" i="2"/>
  <c r="E2238" i="2"/>
  <c r="E2237" i="2"/>
  <c r="E2236" i="2"/>
  <c r="E2235" i="2"/>
  <c r="E2234" i="2"/>
  <c r="E2233" i="2"/>
  <c r="E2232" i="2"/>
  <c r="E2231" i="2"/>
  <c r="E2230" i="2"/>
  <c r="E2229" i="2"/>
  <c r="E2228" i="2"/>
  <c r="E2227" i="2"/>
  <c r="E2226" i="2"/>
  <c r="E2225" i="2"/>
  <c r="E2224" i="2"/>
  <c r="E2223" i="2"/>
  <c r="E2222" i="2"/>
  <c r="E2221" i="2"/>
  <c r="E2220" i="2"/>
  <c r="E2219" i="2"/>
  <c r="E2218" i="2"/>
  <c r="E2217" i="2"/>
  <c r="E2216" i="2"/>
  <c r="E2215" i="2"/>
  <c r="E2214" i="2"/>
  <c r="E2213" i="2"/>
  <c r="E2212" i="2"/>
  <c r="E2211" i="2"/>
  <c r="E2210" i="2"/>
  <c r="E2209" i="2"/>
  <c r="E2208" i="2"/>
  <c r="E2207" i="2"/>
  <c r="E2206" i="2"/>
  <c r="E2205" i="2"/>
  <c r="E2204" i="2"/>
  <c r="E2203" i="2"/>
  <c r="E2202" i="2"/>
  <c r="E2201" i="2"/>
  <c r="E2200" i="2"/>
  <c r="E2199" i="2"/>
  <c r="E2198" i="2"/>
  <c r="E2197" i="2"/>
  <c r="E2196" i="2"/>
  <c r="E2195" i="2"/>
  <c r="E2194" i="2"/>
  <c r="E2193" i="2"/>
  <c r="E2192" i="2"/>
  <c r="E2191" i="2"/>
  <c r="E2190" i="2"/>
  <c r="E2189" i="2"/>
  <c r="E2188" i="2"/>
  <c r="E2187" i="2"/>
  <c r="E2186" i="2"/>
  <c r="E2185" i="2"/>
  <c r="E2184" i="2"/>
  <c r="E2183" i="2"/>
  <c r="E2182" i="2"/>
  <c r="E2181" i="2"/>
  <c r="E2180" i="2"/>
  <c r="E2179" i="2"/>
  <c r="E2178" i="2"/>
  <c r="E2177" i="2"/>
  <c r="E2176" i="2"/>
  <c r="E2175" i="2"/>
  <c r="E2174" i="2"/>
  <c r="E2173" i="2"/>
  <c r="E2172" i="2"/>
  <c r="E2171" i="2"/>
  <c r="E2170" i="2"/>
  <c r="E2169" i="2"/>
  <c r="E2168" i="2"/>
  <c r="E2167" i="2"/>
  <c r="E2166" i="2"/>
  <c r="E2165" i="2"/>
  <c r="E2164" i="2"/>
  <c r="E2163" i="2"/>
  <c r="E2162" i="2"/>
  <c r="E2161" i="2"/>
  <c r="E2160" i="2"/>
  <c r="E2159" i="2"/>
  <c r="E2158" i="2"/>
  <c r="E2157" i="2"/>
  <c r="E2156" i="2"/>
  <c r="E2155" i="2"/>
  <c r="E2154" i="2"/>
  <c r="E2153" i="2"/>
  <c r="E2152" i="2"/>
  <c r="E2151" i="2"/>
  <c r="E2150" i="2"/>
  <c r="E2149" i="2"/>
  <c r="E2148" i="2"/>
  <c r="E2147" i="2"/>
  <c r="E2146" i="2"/>
  <c r="E2145" i="2"/>
  <c r="E2144" i="2"/>
  <c r="E2143" i="2"/>
  <c r="E2142" i="2"/>
  <c r="E2141" i="2"/>
  <c r="E2140" i="2"/>
  <c r="E2139" i="2"/>
  <c r="E2138" i="2"/>
  <c r="E2137" i="2"/>
  <c r="E2136" i="2"/>
  <c r="E2135" i="2"/>
  <c r="E2134" i="2"/>
  <c r="E2133" i="2"/>
  <c r="E2132" i="2"/>
  <c r="E2131" i="2"/>
  <c r="E2130" i="2"/>
  <c r="E2129" i="2"/>
  <c r="E2128" i="2"/>
  <c r="E2127" i="2"/>
  <c r="E2126" i="2"/>
  <c r="E2125" i="2"/>
  <c r="E2124" i="2"/>
  <c r="E2123" i="2"/>
  <c r="E2122" i="2"/>
  <c r="E2121" i="2"/>
  <c r="E2120" i="2"/>
  <c r="E2119" i="2"/>
  <c r="E2118" i="2"/>
  <c r="E2117" i="2"/>
  <c r="E2116" i="2"/>
  <c r="E2115" i="2"/>
  <c r="E2114" i="2"/>
  <c r="E2113" i="2"/>
  <c r="E2112" i="2"/>
  <c r="E2111" i="2"/>
  <c r="E2110" i="2"/>
  <c r="E2109" i="2"/>
  <c r="E2108" i="2"/>
  <c r="E2107" i="2"/>
  <c r="E2106" i="2"/>
  <c r="E2105" i="2"/>
  <c r="E2104" i="2"/>
  <c r="E2103" i="2"/>
  <c r="E2102" i="2"/>
  <c r="E2101" i="2"/>
  <c r="E2100" i="2"/>
  <c r="E2099" i="2"/>
  <c r="E2098" i="2"/>
  <c r="E2097" i="2"/>
  <c r="E2096" i="2"/>
  <c r="E2095" i="2"/>
  <c r="E2094" i="2"/>
  <c r="E2093" i="2"/>
  <c r="E2092" i="2"/>
  <c r="E2091" i="2"/>
  <c r="E2090" i="2"/>
  <c r="E2089" i="2"/>
  <c r="E2088" i="2"/>
  <c r="E2087" i="2"/>
  <c r="E2086" i="2"/>
  <c r="E2085" i="2"/>
  <c r="E2084" i="2"/>
  <c r="E2083" i="2"/>
  <c r="E2082" i="2"/>
  <c r="E2081" i="2"/>
  <c r="E2080" i="2"/>
  <c r="E2079" i="2"/>
  <c r="E2078" i="2"/>
  <c r="E2077" i="2"/>
  <c r="E2076" i="2"/>
  <c r="E2075" i="2"/>
  <c r="E2074" i="2"/>
  <c r="E2073" i="2"/>
  <c r="E2072" i="2"/>
  <c r="E2071" i="2"/>
  <c r="E2070" i="2"/>
  <c r="E2069" i="2"/>
  <c r="E2068" i="2"/>
  <c r="E2067" i="2"/>
  <c r="E2066" i="2"/>
  <c r="E2065" i="2"/>
  <c r="E2064" i="2"/>
  <c r="E2063" i="2"/>
  <c r="E2062" i="2"/>
  <c r="E2061" i="2"/>
  <c r="E2060" i="2"/>
  <c r="E2059" i="2"/>
  <c r="E2058" i="2"/>
  <c r="E2057" i="2"/>
  <c r="E2056" i="2"/>
  <c r="E2055" i="2"/>
  <c r="E2054" i="2"/>
  <c r="E2053" i="2"/>
  <c r="E2052" i="2"/>
  <c r="E2051" i="2"/>
  <c r="E2050" i="2"/>
  <c r="E2049" i="2"/>
  <c r="E2048" i="2"/>
  <c r="E2047" i="2"/>
  <c r="E2046" i="2"/>
  <c r="E2045" i="2"/>
  <c r="E2044" i="2"/>
  <c r="E2043" i="2"/>
  <c r="E2042" i="2"/>
  <c r="E2041" i="2"/>
  <c r="E2040" i="2"/>
  <c r="E2039" i="2"/>
  <c r="E2038" i="2"/>
  <c r="E2037" i="2"/>
  <c r="E2036" i="2"/>
  <c r="E2035" i="2"/>
  <c r="E2034" i="2"/>
  <c r="E2033" i="2"/>
  <c r="E2032" i="2"/>
  <c r="E2031" i="2"/>
  <c r="E2030" i="2"/>
  <c r="E2029" i="2"/>
  <c r="E2028" i="2"/>
  <c r="E2027" i="2"/>
  <c r="E2026" i="2"/>
  <c r="E2025" i="2"/>
  <c r="E2024" i="2"/>
  <c r="E2023" i="2"/>
  <c r="E2022" i="2"/>
  <c r="E2021" i="2"/>
  <c r="E2020" i="2"/>
  <c r="E2019" i="2"/>
  <c r="E2018" i="2"/>
  <c r="E2017" i="2"/>
  <c r="E2016" i="2"/>
  <c r="E2015" i="2"/>
  <c r="E2014" i="2"/>
  <c r="E2013" i="2"/>
  <c r="E2012" i="2"/>
  <c r="E2011" i="2"/>
  <c r="E2010" i="2"/>
  <c r="E2009" i="2"/>
  <c r="E2008" i="2"/>
  <c r="E2007" i="2"/>
  <c r="E2006" i="2"/>
  <c r="E2005" i="2"/>
  <c r="E2004" i="2"/>
  <c r="E2003" i="2"/>
  <c r="E2002" i="2"/>
  <c r="E2001" i="2"/>
  <c r="E2000" i="2"/>
  <c r="E1999" i="2"/>
  <c r="E1998" i="2"/>
  <c r="E1997" i="2"/>
  <c r="E1996" i="2"/>
  <c r="E1995" i="2"/>
  <c r="E1994" i="2"/>
  <c r="E1993" i="2"/>
  <c r="E1992" i="2"/>
  <c r="E1991" i="2"/>
  <c r="E1990" i="2"/>
  <c r="E1989" i="2"/>
  <c r="E1988" i="2"/>
  <c r="E1987" i="2"/>
  <c r="E1986" i="2"/>
  <c r="E1985" i="2"/>
  <c r="E1984" i="2"/>
  <c r="E1983" i="2"/>
  <c r="E1982" i="2"/>
  <c r="E1981" i="2"/>
  <c r="E1980" i="2"/>
  <c r="E1979" i="2"/>
  <c r="E1978" i="2"/>
  <c r="E1977" i="2"/>
  <c r="E1976" i="2"/>
  <c r="E1975" i="2"/>
  <c r="E1974" i="2"/>
  <c r="E1973" i="2"/>
  <c r="E1972" i="2"/>
  <c r="E1971" i="2"/>
  <c r="E1970" i="2"/>
  <c r="E1969" i="2"/>
  <c r="E1968" i="2"/>
  <c r="E1967" i="2"/>
  <c r="E1966" i="2"/>
  <c r="E1965" i="2"/>
  <c r="E1964" i="2"/>
  <c r="E1963" i="2"/>
  <c r="E1962" i="2"/>
  <c r="E1961" i="2"/>
  <c r="E1960" i="2"/>
  <c r="E1959" i="2"/>
  <c r="E1958" i="2"/>
  <c r="E1957" i="2"/>
  <c r="E1956" i="2"/>
  <c r="E1955" i="2"/>
  <c r="E1954" i="2"/>
  <c r="E1953" i="2"/>
  <c r="E1952" i="2"/>
  <c r="E1951" i="2"/>
  <c r="E1950" i="2"/>
  <c r="E1949" i="2"/>
  <c r="E1948" i="2"/>
  <c r="E1947" i="2"/>
  <c r="E1946" i="2"/>
  <c r="E1945" i="2"/>
  <c r="E1944" i="2"/>
  <c r="E1943" i="2"/>
  <c r="E1942" i="2"/>
  <c r="E1941" i="2"/>
  <c r="E1940" i="2"/>
  <c r="E1939" i="2"/>
  <c r="E1938" i="2"/>
  <c r="E1937" i="2"/>
  <c r="E1936" i="2"/>
  <c r="E1935" i="2"/>
  <c r="E1934" i="2"/>
  <c r="E1933" i="2"/>
  <c r="E1932" i="2"/>
  <c r="E1931" i="2"/>
  <c r="E1930" i="2"/>
  <c r="E1929" i="2"/>
  <c r="E1928" i="2"/>
  <c r="E1927" i="2"/>
  <c r="E1926" i="2"/>
  <c r="E1925" i="2"/>
  <c r="E1924" i="2"/>
  <c r="E1923" i="2"/>
  <c r="E1922" i="2"/>
  <c r="E1921" i="2"/>
  <c r="E1920" i="2"/>
  <c r="E1919" i="2"/>
  <c r="E1918" i="2"/>
  <c r="E1917" i="2"/>
  <c r="E1916" i="2"/>
  <c r="E1915" i="2"/>
  <c r="E1914" i="2"/>
  <c r="E1913" i="2"/>
  <c r="E1912" i="2"/>
  <c r="E1911" i="2"/>
  <c r="E1910" i="2"/>
  <c r="E1909" i="2"/>
  <c r="E1908" i="2"/>
  <c r="E1907" i="2"/>
  <c r="E1906" i="2"/>
  <c r="E1905" i="2"/>
  <c r="E1904" i="2"/>
  <c r="E1903" i="2"/>
  <c r="E1902" i="2"/>
  <c r="E1901" i="2"/>
  <c r="E1900" i="2"/>
  <c r="E1899" i="2"/>
  <c r="E1898" i="2"/>
  <c r="E1897" i="2"/>
  <c r="E1896" i="2"/>
  <c r="E1895" i="2"/>
  <c r="E1894" i="2"/>
  <c r="E1893" i="2"/>
  <c r="E1892" i="2"/>
  <c r="E1891" i="2"/>
  <c r="E1890" i="2"/>
  <c r="E1889" i="2"/>
  <c r="E1888" i="2"/>
  <c r="E1887" i="2"/>
  <c r="E1886" i="2"/>
  <c r="E1885" i="2"/>
  <c r="E1884" i="2"/>
  <c r="E1883" i="2"/>
  <c r="E1882" i="2"/>
  <c r="E1881" i="2"/>
  <c r="E1880" i="2"/>
  <c r="E1879" i="2"/>
  <c r="E1878" i="2"/>
  <c r="E1877" i="2"/>
  <c r="E1876" i="2"/>
  <c r="E1875" i="2"/>
  <c r="E1874" i="2"/>
  <c r="E1873" i="2"/>
  <c r="E1872" i="2"/>
  <c r="E1871" i="2"/>
  <c r="E1870" i="2"/>
  <c r="E1869" i="2"/>
  <c r="E1868" i="2"/>
  <c r="E1867" i="2"/>
  <c r="E1866" i="2"/>
  <c r="E1865" i="2"/>
  <c r="E1864" i="2"/>
  <c r="E1863" i="2"/>
  <c r="E1862" i="2"/>
  <c r="E1861" i="2"/>
  <c r="E1860" i="2"/>
  <c r="E1859" i="2"/>
  <c r="E1858" i="2"/>
  <c r="E1857" i="2"/>
  <c r="E1856" i="2"/>
  <c r="E1855" i="2"/>
  <c r="E1854" i="2"/>
  <c r="E1853" i="2"/>
  <c r="E1852" i="2"/>
  <c r="E1851" i="2"/>
  <c r="E1850" i="2"/>
  <c r="E1849" i="2"/>
  <c r="E1848" i="2"/>
  <c r="E1847" i="2"/>
  <c r="E1846" i="2"/>
  <c r="E1845" i="2"/>
  <c r="E1844" i="2"/>
  <c r="E1843" i="2"/>
  <c r="E1842" i="2"/>
  <c r="E1841" i="2"/>
  <c r="E1840" i="2"/>
  <c r="E1839" i="2"/>
  <c r="E1838" i="2"/>
  <c r="E1837" i="2"/>
  <c r="E1836" i="2"/>
  <c r="E1835" i="2"/>
  <c r="E1834" i="2"/>
  <c r="E1833" i="2"/>
  <c r="E1832" i="2"/>
  <c r="E1831" i="2"/>
  <c r="E1830" i="2"/>
  <c r="E1829" i="2"/>
  <c r="E1828" i="2"/>
  <c r="E1827" i="2"/>
  <c r="E1826" i="2"/>
  <c r="E1825" i="2"/>
  <c r="E1824" i="2"/>
  <c r="E1823" i="2"/>
  <c r="E1822" i="2"/>
  <c r="E1821" i="2"/>
  <c r="E1820" i="2"/>
  <c r="E1819" i="2"/>
  <c r="E1818" i="2"/>
  <c r="E1817" i="2"/>
  <c r="E1816" i="2"/>
  <c r="E1815" i="2"/>
  <c r="E1814" i="2"/>
  <c r="E1813" i="2"/>
  <c r="E1812" i="2"/>
  <c r="E1811" i="2"/>
  <c r="E1810" i="2"/>
  <c r="E1809" i="2"/>
  <c r="E1808" i="2"/>
  <c r="E1807" i="2"/>
  <c r="E1806" i="2"/>
  <c r="E1805" i="2"/>
  <c r="E1804" i="2"/>
  <c r="E1803" i="2"/>
  <c r="E1802" i="2"/>
  <c r="E1801" i="2"/>
  <c r="E1800" i="2"/>
  <c r="E1799" i="2"/>
  <c r="E1798" i="2"/>
  <c r="E1797" i="2"/>
  <c r="E1796" i="2"/>
  <c r="E1795" i="2"/>
  <c r="E1794" i="2"/>
  <c r="E1793" i="2"/>
  <c r="E1792" i="2"/>
  <c r="E1791" i="2"/>
  <c r="E1790" i="2"/>
  <c r="E1789" i="2"/>
  <c r="E1788" i="2"/>
  <c r="E1787" i="2"/>
  <c r="E1786" i="2"/>
  <c r="E1785" i="2"/>
  <c r="E1784" i="2"/>
  <c r="E1783" i="2"/>
  <c r="E1782" i="2"/>
  <c r="E1781" i="2"/>
  <c r="E1780" i="2"/>
  <c r="E1779" i="2"/>
  <c r="E1778" i="2"/>
  <c r="E1777" i="2"/>
  <c r="E1776" i="2"/>
  <c r="E1775" i="2"/>
  <c r="E1774" i="2"/>
  <c r="E1773" i="2"/>
  <c r="E1772" i="2"/>
  <c r="E1771" i="2"/>
  <c r="E1770" i="2"/>
  <c r="E1769" i="2"/>
  <c r="E1768" i="2"/>
  <c r="E1767" i="2"/>
  <c r="E1766" i="2"/>
  <c r="E1765" i="2"/>
  <c r="E1764" i="2"/>
  <c r="E1763" i="2"/>
  <c r="E1762" i="2"/>
  <c r="E1761" i="2"/>
  <c r="E1760" i="2"/>
  <c r="E1759" i="2"/>
  <c r="E1758" i="2"/>
  <c r="E1757" i="2"/>
  <c r="E1756" i="2"/>
  <c r="E1755" i="2"/>
  <c r="E1754" i="2"/>
  <c r="E1753" i="2"/>
  <c r="E1752" i="2"/>
  <c r="E1751" i="2"/>
  <c r="E1750" i="2"/>
  <c r="E1749" i="2"/>
  <c r="E1748" i="2"/>
  <c r="E1747" i="2"/>
  <c r="E1746" i="2"/>
  <c r="E1745" i="2"/>
  <c r="E1744" i="2"/>
  <c r="E1743" i="2"/>
  <c r="E1742" i="2"/>
  <c r="E1741" i="2"/>
  <c r="E1740" i="2"/>
  <c r="E1739" i="2"/>
  <c r="E1738" i="2"/>
  <c r="E1737" i="2"/>
  <c r="E1736" i="2"/>
  <c r="E1735" i="2"/>
  <c r="E1734" i="2"/>
  <c r="E1733" i="2"/>
  <c r="E1732" i="2"/>
  <c r="E1731" i="2"/>
  <c r="E1730" i="2"/>
  <c r="E1729" i="2"/>
  <c r="E1728" i="2"/>
  <c r="E1727" i="2"/>
  <c r="E1726" i="2"/>
  <c r="E1725" i="2"/>
  <c r="E1724" i="2"/>
  <c r="E1723" i="2"/>
  <c r="E1722" i="2"/>
  <c r="E1721" i="2"/>
  <c r="E1720" i="2"/>
  <c r="E1719" i="2"/>
  <c r="E1718" i="2"/>
  <c r="E1717" i="2"/>
  <c r="E1716" i="2"/>
  <c r="E1715" i="2"/>
  <c r="E1714" i="2"/>
  <c r="E1713" i="2"/>
  <c r="E1712" i="2"/>
  <c r="E1711" i="2"/>
  <c r="E1710" i="2"/>
  <c r="E1709" i="2"/>
  <c r="E1708" i="2"/>
  <c r="E1707" i="2"/>
  <c r="E1706" i="2"/>
  <c r="E1705" i="2"/>
  <c r="E1704" i="2"/>
  <c r="E1703" i="2"/>
  <c r="E1702" i="2"/>
  <c r="E1701" i="2"/>
  <c r="E1700" i="2"/>
  <c r="E1699" i="2"/>
  <c r="E1698" i="2"/>
  <c r="E1697" i="2"/>
  <c r="E1696" i="2"/>
  <c r="E1695" i="2"/>
  <c r="E1694" i="2"/>
  <c r="E1693" i="2"/>
  <c r="E1692" i="2"/>
  <c r="E1691" i="2"/>
  <c r="E1690" i="2"/>
  <c r="E1689" i="2"/>
  <c r="E1688" i="2"/>
  <c r="E1687" i="2"/>
  <c r="E1686" i="2"/>
  <c r="E1685" i="2"/>
  <c r="E1684" i="2"/>
  <c r="E1683" i="2"/>
  <c r="E1682" i="2"/>
  <c r="E1681" i="2"/>
  <c r="E1680" i="2"/>
  <c r="E1679" i="2"/>
  <c r="E1678" i="2"/>
  <c r="E1677" i="2"/>
  <c r="E1676" i="2"/>
  <c r="E1675" i="2"/>
  <c r="E1674" i="2"/>
  <c r="E1673" i="2"/>
  <c r="E1672" i="2"/>
  <c r="E1671" i="2"/>
  <c r="E1670" i="2"/>
  <c r="E1669" i="2"/>
  <c r="E1668" i="2"/>
  <c r="E1667" i="2"/>
  <c r="E1666" i="2"/>
  <c r="E1665" i="2"/>
  <c r="E1664" i="2"/>
  <c r="E1663" i="2"/>
  <c r="E1662" i="2"/>
  <c r="E1661" i="2"/>
  <c r="E1660" i="2"/>
  <c r="E1659" i="2"/>
  <c r="E1658" i="2"/>
  <c r="E1657" i="2"/>
  <c r="E1656" i="2"/>
  <c r="E1655" i="2"/>
  <c r="E1654" i="2"/>
  <c r="E1653" i="2"/>
  <c r="E1652" i="2"/>
  <c r="E1651" i="2"/>
  <c r="E1650" i="2"/>
  <c r="E1649" i="2"/>
  <c r="E1648" i="2"/>
  <c r="E1647" i="2"/>
  <c r="E1646" i="2"/>
  <c r="E1645" i="2"/>
  <c r="E1644" i="2"/>
  <c r="E1643" i="2"/>
  <c r="E1642" i="2"/>
  <c r="E1641" i="2"/>
  <c r="E1640" i="2"/>
  <c r="E1639" i="2"/>
  <c r="E1638" i="2"/>
  <c r="E1637" i="2"/>
  <c r="E1636" i="2"/>
  <c r="E1635" i="2"/>
  <c r="E1634" i="2"/>
  <c r="E1633" i="2"/>
  <c r="E1632" i="2"/>
  <c r="E1631" i="2"/>
  <c r="E1630" i="2"/>
  <c r="E1629" i="2"/>
  <c r="E1628" i="2"/>
  <c r="E1627" i="2"/>
  <c r="E1626" i="2"/>
  <c r="E1625" i="2"/>
  <c r="E1624" i="2"/>
  <c r="E1623" i="2"/>
  <c r="E1622" i="2"/>
  <c r="E1621" i="2"/>
  <c r="E1620" i="2"/>
  <c r="E1619" i="2"/>
  <c r="E1618" i="2"/>
  <c r="E1617" i="2"/>
  <c r="E1616" i="2"/>
  <c r="E1615" i="2"/>
  <c r="E1614" i="2"/>
  <c r="E1613" i="2"/>
  <c r="E1612" i="2"/>
  <c r="E1611" i="2"/>
  <c r="E1610" i="2"/>
  <c r="E1609" i="2"/>
  <c r="E1608" i="2"/>
  <c r="E1607" i="2"/>
  <c r="E1606" i="2"/>
  <c r="E1605" i="2"/>
  <c r="E1604" i="2"/>
  <c r="E1603" i="2"/>
  <c r="E1602" i="2"/>
  <c r="E1601" i="2"/>
  <c r="E1600" i="2"/>
  <c r="E1599" i="2"/>
  <c r="E1598" i="2"/>
  <c r="E1597" i="2"/>
  <c r="E1596" i="2"/>
  <c r="E1595" i="2"/>
  <c r="E1594" i="2"/>
  <c r="E1593" i="2"/>
  <c r="E1592" i="2"/>
  <c r="E1591" i="2"/>
  <c r="E1590" i="2"/>
  <c r="E1589" i="2"/>
  <c r="E1588" i="2"/>
  <c r="E1587" i="2"/>
  <c r="E1586" i="2"/>
  <c r="E1585" i="2"/>
  <c r="E1584" i="2"/>
  <c r="E1583" i="2"/>
  <c r="E1582" i="2"/>
  <c r="E1581" i="2"/>
  <c r="E1580" i="2"/>
  <c r="E1579" i="2"/>
  <c r="E1578" i="2"/>
  <c r="E1577" i="2"/>
  <c r="E1576" i="2"/>
  <c r="E1575" i="2"/>
  <c r="E1574" i="2"/>
  <c r="E1573" i="2"/>
  <c r="E1572" i="2"/>
  <c r="E1571" i="2"/>
  <c r="E1570" i="2"/>
  <c r="E1569" i="2"/>
  <c r="E1568" i="2"/>
  <c r="E1567" i="2"/>
  <c r="E1566" i="2"/>
  <c r="E1565" i="2"/>
  <c r="E1564" i="2"/>
  <c r="E1563" i="2"/>
  <c r="E1562" i="2"/>
  <c r="E1561" i="2"/>
  <c r="E1560" i="2"/>
  <c r="E1559" i="2"/>
  <c r="E1558" i="2"/>
  <c r="E1557" i="2"/>
  <c r="E1556" i="2"/>
  <c r="E1555" i="2"/>
  <c r="E1554" i="2"/>
  <c r="E1553" i="2"/>
  <c r="E1552" i="2"/>
  <c r="E1551" i="2"/>
  <c r="E1550" i="2"/>
  <c r="E1549" i="2"/>
  <c r="E1548" i="2"/>
  <c r="E1547" i="2"/>
  <c r="E1546" i="2"/>
  <c r="E1545" i="2"/>
  <c r="E1544" i="2"/>
  <c r="E1543" i="2"/>
  <c r="E1542" i="2"/>
  <c r="E1541" i="2"/>
  <c r="E1540" i="2"/>
  <c r="E1539" i="2"/>
  <c r="E1538" i="2"/>
  <c r="E1537" i="2"/>
  <c r="E1536" i="2"/>
  <c r="E1535" i="2"/>
  <c r="E1534" i="2"/>
  <c r="E1533" i="2"/>
  <c r="E1532" i="2"/>
  <c r="E1531" i="2"/>
  <c r="E1530" i="2"/>
  <c r="E1529" i="2"/>
  <c r="E1528" i="2"/>
  <c r="E1527" i="2"/>
  <c r="E1526" i="2"/>
  <c r="E1525" i="2"/>
  <c r="E1524" i="2"/>
  <c r="E1523" i="2"/>
  <c r="E1522" i="2"/>
  <c r="E1521" i="2"/>
  <c r="E1520" i="2"/>
  <c r="E1519" i="2"/>
  <c r="E1518" i="2"/>
  <c r="E1517" i="2"/>
  <c r="E1516" i="2"/>
  <c r="E1515" i="2"/>
  <c r="E1514" i="2"/>
  <c r="E1513" i="2"/>
  <c r="E1512" i="2"/>
  <c r="E1511" i="2"/>
  <c r="E1510" i="2"/>
  <c r="E1509" i="2"/>
  <c r="E1508" i="2"/>
  <c r="E1507" i="2"/>
  <c r="E1506" i="2"/>
  <c r="E1505" i="2"/>
  <c r="E1504" i="2"/>
  <c r="E1503" i="2"/>
  <c r="E1502" i="2"/>
  <c r="E1501" i="2"/>
  <c r="E1500" i="2"/>
  <c r="E1499" i="2"/>
  <c r="E1498" i="2"/>
  <c r="E1497" i="2"/>
  <c r="E1496" i="2"/>
  <c r="E1495" i="2"/>
  <c r="E1494" i="2"/>
  <c r="E1493" i="2"/>
  <c r="E1492" i="2"/>
  <c r="E1491" i="2"/>
  <c r="E1490" i="2"/>
  <c r="E1489" i="2"/>
  <c r="E1488" i="2"/>
  <c r="E1487" i="2"/>
  <c r="E1486" i="2"/>
  <c r="E1485" i="2"/>
  <c r="E1484" i="2"/>
  <c r="E1483" i="2"/>
  <c r="E1482" i="2"/>
  <c r="E1481" i="2"/>
  <c r="E1480" i="2"/>
  <c r="E1479" i="2"/>
  <c r="E1478" i="2"/>
  <c r="E1477" i="2"/>
  <c r="E1476" i="2"/>
  <c r="E1475" i="2"/>
  <c r="E1474" i="2"/>
  <c r="E1473" i="2"/>
  <c r="E1472" i="2"/>
  <c r="E1471" i="2"/>
  <c r="E1470" i="2"/>
  <c r="E1469" i="2"/>
  <c r="E1468" i="2"/>
  <c r="E1467" i="2"/>
  <c r="E1466" i="2"/>
  <c r="E1465" i="2"/>
  <c r="E1464" i="2"/>
  <c r="E1463" i="2"/>
  <c r="E1462" i="2"/>
  <c r="E1461" i="2"/>
  <c r="E1460" i="2"/>
  <c r="E1459" i="2"/>
  <c r="E1458" i="2"/>
  <c r="E1457" i="2"/>
  <c r="E1456" i="2"/>
  <c r="E1455" i="2"/>
  <c r="E1454" i="2"/>
  <c r="E1453" i="2"/>
  <c r="E1452" i="2"/>
  <c r="E1451" i="2"/>
  <c r="E1450" i="2"/>
  <c r="E1449" i="2"/>
  <c r="E1448" i="2"/>
  <c r="E1447" i="2"/>
  <c r="E1446" i="2"/>
  <c r="E1445" i="2"/>
  <c r="E1444" i="2"/>
  <c r="E1443" i="2"/>
  <c r="E1442" i="2"/>
  <c r="E1441" i="2"/>
  <c r="E1440" i="2"/>
  <c r="E1439" i="2"/>
  <c r="E1438" i="2"/>
  <c r="E1437" i="2"/>
  <c r="E1436" i="2"/>
  <c r="E1435" i="2"/>
  <c r="E1434" i="2"/>
  <c r="E1433" i="2"/>
  <c r="E1432" i="2"/>
  <c r="E1431" i="2"/>
  <c r="E1430" i="2"/>
  <c r="E1429" i="2"/>
  <c r="E1428" i="2"/>
  <c r="E1427" i="2"/>
  <c r="E1426" i="2"/>
  <c r="E1425" i="2"/>
  <c r="E1424" i="2"/>
  <c r="E1423" i="2"/>
  <c r="E1422" i="2"/>
  <c r="E1421" i="2"/>
  <c r="E1420" i="2"/>
  <c r="E1419" i="2"/>
  <c r="E1418" i="2"/>
  <c r="E1417" i="2"/>
  <c r="E1416" i="2"/>
  <c r="E1415" i="2"/>
  <c r="E1414" i="2"/>
  <c r="E1413" i="2"/>
  <c r="E1412" i="2"/>
  <c r="E1411" i="2"/>
  <c r="E1410" i="2"/>
  <c r="E1409" i="2"/>
  <c r="E1408" i="2"/>
  <c r="E1407" i="2"/>
  <c r="E1406" i="2"/>
  <c r="E1405" i="2"/>
  <c r="E1404" i="2"/>
  <c r="E1403" i="2"/>
  <c r="E1402" i="2"/>
  <c r="E1401" i="2"/>
  <c r="E1400" i="2"/>
  <c r="E1399" i="2"/>
  <c r="E1398" i="2"/>
  <c r="E1397" i="2"/>
  <c r="E1396" i="2"/>
  <c r="E1395" i="2"/>
  <c r="E1394" i="2"/>
  <c r="E1393" i="2"/>
  <c r="E1392" i="2"/>
  <c r="E1391" i="2"/>
  <c r="E1390" i="2"/>
  <c r="E1389" i="2"/>
  <c r="E1388" i="2"/>
  <c r="E1387" i="2"/>
  <c r="E1386" i="2"/>
  <c r="E1385" i="2"/>
  <c r="E1384" i="2"/>
  <c r="E1383" i="2"/>
  <c r="E1382" i="2"/>
  <c r="E1381" i="2"/>
  <c r="E1380" i="2"/>
  <c r="E1379" i="2"/>
  <c r="E1378" i="2"/>
  <c r="E1377" i="2"/>
  <c r="E1376" i="2"/>
  <c r="E1375" i="2"/>
  <c r="E1374" i="2"/>
  <c r="E1373" i="2"/>
  <c r="E1372" i="2"/>
  <c r="E1371" i="2"/>
  <c r="E1370" i="2"/>
  <c r="E1369" i="2"/>
  <c r="E1368" i="2"/>
  <c r="E1367" i="2"/>
  <c r="E1366" i="2"/>
  <c r="E1365" i="2"/>
  <c r="E1364" i="2"/>
  <c r="E1363" i="2"/>
  <c r="E1362" i="2"/>
  <c r="E1361" i="2"/>
  <c r="E1360" i="2"/>
  <c r="E1359" i="2"/>
  <c r="E1358" i="2"/>
  <c r="E1357" i="2"/>
  <c r="E1356" i="2"/>
  <c r="E1355" i="2"/>
  <c r="E1354" i="2"/>
  <c r="E1353" i="2"/>
  <c r="E1352" i="2"/>
  <c r="E1351" i="2"/>
  <c r="E1350" i="2"/>
  <c r="E1349" i="2"/>
  <c r="E1348" i="2"/>
  <c r="E1347" i="2"/>
  <c r="E1346" i="2"/>
  <c r="E1345" i="2"/>
  <c r="E1344" i="2"/>
  <c r="E1343" i="2"/>
  <c r="E1342" i="2"/>
  <c r="E1341" i="2"/>
  <c r="E1340" i="2"/>
  <c r="E1339" i="2"/>
  <c r="E1338" i="2"/>
  <c r="E1337" i="2"/>
  <c r="E1336" i="2"/>
  <c r="E1335" i="2"/>
  <c r="E1334" i="2"/>
  <c r="E1333" i="2"/>
  <c r="E1332" i="2"/>
  <c r="E1331" i="2"/>
  <c r="E1330" i="2"/>
  <c r="E1329" i="2"/>
  <c r="E1328" i="2"/>
  <c r="E1327" i="2"/>
  <c r="E1326" i="2"/>
  <c r="E1325" i="2"/>
  <c r="E1324" i="2"/>
  <c r="E1323" i="2"/>
  <c r="E1322" i="2"/>
  <c r="E1321" i="2"/>
  <c r="E1320" i="2"/>
  <c r="E1319" i="2"/>
  <c r="E1318" i="2"/>
  <c r="E1317" i="2"/>
  <c r="E1316" i="2"/>
  <c r="E1315" i="2"/>
  <c r="E1314" i="2"/>
  <c r="E1313" i="2"/>
  <c r="E1312" i="2"/>
  <c r="E1311" i="2"/>
  <c r="E1310" i="2"/>
  <c r="E1309" i="2"/>
  <c r="E1308" i="2"/>
  <c r="E1307" i="2"/>
  <c r="E1306" i="2"/>
  <c r="E1305" i="2"/>
  <c r="E1304" i="2"/>
  <c r="E1303" i="2"/>
  <c r="E1302" i="2"/>
  <c r="E1301" i="2"/>
  <c r="E1300" i="2"/>
  <c r="E1299" i="2"/>
  <c r="E1298" i="2"/>
  <c r="E1297" i="2"/>
  <c r="E1296" i="2"/>
  <c r="E1295" i="2"/>
  <c r="E1294" i="2"/>
  <c r="E1293" i="2"/>
  <c r="E1292" i="2"/>
  <c r="E1291" i="2"/>
  <c r="E1290" i="2"/>
  <c r="E1289" i="2"/>
  <c r="E1288" i="2"/>
  <c r="E1287" i="2"/>
  <c r="E1286" i="2"/>
  <c r="E1285" i="2"/>
  <c r="E1284" i="2"/>
  <c r="E1283" i="2"/>
  <c r="E1282" i="2"/>
  <c r="E1281" i="2"/>
  <c r="E1280" i="2"/>
  <c r="E1279" i="2"/>
  <c r="E1278" i="2"/>
  <c r="E1277" i="2"/>
  <c r="E1276" i="2"/>
  <c r="E1275" i="2"/>
  <c r="E1274" i="2"/>
  <c r="E1273" i="2"/>
  <c r="E1272" i="2"/>
  <c r="E1271" i="2"/>
  <c r="E1270" i="2"/>
  <c r="E1269" i="2"/>
  <c r="E1268" i="2"/>
  <c r="E1267" i="2"/>
  <c r="E1266" i="2"/>
  <c r="E1265" i="2"/>
  <c r="E1264" i="2"/>
  <c r="E1263" i="2"/>
  <c r="E1262" i="2"/>
  <c r="E1261" i="2"/>
  <c r="E1260" i="2"/>
  <c r="E1259" i="2"/>
  <c r="E1258" i="2"/>
  <c r="E1257" i="2"/>
  <c r="E1256" i="2"/>
  <c r="E1255" i="2"/>
  <c r="E1254" i="2"/>
  <c r="E1253" i="2"/>
  <c r="E1252" i="2"/>
  <c r="E1251" i="2"/>
  <c r="E1250" i="2"/>
  <c r="E1249" i="2"/>
  <c r="E1248" i="2"/>
  <c r="E1247" i="2"/>
  <c r="E1246" i="2"/>
  <c r="E1245" i="2"/>
  <c r="E1244" i="2"/>
  <c r="E1243" i="2"/>
  <c r="E1242" i="2"/>
  <c r="E1241" i="2"/>
  <c r="E1240" i="2"/>
  <c r="E1239" i="2"/>
  <c r="E1238" i="2"/>
  <c r="E1237" i="2"/>
  <c r="E1236" i="2"/>
  <c r="E1235" i="2"/>
  <c r="E1234" i="2"/>
  <c r="E1233" i="2"/>
  <c r="E1232" i="2"/>
  <c r="E1231" i="2"/>
  <c r="E1230" i="2"/>
  <c r="E1229" i="2"/>
  <c r="E1228" i="2"/>
  <c r="E1227" i="2"/>
  <c r="E1226" i="2"/>
  <c r="E1225" i="2"/>
  <c r="E1224" i="2"/>
  <c r="E1223" i="2"/>
  <c r="E1222" i="2"/>
  <c r="E1221" i="2"/>
  <c r="E1220" i="2"/>
  <c r="E1219" i="2"/>
  <c r="E1218" i="2"/>
  <c r="E1217" i="2"/>
  <c r="E1216" i="2"/>
  <c r="E1215" i="2"/>
  <c r="E1214" i="2"/>
  <c r="E1213" i="2"/>
  <c r="E1212" i="2"/>
  <c r="E1211" i="2"/>
  <c r="E1210" i="2"/>
  <c r="E1209" i="2"/>
  <c r="E1208" i="2"/>
  <c r="E1207" i="2"/>
  <c r="E1206" i="2"/>
  <c r="E1205" i="2"/>
  <c r="E1204" i="2"/>
  <c r="E1203" i="2"/>
  <c r="E1202" i="2"/>
  <c r="E1201" i="2"/>
  <c r="E1200" i="2"/>
  <c r="E1199" i="2"/>
  <c r="E1198" i="2"/>
  <c r="E1197" i="2"/>
  <c r="E1196" i="2"/>
  <c r="E1195" i="2"/>
  <c r="E1194" i="2"/>
  <c r="E1193" i="2"/>
  <c r="E1192" i="2"/>
  <c r="E1191" i="2"/>
  <c r="E1190" i="2"/>
  <c r="E1189" i="2"/>
  <c r="E1188" i="2"/>
  <c r="E1187" i="2"/>
  <c r="E1186" i="2"/>
  <c r="E1185" i="2"/>
  <c r="E1184" i="2"/>
  <c r="E1183" i="2"/>
  <c r="E1182" i="2"/>
  <c r="E1181" i="2"/>
  <c r="E1180" i="2"/>
  <c r="E1179" i="2"/>
  <c r="E1178" i="2"/>
  <c r="E1177" i="2"/>
  <c r="E1176" i="2"/>
  <c r="E1175" i="2"/>
  <c r="E1174" i="2"/>
  <c r="E1173" i="2"/>
  <c r="E1172" i="2"/>
  <c r="E1171" i="2"/>
  <c r="E1170" i="2"/>
  <c r="E1169" i="2"/>
  <c r="E1168" i="2"/>
  <c r="E1167" i="2"/>
  <c r="E1166" i="2"/>
  <c r="E1165" i="2"/>
  <c r="E1164" i="2"/>
  <c r="E1163" i="2"/>
  <c r="E1162" i="2"/>
  <c r="E1161" i="2"/>
  <c r="E1160" i="2"/>
  <c r="E1159" i="2"/>
  <c r="E1158" i="2"/>
  <c r="E1157" i="2"/>
  <c r="E1156" i="2"/>
  <c r="E1155" i="2"/>
  <c r="E1154" i="2"/>
  <c r="E1153" i="2"/>
  <c r="E1152" i="2"/>
  <c r="E1151" i="2"/>
  <c r="E1150" i="2"/>
  <c r="E1149" i="2"/>
  <c r="E1148" i="2"/>
  <c r="E1147" i="2"/>
  <c r="E1146" i="2"/>
  <c r="E1145" i="2"/>
  <c r="E1144" i="2"/>
  <c r="E1143" i="2"/>
  <c r="E1142" i="2"/>
  <c r="E1141" i="2"/>
  <c r="E1140" i="2"/>
  <c r="E1139" i="2"/>
  <c r="E1138" i="2"/>
  <c r="E1137" i="2"/>
  <c r="E1136" i="2"/>
  <c r="E1135" i="2"/>
  <c r="E1134" i="2"/>
  <c r="E1133" i="2"/>
  <c r="E1132" i="2"/>
  <c r="E1131" i="2"/>
  <c r="E1130" i="2"/>
  <c r="E1129" i="2"/>
  <c r="E1128" i="2"/>
  <c r="E1127" i="2"/>
  <c r="E1126" i="2"/>
  <c r="E1125" i="2"/>
  <c r="E1124" i="2"/>
  <c r="E1123" i="2"/>
  <c r="E1122" i="2"/>
  <c r="E1121" i="2"/>
  <c r="E1120" i="2"/>
  <c r="E1119" i="2"/>
  <c r="E1118" i="2"/>
  <c r="E1117" i="2"/>
  <c r="E1116" i="2"/>
  <c r="E1115" i="2"/>
  <c r="E1114" i="2"/>
  <c r="E1113" i="2"/>
  <c r="E1112" i="2"/>
  <c r="E1111" i="2"/>
  <c r="E1110" i="2"/>
  <c r="E1109" i="2"/>
  <c r="E1108" i="2"/>
  <c r="E1107" i="2"/>
  <c r="E1106" i="2"/>
  <c r="E1105" i="2"/>
  <c r="E1104" i="2"/>
  <c r="E1103" i="2"/>
  <c r="E1102" i="2"/>
  <c r="E1101" i="2"/>
  <c r="E1100" i="2"/>
  <c r="E1099" i="2"/>
  <c r="E1098" i="2"/>
  <c r="E1097" i="2"/>
  <c r="E1096" i="2"/>
  <c r="E1095" i="2"/>
  <c r="E1094" i="2"/>
  <c r="E1093" i="2"/>
  <c r="E1092" i="2"/>
  <c r="E1091" i="2"/>
  <c r="E1090" i="2"/>
  <c r="E1089" i="2"/>
  <c r="E1088" i="2"/>
  <c r="E1087" i="2"/>
  <c r="E1086" i="2"/>
  <c r="E1085" i="2"/>
  <c r="E1084" i="2"/>
  <c r="E1083" i="2"/>
  <c r="E1082" i="2"/>
  <c r="E1081" i="2"/>
  <c r="E1080" i="2"/>
  <c r="E1079" i="2"/>
  <c r="E1078" i="2"/>
  <c r="E1077" i="2"/>
  <c r="E1076" i="2"/>
  <c r="E1075" i="2"/>
  <c r="E1074" i="2"/>
  <c r="E1073" i="2"/>
  <c r="E1072" i="2"/>
  <c r="E1071" i="2"/>
  <c r="E1070" i="2"/>
  <c r="E1069" i="2"/>
  <c r="E1068" i="2"/>
  <c r="E1067" i="2"/>
  <c r="E1066" i="2"/>
  <c r="E1065" i="2"/>
  <c r="E1064" i="2"/>
  <c r="E1063" i="2"/>
  <c r="E1062" i="2"/>
  <c r="E1061" i="2"/>
  <c r="E1060" i="2"/>
  <c r="E1059" i="2"/>
  <c r="E1058" i="2"/>
  <c r="E1057" i="2"/>
  <c r="E1056" i="2"/>
  <c r="E1055" i="2"/>
  <c r="E1054" i="2"/>
  <c r="E1053" i="2"/>
  <c r="E1052" i="2"/>
  <c r="E1051" i="2"/>
  <c r="E1050" i="2"/>
  <c r="E1049" i="2"/>
  <c r="E1048" i="2"/>
  <c r="E1047" i="2"/>
  <c r="E1046" i="2"/>
  <c r="E1045" i="2"/>
  <c r="E1044" i="2"/>
  <c r="E1043" i="2"/>
  <c r="E1042" i="2"/>
  <c r="E1041" i="2"/>
  <c r="E1040" i="2"/>
  <c r="E1039" i="2"/>
  <c r="E1038" i="2"/>
  <c r="E1037" i="2"/>
  <c r="E1036" i="2"/>
  <c r="E1035" i="2"/>
  <c r="E1034" i="2"/>
  <c r="E1033" i="2"/>
  <c r="E1032" i="2"/>
  <c r="E1031" i="2"/>
  <c r="E1030" i="2"/>
  <c r="E1029" i="2"/>
  <c r="E1028" i="2"/>
  <c r="E1027" i="2"/>
  <c r="E1026" i="2"/>
  <c r="E1025" i="2"/>
  <c r="E1024" i="2"/>
  <c r="E1023" i="2"/>
  <c r="E1022" i="2"/>
  <c r="E1021" i="2"/>
  <c r="E1020" i="2"/>
  <c r="E1019" i="2"/>
  <c r="E1018" i="2"/>
  <c r="E1017" i="2"/>
  <c r="E1016" i="2"/>
  <c r="E1015" i="2"/>
  <c r="E1014" i="2"/>
  <c r="E1013" i="2"/>
  <c r="E1012" i="2"/>
  <c r="E1011" i="2"/>
  <c r="E1010" i="2"/>
  <c r="E1009" i="2"/>
  <c r="E1008" i="2"/>
  <c r="E1007" i="2"/>
  <c r="E1006" i="2"/>
  <c r="E1005" i="2"/>
  <c r="E1004" i="2"/>
  <c r="E1003" i="2"/>
  <c r="E1002" i="2"/>
  <c r="E1001" i="2"/>
  <c r="E1000" i="2"/>
  <c r="E999" i="2"/>
  <c r="E998" i="2"/>
  <c r="E997" i="2"/>
  <c r="E996" i="2"/>
  <c r="E995" i="2"/>
  <c r="E994" i="2"/>
  <c r="E993" i="2"/>
  <c r="E992" i="2"/>
  <c r="E991" i="2"/>
  <c r="E990" i="2"/>
  <c r="E989" i="2"/>
  <c r="E988" i="2"/>
  <c r="E987" i="2"/>
  <c r="E986" i="2"/>
  <c r="E985" i="2"/>
  <c r="E984" i="2"/>
  <c r="E983" i="2"/>
  <c r="E982" i="2"/>
  <c r="E981" i="2"/>
  <c r="E980" i="2"/>
  <c r="E979" i="2"/>
  <c r="E978" i="2"/>
  <c r="E977" i="2"/>
  <c r="E976" i="2"/>
  <c r="E975" i="2"/>
  <c r="E974" i="2"/>
  <c r="E973" i="2"/>
  <c r="E972" i="2"/>
  <c r="E971" i="2"/>
  <c r="E970" i="2"/>
  <c r="E969" i="2"/>
  <c r="E968" i="2"/>
  <c r="E967" i="2"/>
  <c r="E966" i="2"/>
  <c r="E965" i="2"/>
  <c r="E964" i="2"/>
  <c r="E963" i="2"/>
  <c r="E962" i="2"/>
  <c r="E961" i="2"/>
  <c r="E960" i="2"/>
  <c r="E959" i="2"/>
  <c r="E958" i="2"/>
  <c r="E957" i="2"/>
  <c r="E956" i="2"/>
  <c r="E955" i="2"/>
  <c r="E954" i="2"/>
  <c r="E953" i="2"/>
  <c r="E952" i="2"/>
  <c r="E951" i="2"/>
  <c r="E950" i="2"/>
  <c r="E949" i="2"/>
  <c r="E948" i="2"/>
  <c r="E947" i="2"/>
  <c r="E946" i="2"/>
  <c r="E945" i="2"/>
  <c r="E944" i="2"/>
  <c r="E943" i="2"/>
  <c r="E942" i="2"/>
  <c r="E941" i="2"/>
  <c r="E940" i="2"/>
  <c r="E939" i="2"/>
  <c r="E938" i="2"/>
  <c r="E937" i="2"/>
  <c r="E936" i="2"/>
  <c r="E935" i="2"/>
  <c r="E934" i="2"/>
  <c r="E933" i="2"/>
  <c r="E932" i="2"/>
  <c r="E931" i="2"/>
  <c r="E930" i="2"/>
  <c r="E929" i="2"/>
  <c r="E928" i="2"/>
  <c r="E927" i="2"/>
  <c r="E926" i="2"/>
  <c r="E925" i="2"/>
  <c r="E924" i="2"/>
  <c r="E923" i="2"/>
  <c r="E922" i="2"/>
  <c r="E921" i="2"/>
  <c r="E920" i="2"/>
  <c r="E919" i="2"/>
  <c r="E918" i="2"/>
  <c r="E917" i="2"/>
  <c r="E916" i="2"/>
  <c r="E915" i="2"/>
  <c r="E914" i="2"/>
  <c r="E913" i="2"/>
  <c r="E912" i="2"/>
  <c r="E911" i="2"/>
  <c r="E910" i="2"/>
  <c r="E909" i="2"/>
  <c r="E908" i="2"/>
  <c r="E907" i="2"/>
  <c r="E906" i="2"/>
  <c r="E905" i="2"/>
  <c r="E904" i="2"/>
  <c r="E903" i="2"/>
  <c r="E902" i="2"/>
  <c r="E901" i="2"/>
  <c r="E900" i="2"/>
  <c r="E899" i="2"/>
  <c r="E898" i="2"/>
  <c r="E897" i="2"/>
  <c r="E896" i="2"/>
  <c r="E895" i="2"/>
  <c r="E894" i="2"/>
  <c r="E893" i="2"/>
  <c r="E892" i="2"/>
  <c r="E891" i="2"/>
  <c r="E890" i="2"/>
  <c r="E889" i="2"/>
  <c r="E888" i="2"/>
  <c r="E887" i="2"/>
  <c r="E886" i="2"/>
  <c r="E885" i="2"/>
  <c r="E884" i="2"/>
  <c r="E883" i="2"/>
  <c r="E882" i="2"/>
  <c r="E881" i="2"/>
  <c r="E880" i="2"/>
  <c r="E879" i="2"/>
  <c r="E878" i="2"/>
  <c r="E877" i="2"/>
  <c r="E876" i="2"/>
  <c r="E875" i="2"/>
  <c r="E874" i="2"/>
  <c r="E873" i="2"/>
  <c r="E872" i="2"/>
  <c r="E871" i="2"/>
  <c r="E870" i="2"/>
  <c r="E869" i="2"/>
  <c r="E868" i="2"/>
  <c r="E867" i="2"/>
  <c r="E866" i="2"/>
  <c r="E865" i="2"/>
  <c r="E864" i="2"/>
  <c r="E863" i="2"/>
  <c r="E862" i="2"/>
  <c r="E861" i="2"/>
  <c r="E860" i="2"/>
  <c r="E859" i="2"/>
  <c r="E858" i="2"/>
  <c r="E857" i="2"/>
  <c r="E856" i="2"/>
  <c r="E855" i="2"/>
  <c r="E854" i="2"/>
  <c r="E853" i="2"/>
  <c r="E852" i="2"/>
  <c r="E851" i="2"/>
  <c r="E850" i="2"/>
  <c r="E849" i="2"/>
  <c r="E848" i="2"/>
  <c r="E847" i="2"/>
  <c r="E846" i="2"/>
  <c r="E845" i="2"/>
  <c r="E844" i="2"/>
  <c r="E843" i="2"/>
  <c r="E842" i="2"/>
  <c r="E841" i="2"/>
  <c r="E840" i="2"/>
  <c r="E839" i="2"/>
  <c r="E838" i="2"/>
  <c r="E837" i="2"/>
  <c r="E836" i="2"/>
  <c r="E835" i="2"/>
  <c r="E834" i="2"/>
  <c r="E833" i="2"/>
  <c r="E832" i="2"/>
  <c r="E831" i="2"/>
  <c r="E830" i="2"/>
  <c r="E829" i="2"/>
  <c r="E828" i="2"/>
  <c r="E827" i="2"/>
  <c r="E826" i="2"/>
  <c r="E825" i="2"/>
  <c r="E824" i="2"/>
  <c r="E823" i="2"/>
  <c r="E822" i="2"/>
  <c r="E821" i="2"/>
  <c r="E820" i="2"/>
  <c r="E819" i="2"/>
  <c r="E818" i="2"/>
  <c r="E817" i="2"/>
  <c r="E816" i="2"/>
  <c r="E815" i="2"/>
  <c r="E814" i="2"/>
  <c r="E813" i="2"/>
  <c r="E812" i="2"/>
  <c r="E811" i="2"/>
  <c r="E810" i="2"/>
  <c r="E809" i="2"/>
  <c r="E808" i="2"/>
  <c r="E807" i="2"/>
  <c r="E806" i="2"/>
  <c r="E805" i="2"/>
  <c r="E804" i="2"/>
  <c r="E803" i="2"/>
  <c r="E802" i="2"/>
  <c r="E801" i="2"/>
  <c r="E800" i="2"/>
  <c r="E799" i="2"/>
  <c r="E798" i="2"/>
  <c r="E797" i="2"/>
  <c r="E796" i="2"/>
  <c r="E795" i="2"/>
  <c r="E794" i="2"/>
  <c r="E793" i="2"/>
  <c r="E792" i="2"/>
  <c r="E791" i="2"/>
  <c r="E790" i="2"/>
  <c r="E789" i="2"/>
  <c r="E788" i="2"/>
  <c r="E787" i="2"/>
  <c r="E786" i="2"/>
  <c r="E785" i="2"/>
  <c r="E784" i="2"/>
  <c r="E783" i="2"/>
  <c r="E782" i="2"/>
  <c r="E781" i="2"/>
  <c r="E780" i="2"/>
  <c r="E779" i="2"/>
  <c r="E778" i="2"/>
  <c r="E777" i="2"/>
  <c r="E776" i="2"/>
  <c r="E775" i="2"/>
  <c r="E774" i="2"/>
  <c r="E773" i="2"/>
  <c r="E772" i="2"/>
  <c r="E771" i="2"/>
  <c r="E770" i="2"/>
  <c r="E769" i="2"/>
  <c r="E768" i="2"/>
  <c r="E767" i="2"/>
  <c r="E766" i="2"/>
  <c r="E765" i="2"/>
  <c r="E764" i="2"/>
  <c r="E763" i="2"/>
  <c r="E762" i="2"/>
  <c r="E761" i="2"/>
  <c r="E760" i="2"/>
  <c r="E759" i="2"/>
  <c r="E758" i="2"/>
  <c r="E757" i="2"/>
  <c r="E756" i="2"/>
  <c r="E755" i="2"/>
  <c r="E754" i="2"/>
  <c r="E753" i="2"/>
  <c r="E752" i="2"/>
  <c r="E751" i="2"/>
  <c r="E750" i="2"/>
  <c r="E749" i="2"/>
  <c r="E748" i="2"/>
  <c r="E747" i="2"/>
  <c r="E746" i="2"/>
  <c r="E745" i="2"/>
  <c r="E744" i="2"/>
  <c r="E743" i="2"/>
  <c r="E742" i="2"/>
  <c r="E741" i="2"/>
  <c r="E740" i="2"/>
  <c r="E739" i="2"/>
  <c r="E738" i="2"/>
  <c r="E737" i="2"/>
  <c r="E736" i="2"/>
  <c r="E735" i="2"/>
  <c r="E734" i="2"/>
  <c r="E733" i="2"/>
  <c r="E732" i="2"/>
  <c r="E731" i="2"/>
  <c r="E730" i="2"/>
  <c r="E729" i="2"/>
  <c r="E728" i="2"/>
  <c r="E727" i="2"/>
  <c r="E726" i="2"/>
  <c r="E725" i="2"/>
  <c r="E724" i="2"/>
  <c r="E723" i="2"/>
  <c r="E722" i="2"/>
  <c r="E721" i="2"/>
  <c r="E720" i="2"/>
  <c r="E719" i="2"/>
  <c r="E718" i="2"/>
  <c r="E717" i="2"/>
  <c r="E716" i="2"/>
  <c r="E715" i="2"/>
  <c r="E714" i="2"/>
  <c r="E713" i="2"/>
  <c r="E712" i="2"/>
  <c r="E711" i="2"/>
  <c r="E710" i="2"/>
  <c r="E709" i="2"/>
  <c r="E708" i="2"/>
  <c r="E707" i="2"/>
  <c r="E706" i="2"/>
  <c r="E705" i="2"/>
  <c r="E704" i="2"/>
  <c r="E703" i="2"/>
  <c r="E702" i="2"/>
  <c r="E701" i="2"/>
  <c r="E700" i="2"/>
  <c r="E699" i="2"/>
  <c r="E698" i="2"/>
  <c r="E697" i="2"/>
  <c r="E696" i="2"/>
  <c r="E695" i="2"/>
  <c r="E694" i="2"/>
  <c r="E693" i="2"/>
  <c r="E692" i="2"/>
  <c r="E691" i="2"/>
  <c r="E690" i="2"/>
  <c r="E689" i="2"/>
  <c r="E688" i="2"/>
  <c r="E687" i="2"/>
  <c r="E686" i="2"/>
  <c r="E685" i="2"/>
  <c r="E684" i="2"/>
  <c r="E683" i="2"/>
  <c r="E682" i="2"/>
  <c r="E681" i="2"/>
  <c r="E680" i="2"/>
  <c r="E679" i="2"/>
  <c r="E678" i="2"/>
  <c r="E677" i="2"/>
  <c r="E676" i="2"/>
  <c r="E675" i="2"/>
  <c r="E674" i="2"/>
  <c r="E673" i="2"/>
  <c r="E672" i="2"/>
  <c r="E671" i="2"/>
  <c r="E670" i="2"/>
  <c r="E669" i="2"/>
  <c r="E668" i="2"/>
  <c r="E667" i="2"/>
  <c r="E666" i="2"/>
  <c r="E665" i="2"/>
  <c r="E664" i="2"/>
  <c r="E663" i="2"/>
  <c r="E662" i="2"/>
  <c r="E661" i="2"/>
  <c r="E660" i="2"/>
  <c r="E659" i="2"/>
  <c r="E658" i="2"/>
  <c r="E657" i="2"/>
  <c r="E656" i="2"/>
  <c r="E655" i="2"/>
  <c r="E654" i="2"/>
  <c r="E653" i="2"/>
  <c r="E652" i="2"/>
  <c r="E651" i="2"/>
  <c r="E650" i="2"/>
  <c r="E649" i="2"/>
  <c r="E648" i="2"/>
  <c r="E647" i="2"/>
  <c r="E646" i="2"/>
  <c r="E645" i="2"/>
  <c r="E644" i="2"/>
  <c r="E643" i="2"/>
  <c r="E642" i="2"/>
  <c r="E641" i="2"/>
  <c r="E640" i="2"/>
  <c r="E639" i="2"/>
  <c r="E638" i="2"/>
  <c r="E637" i="2"/>
  <c r="E636" i="2"/>
  <c r="E635" i="2"/>
  <c r="E634" i="2"/>
  <c r="E633" i="2"/>
  <c r="E632" i="2"/>
  <c r="E631" i="2"/>
  <c r="E630" i="2"/>
  <c r="E629" i="2"/>
  <c r="E628" i="2"/>
  <c r="E627" i="2"/>
  <c r="E626" i="2"/>
  <c r="E625" i="2"/>
  <c r="E624" i="2"/>
  <c r="E623" i="2"/>
  <c r="E622" i="2"/>
  <c r="E621" i="2"/>
  <c r="E620" i="2"/>
  <c r="E619" i="2"/>
  <c r="E618" i="2"/>
  <c r="E617" i="2"/>
  <c r="E616" i="2"/>
  <c r="E615" i="2"/>
  <c r="E614" i="2"/>
  <c r="E613" i="2"/>
  <c r="E612" i="2"/>
  <c r="E611" i="2"/>
  <c r="E610" i="2"/>
  <c r="E609" i="2"/>
  <c r="E608" i="2"/>
  <c r="E607" i="2"/>
  <c r="E606" i="2"/>
  <c r="E605" i="2"/>
  <c r="E604" i="2"/>
  <c r="E603" i="2"/>
  <c r="E602" i="2"/>
  <c r="E601" i="2"/>
  <c r="E600" i="2"/>
  <c r="E599" i="2"/>
  <c r="E598" i="2"/>
  <c r="E597" i="2"/>
  <c r="E596" i="2"/>
  <c r="E595" i="2"/>
  <c r="E594" i="2"/>
  <c r="E593" i="2"/>
  <c r="E592" i="2"/>
  <c r="E591" i="2"/>
  <c r="E590" i="2"/>
  <c r="E589" i="2"/>
  <c r="E588" i="2"/>
  <c r="E587" i="2"/>
  <c r="E586" i="2"/>
  <c r="E585" i="2"/>
  <c r="E584" i="2"/>
  <c r="E583" i="2"/>
  <c r="E582" i="2"/>
  <c r="E581" i="2"/>
  <c r="E580" i="2"/>
  <c r="E579" i="2"/>
  <c r="E578" i="2"/>
  <c r="E577" i="2"/>
  <c r="E576" i="2"/>
  <c r="E575" i="2"/>
  <c r="E574" i="2"/>
  <c r="E573" i="2"/>
  <c r="E572" i="2"/>
  <c r="E571" i="2"/>
  <c r="E570" i="2"/>
  <c r="E569" i="2"/>
  <c r="E568" i="2"/>
  <c r="E567" i="2"/>
  <c r="E566" i="2"/>
  <c r="E565" i="2"/>
  <c r="E564" i="2"/>
  <c r="E563" i="2"/>
  <c r="E562" i="2"/>
  <c r="E561" i="2"/>
  <c r="E560" i="2"/>
  <c r="E559" i="2"/>
  <c r="E558" i="2"/>
  <c r="E557" i="2"/>
  <c r="E556" i="2"/>
  <c r="E555" i="2"/>
  <c r="E554" i="2"/>
  <c r="E553" i="2"/>
  <c r="E552" i="2"/>
  <c r="E551" i="2"/>
  <c r="E550" i="2"/>
  <c r="E549" i="2"/>
  <c r="E548" i="2"/>
  <c r="E547" i="2"/>
  <c r="E546" i="2"/>
  <c r="E545" i="2"/>
  <c r="E544" i="2"/>
  <c r="E543" i="2"/>
  <c r="E542" i="2"/>
  <c r="E541" i="2"/>
  <c r="E540" i="2"/>
  <c r="E539" i="2"/>
  <c r="E538" i="2"/>
  <c r="E537" i="2"/>
  <c r="E536" i="2"/>
  <c r="E535" i="2"/>
  <c r="E534" i="2"/>
  <c r="E533" i="2"/>
  <c r="E532" i="2"/>
  <c r="E531" i="2"/>
  <c r="E530" i="2"/>
  <c r="E529" i="2"/>
  <c r="E528" i="2"/>
  <c r="E527" i="2"/>
  <c r="E526" i="2"/>
  <c r="E525" i="2"/>
  <c r="E524" i="2"/>
  <c r="E523" i="2"/>
  <c r="E522" i="2"/>
  <c r="E521" i="2"/>
  <c r="E520" i="2"/>
  <c r="E519" i="2"/>
  <c r="E518" i="2"/>
  <c r="E517" i="2"/>
  <c r="E516" i="2"/>
  <c r="E515" i="2"/>
  <c r="E514" i="2"/>
  <c r="E513" i="2"/>
  <c r="E512" i="2"/>
  <c r="E511" i="2"/>
  <c r="E510" i="2"/>
  <c r="E509" i="2"/>
  <c r="E508" i="2"/>
  <c r="E507" i="2"/>
  <c r="E506" i="2"/>
  <c r="E505" i="2"/>
  <c r="E504" i="2"/>
  <c r="E503" i="2"/>
  <c r="E502" i="2"/>
  <c r="E501" i="2"/>
  <c r="E500" i="2"/>
  <c r="E499" i="2"/>
  <c r="E498" i="2"/>
  <c r="E497" i="2"/>
  <c r="E496" i="2"/>
  <c r="E495" i="2"/>
  <c r="E494" i="2"/>
  <c r="E493" i="2"/>
  <c r="E492" i="2"/>
  <c r="E491" i="2"/>
  <c r="E490" i="2"/>
  <c r="E489" i="2"/>
  <c r="E488" i="2"/>
  <c r="E487" i="2"/>
  <c r="E486" i="2"/>
  <c r="E485" i="2"/>
  <c r="E484" i="2"/>
  <c r="E483" i="2"/>
  <c r="E482" i="2"/>
  <c r="E481" i="2"/>
  <c r="E480" i="2"/>
  <c r="E479" i="2"/>
  <c r="E478" i="2"/>
  <c r="E477" i="2"/>
  <c r="E476" i="2"/>
  <c r="E475" i="2"/>
  <c r="E474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</calcChain>
</file>

<file path=xl/sharedStrings.xml><?xml version="1.0" encoding="utf-8"?>
<sst xmlns="http://schemas.openxmlformats.org/spreadsheetml/2006/main" count="9293" uniqueCount="6274">
  <si>
    <t>国名</t>
  </si>
  <si>
    <t>公告期</t>
  </si>
  <si>
    <t>発表日</t>
  </si>
  <si>
    <t>商標番号</t>
  </si>
  <si>
    <t>商標名称</t>
  </si>
  <si>
    <t>申請人</t>
  </si>
  <si>
    <t>商品</t>
  </si>
  <si>
    <t>申請日</t>
  </si>
  <si>
    <t>No.</t>
    <phoneticPr fontId="1"/>
  </si>
  <si>
    <t>中国</t>
  </si>
  <si>
    <t>白酒</t>
  </si>
  <si>
    <t>刘淋</t>
  </si>
  <si>
    <t>卢莹</t>
  </si>
  <si>
    <t>酒鬼酒股份有限公司</t>
  </si>
  <si>
    <t>露酒</t>
  </si>
  <si>
    <t>王立新</t>
  </si>
  <si>
    <t>王月广</t>
  </si>
  <si>
    <t>曾建国</t>
  </si>
  <si>
    <t>黄春波</t>
  </si>
  <si>
    <t>王利祥</t>
  </si>
  <si>
    <t>河南三珍坊食品有限公司</t>
  </si>
  <si>
    <t>邱邱</t>
  </si>
  <si>
    <t>李利</t>
  </si>
  <si>
    <t>秦坤</t>
  </si>
  <si>
    <t>孟宇晴</t>
  </si>
  <si>
    <t>刘恒</t>
  </si>
  <si>
    <t>刘俊俊</t>
  </si>
  <si>
    <t>李章程</t>
  </si>
  <si>
    <t>何航</t>
  </si>
  <si>
    <t>臧秋杰</t>
  </si>
  <si>
    <t>周淑先</t>
  </si>
  <si>
    <t>王越琨</t>
  </si>
  <si>
    <t>尹志杰</t>
  </si>
  <si>
    <t>沈阳化工大学</t>
  </si>
  <si>
    <r>
      <t>古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</si>
  <si>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古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</si>
  <si>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汽酒</t>
    </r>
  </si>
  <si>
    <r>
      <t>全民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</si>
  <si>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蒙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宁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</si>
  <si>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白酒; 清酒（日本米酒）</t>
    </r>
  </si>
  <si>
    <t>VANS</t>
  </si>
  <si>
    <t>范斯公司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</si>
  <si>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汽酒; 青稞酒; 果酒（含酒精）; 米酒</t>
    </r>
  </si>
  <si>
    <t>氏偈盛酒号</t>
  </si>
  <si>
    <r>
      <t>偈盛酒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</si>
  <si>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</si>
  <si>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t>府偈盛酒号</t>
  </si>
  <si>
    <r>
      <t>蒸煮提取物（利口酒和烈酒）; 烈酒;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白酒;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</si>
  <si>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t>百家富酒庄</t>
  </si>
  <si>
    <r>
      <t>巴加芙城堡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土地集</t>
    </r>
    <r>
      <rPr>
        <sz val="11"/>
        <color theme="1"/>
        <rFont val="ＭＳ Ｐゴシック"/>
        <family val="3"/>
        <charset val="134"/>
        <scheme val="minor"/>
      </rPr>
      <t>团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</si>
  <si>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清酒（日本米酒）; 威士忌;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</si>
  <si>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SUNWHERE 山未</t>
  </si>
  <si>
    <r>
      <t>四川山未果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</si>
  <si>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</si>
  <si>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酒之星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</si>
  <si>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</si>
  <si>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果酒（含酒精）; 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</si>
  <si>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图</t>
    </r>
    <r>
      <rPr>
        <sz val="11"/>
        <color theme="1"/>
        <rFont val="ＭＳ Ｐゴシック"/>
        <family val="3"/>
        <charset val="128"/>
        <scheme val="minor"/>
      </rPr>
      <t>形</t>
    </r>
  </si>
  <si>
    <t>于海洋</t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</si>
  <si>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</t>
    </r>
  </si>
  <si>
    <r>
      <t>稒</t>
    </r>
    <r>
      <rPr>
        <sz val="11"/>
        <color theme="1"/>
        <rFont val="ＭＳ Ｐゴシック"/>
        <family val="3"/>
        <charset val="128"/>
        <scheme val="minor"/>
      </rPr>
      <t>阳往事</t>
    </r>
  </si>
  <si>
    <r>
      <t>石振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</si>
  <si>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</si>
  <si>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左</t>
  </si>
  <si>
    <r>
      <t>杨</t>
    </r>
    <r>
      <rPr>
        <sz val="11"/>
        <color theme="1"/>
        <rFont val="ＭＳ Ｐゴシック"/>
        <family val="3"/>
        <charset val="128"/>
        <scheme val="minor"/>
      </rPr>
      <t>博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</si>
  <si>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白酒; 果酒; 烈酒;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白葡萄酒; 白干酒（中国白酒）</t>
    </r>
  </si>
  <si>
    <t>峰</t>
  </si>
  <si>
    <r>
      <t>西安中置</t>
    </r>
    <r>
      <rPr>
        <sz val="11"/>
        <color theme="1"/>
        <rFont val="ＭＳ Ｐゴシック"/>
        <family val="3"/>
        <charset val="134"/>
        <scheme val="minor"/>
      </rPr>
      <t>顺泽</t>
    </r>
    <r>
      <rPr>
        <sz val="11"/>
        <color theme="1"/>
        <rFont val="ＭＳ Ｐゴシック"/>
        <family val="3"/>
        <charset val="128"/>
        <scheme val="minor"/>
      </rPr>
      <t>置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</si>
  <si>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加烈葡萄酒; 食用酒精;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清酒; 葡萄酒</t>
    </r>
  </si>
  <si>
    <t>西口情</t>
  </si>
  <si>
    <r>
      <t>李建</t>
    </r>
    <r>
      <rPr>
        <sz val="11"/>
        <color theme="1"/>
        <rFont val="ＭＳ Ｐゴシック"/>
        <family val="3"/>
        <charset val="134"/>
        <scheme val="minor"/>
      </rPr>
      <t>军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</si>
  <si>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苹果酒;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酸酒（低等葡萄酒）;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苦味酒; 茴芹酒（利口酒）;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柑香酒;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薄荷酒; 茴香酒（利口酒）; 杜松子酒;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梨酒;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朗姆酒;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青稞酒;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...</t>
    </r>
  </si>
  <si>
    <r>
      <t>阿</t>
    </r>
    <r>
      <rPr>
        <sz val="11"/>
        <color theme="1"/>
        <rFont val="ＭＳ Ｐゴシック"/>
        <family val="3"/>
        <charset val="134"/>
        <scheme val="minor"/>
      </rPr>
      <t>诗玛</t>
    </r>
  </si>
  <si>
    <r>
      <t>曲靖市麒麟蔬菜集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任公司韭菜花厂</t>
    </r>
  </si>
  <si>
    <r>
      <t>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白酒;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</si>
  <si>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村小方</t>
  </si>
  <si>
    <r>
      <t>莫益</t>
    </r>
    <r>
      <rPr>
        <sz val="11"/>
        <color theme="1"/>
        <rFont val="ＭＳ Ｐゴシック"/>
        <family val="3"/>
        <charset val="134"/>
        <scheme val="minor"/>
      </rPr>
      <t>树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</si>
  <si>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</t>
    </r>
  </si>
  <si>
    <r>
      <t>创</t>
    </r>
    <r>
      <rPr>
        <sz val="11"/>
        <color theme="1"/>
        <rFont val="ＭＳ Ｐゴシック"/>
        <family val="3"/>
        <charset val="128"/>
        <scheme val="minor"/>
      </rPr>
      <t>客商</t>
    </r>
  </si>
  <si>
    <r>
      <t>广州中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捷科技有限公司</t>
    </r>
  </si>
  <si>
    <r>
      <t>开胃酒; 白酒; 黄酒; 果酒（含酒精）; 蒸煮提取物（利口酒和烈酒）;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</si>
  <si>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窖溢</t>
  </si>
  <si>
    <r>
      <t>武夷山市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广茶叶商行</t>
    </r>
  </si>
  <si>
    <r>
      <t>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威士忌; 果酒（含酒精）;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</si>
  <si>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五坊台</t>
  </si>
  <si>
    <t>武夷山市元郎茶叶商行</t>
  </si>
  <si>
    <r>
      <t xml:space="preserve">米酒; 清酒（日本米酒）; 白酒;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</si>
  <si>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冰松之家</t>
  </si>
  <si>
    <t>常冰冰</t>
  </si>
  <si>
    <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露酒; 梅酒; 米酒; 白酒; 开胃酒; 朗姆酒; 汽酒; 果酒; 葡萄酒</t>
    </r>
  </si>
  <si>
    <t>OLD HUNTER'S</t>
  </si>
  <si>
    <r>
      <t>绿树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</si>
  <si>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</si>
  <si>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</si>
  <si>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顾</t>
    </r>
    <r>
      <rPr>
        <sz val="11"/>
        <color theme="1"/>
        <rFont val="ＭＳ Ｐゴシック"/>
        <family val="3"/>
        <charset val="128"/>
        <scheme val="minor"/>
      </rPr>
      <t>金奎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</si>
  <si>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</si>
  <si>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年代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</si>
  <si>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涛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</si>
  <si>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食用酒精; 米酒</t>
    </r>
  </si>
  <si>
    <t>吉邦</t>
  </si>
  <si>
    <r>
      <t>广州王老吉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</si>
  <si>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威士忌</t>
    </r>
  </si>
  <si>
    <t>弘典</t>
  </si>
  <si>
    <t>王平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</si>
  <si>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</si>
  <si>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意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</si>
  <si>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葡萄酒; 白干酒（中国白酒）;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</si>
  <si>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中盈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</si>
  <si>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市恒格食品商行（个体工商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</si>
  <si>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白干酒（中国白酒）;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</t>
    </r>
  </si>
  <si>
    <t>醉河</t>
  </si>
  <si>
    <r>
      <t>泉州市洛江区双阳水嫦如商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行</t>
    </r>
  </si>
  <si>
    <t>苹果酒; 朗姆酒; 蜂蜜酒; 米酒; 黄酒; 开胃酒; 葡萄酒; 果酒; 白酒; 茴香酒（利口酒）</t>
  </si>
  <si>
    <t>中仁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</si>
  <si>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黄酒; 米酒;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蜂蜜酒; 茴香酒（利口酒）</t>
    </r>
  </si>
  <si>
    <t>贵壶</t>
  </si>
  <si>
    <r>
      <t>丰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区泥</t>
    </r>
    <r>
      <rPr>
        <sz val="11"/>
        <color theme="1"/>
        <rFont val="ＭＳ Ｐゴシック"/>
        <family val="3"/>
        <charset val="134"/>
        <scheme val="minor"/>
      </rPr>
      <t>硕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</si>
  <si>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 xml:space="preserve">清酒;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奶油利口酒; 白酒;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葡萄酒; 米酒</t>
    </r>
  </si>
  <si>
    <t>毛潭</t>
  </si>
  <si>
    <r>
      <t>武夷山市康萌百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</si>
  <si>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果酒（含酒精）; 米酒; 黄酒</t>
    </r>
  </si>
  <si>
    <t>饪赢</t>
  </si>
  <si>
    <r>
      <t>武</t>
    </r>
    <r>
      <rPr>
        <sz val="11"/>
        <color theme="1"/>
        <rFont val="ＭＳ Ｐゴシック"/>
        <family val="3"/>
        <charset val="134"/>
        <scheme val="minor"/>
      </rPr>
      <t>汉饪赢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</si>
  <si>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米酒;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梅酒; 果酒（含酒精）</t>
    </r>
  </si>
  <si>
    <t>将享</t>
  </si>
  <si>
    <r>
      <t>陈</t>
    </r>
    <r>
      <rPr>
        <sz val="11"/>
        <color theme="1"/>
        <rFont val="ＭＳ Ｐゴシック"/>
        <family val="3"/>
        <charset val="128"/>
        <scheme val="minor"/>
      </rPr>
      <t>敬</t>
    </r>
    <r>
      <rPr>
        <sz val="11"/>
        <color theme="1"/>
        <rFont val="ＭＳ Ｐゴシック"/>
        <family val="3"/>
        <charset val="134"/>
        <scheme val="minor"/>
      </rPr>
      <t>桥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</si>
  <si>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露酒; 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烈性干酒; 白酒; 高粱酒</t>
    </r>
  </si>
  <si>
    <t>子佩公主庄园</t>
  </si>
  <si>
    <r>
      <t>兰</t>
    </r>
    <r>
      <rPr>
        <sz val="11"/>
        <color theme="1"/>
        <rFont val="ＭＳ Ｐゴシック"/>
        <family val="3"/>
        <charset val="128"/>
        <scheme val="minor"/>
      </rPr>
      <t>亭臻酒（深圳）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</si>
  <si>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食用酒精; 果酒（含酒精）; 白酒; 威士忌; 伏特加酒; 烈酒; 葡萄酒; 朗姆酒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</si>
  <si>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湾 BLUE BAY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</si>
  <si>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洋湾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</si>
  <si>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利口酒;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蜂蜜酒</t>
    </r>
  </si>
  <si>
    <t>论鉴</t>
  </si>
  <si>
    <t>武夷山市幽香堂茶叶店</t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</si>
  <si>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</t>
    </r>
  </si>
  <si>
    <t>星高</t>
  </si>
  <si>
    <r>
      <t>河南省高星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</si>
  <si>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利口酒;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</si>
  <si>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得薏</t>
  </si>
  <si>
    <r>
      <t>杭州薏灵酒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</si>
  <si>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t>白酒; 果酒（含酒精）; 清酒; 烈酒; 黄酒; 葡萄酒; 蜂蜜酒; 青稞酒; 食用酒精; 米酒</t>
  </si>
  <si>
    <r>
      <t>绿维</t>
    </r>
    <r>
      <rPr>
        <sz val="11"/>
        <color theme="1"/>
        <rFont val="ＭＳ Ｐゴシック"/>
        <family val="3"/>
        <charset val="128"/>
        <scheme val="minor"/>
      </rPr>
      <t>谷</t>
    </r>
  </si>
  <si>
    <r>
      <t>江西</t>
    </r>
    <r>
      <rPr>
        <sz val="11"/>
        <color theme="1"/>
        <rFont val="ＭＳ Ｐゴシック"/>
        <family val="3"/>
        <charset val="134"/>
        <scheme val="minor"/>
      </rPr>
      <t>绿维</t>
    </r>
    <r>
      <rPr>
        <sz val="11"/>
        <color theme="1"/>
        <rFont val="ＭＳ Ｐゴシック"/>
        <family val="3"/>
        <charset val="128"/>
        <scheme val="minor"/>
      </rPr>
      <t>谷食品有限公司</t>
    </r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</si>
  <si>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</si>
  <si>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雷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法</t>
    </r>
  </si>
  <si>
    <t>中通控股有限公司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</si>
  <si>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</si>
  <si>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柔力量</t>
  </si>
  <si>
    <t>深圳市柔家科技有限公司</t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</si>
  <si>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汽酒; 清酒（日本米酒）; 黄酒</t>
    </r>
  </si>
  <si>
    <t>QIMISOLA</t>
  </si>
  <si>
    <r>
      <t>张</t>
    </r>
    <r>
      <rPr>
        <sz val="11"/>
        <color theme="1"/>
        <rFont val="ＭＳ Ｐゴシック"/>
        <family val="3"/>
        <charset val="128"/>
        <scheme val="minor"/>
      </rPr>
      <t>琦的奇米</t>
    </r>
    <r>
      <rPr>
        <sz val="11"/>
        <color theme="1"/>
        <rFont val="ＭＳ Ｐゴシック"/>
        <family val="3"/>
        <charset val="134"/>
        <scheme val="minor"/>
      </rPr>
      <t>硕乐</t>
    </r>
    <r>
      <rPr>
        <sz val="11"/>
        <color theme="1"/>
        <rFont val="ＭＳ Ｐゴシック"/>
        <family val="3"/>
        <charset val="128"/>
        <scheme val="minor"/>
      </rPr>
      <t>酒庄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</si>
  <si>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天然汽酒;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汽酒; 葡萄酒; 起泡白葡萄酒;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</t>
    </r>
  </si>
  <si>
    <t>金池</t>
  </si>
  <si>
    <r>
      <t>四川省邛</t>
    </r>
    <r>
      <rPr>
        <sz val="11"/>
        <color theme="1"/>
        <rFont val="ＭＳ Ｐゴシック"/>
        <family val="3"/>
        <charset val="134"/>
        <scheme val="minor"/>
      </rPr>
      <t>崃</t>
    </r>
    <r>
      <rPr>
        <sz val="11"/>
        <color theme="1"/>
        <rFont val="ＭＳ Ｐゴシック"/>
        <family val="3"/>
        <charset val="128"/>
        <scheme val="minor"/>
      </rPr>
      <t>市祥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</si>
  <si>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苦味酒;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果酒（含酒精）; 威士忌; 白酒</t>
    </r>
  </si>
  <si>
    <t>老川匠</t>
  </si>
  <si>
    <r>
      <t>四川地方印象文化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</si>
  <si>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白干酒（中国白酒）;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清酒; 青稞酒;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</si>
  <si>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t>武侠春</t>
  </si>
  <si>
    <r>
      <t>胡舒</t>
    </r>
    <r>
      <rPr>
        <sz val="11"/>
        <color theme="1"/>
        <rFont val="ＭＳ Ｐゴシック"/>
        <family val="3"/>
        <charset val="134"/>
        <scheme val="minor"/>
      </rPr>
      <t>娴</t>
    </r>
  </si>
  <si>
    <r>
      <t>白酒; 食用酒精;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米酒; 高粱酒; 露酒;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</si>
  <si>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坤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</si>
  <si>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古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酒厂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</si>
  <si>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汽酒; 黄酒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</si>
  <si>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鸿</t>
    </r>
  </si>
  <si>
    <t>刘秀秀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</si>
  <si>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高粱酒;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</si>
  <si>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天年</t>
    </r>
    <r>
      <rPr>
        <sz val="11"/>
        <color theme="1"/>
        <rFont val="ＭＳ Ｐゴシック"/>
        <family val="3"/>
        <charset val="134"/>
        <scheme val="minor"/>
      </rPr>
      <t>贡</t>
    </r>
  </si>
  <si>
    <r>
      <t>广州市宁靖投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</si>
  <si>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清酒（日本米酒）; 米酒;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</si>
  <si>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星斑</t>
    </r>
  </si>
  <si>
    <r>
      <t>海南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英</t>
    </r>
    <r>
      <rPr>
        <sz val="11"/>
        <color theme="1"/>
        <rFont val="ＭＳ Ｐゴシック"/>
        <family val="3"/>
        <charset val="134"/>
        <scheme val="minor"/>
      </rPr>
      <t>渔业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</si>
  <si>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汽酒; 果酒; 含酒精的气泡水;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清酒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</si>
  <si>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堂</t>
    </r>
    <r>
      <rPr>
        <sz val="11"/>
        <color theme="1"/>
        <rFont val="ＭＳ Ｐゴシック"/>
        <family val="3"/>
        <charset val="134"/>
        <scheme val="minor"/>
      </rPr>
      <t>汇</t>
    </r>
  </si>
  <si>
    <r>
      <t>海南永岳旅游文化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</si>
  <si>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</si>
  <si>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延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</si>
  <si>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北京北广悦文化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</si>
  <si>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白酒; 清酒（日本米酒）; 果酒（含酒精）; 汽酒;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食用酒精</t>
    </r>
  </si>
  <si>
    <r>
      <t>香山小</t>
    </r>
    <r>
      <rPr>
        <sz val="11"/>
        <color theme="1"/>
        <rFont val="ＭＳ Ｐゴシック"/>
        <family val="3"/>
        <charset val="134"/>
        <scheme val="minor"/>
      </rPr>
      <t>渔</t>
    </r>
    <r>
      <rPr>
        <sz val="11"/>
        <color theme="1"/>
        <rFont val="ＭＳ Ｐゴシック"/>
        <family val="3"/>
        <charset val="128"/>
        <scheme val="minor"/>
      </rPr>
      <t>村</t>
    </r>
  </si>
  <si>
    <t>珠海市翔越科技有限公司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</si>
  <si>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高粱酒; 葡萄酒; 米酒; 开胃酒</t>
    </r>
  </si>
  <si>
    <t>七棵星</t>
  </si>
  <si>
    <r>
      <t>巴州弘石广告有限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</si>
  <si>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蜂蜜酒;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果酒（含酒精）; 甜果酒;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</si>
  <si>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JSLJD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</si>
  <si>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州世</t>
    </r>
    <r>
      <rPr>
        <sz val="11"/>
        <color theme="1"/>
        <rFont val="ＭＳ Ｐゴシック"/>
        <family val="3"/>
        <charset val="134"/>
        <scheme val="minor"/>
      </rPr>
      <t>纪飞腾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</si>
  <si>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五加皮酒（中国混合烈酒）;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果酒; 葡萄酒; 黄酒; 白酒; 开胃酒</t>
    </r>
  </si>
  <si>
    <t>漓泉</t>
  </si>
  <si>
    <t>燕京啤酒（桂林漓泉）股份有限公司</t>
  </si>
  <si>
    <r>
      <t xml:space="preserve">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麦芽威士忌; 米酒;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</si>
  <si>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米醴醇</t>
  </si>
  <si>
    <t>温州江心食品有限公司</t>
  </si>
  <si>
    <r>
      <t>米酒; 黄酒; 白酒; 利口酒;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</si>
  <si>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洋河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</si>
  <si>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洋河酒厂股份有限公司</t>
    </r>
  </si>
  <si>
    <r>
      <t xml:space="preserve">果酒（含酒精）;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食用酒精; 利口酒</t>
    </r>
  </si>
  <si>
    <t>川沙</t>
  </si>
  <si>
    <r>
      <t>邹</t>
    </r>
    <r>
      <rPr>
        <sz val="11"/>
        <color theme="1"/>
        <rFont val="ＭＳ Ｐゴシック"/>
        <family val="3"/>
        <charset val="128"/>
        <scheme val="minor"/>
      </rPr>
      <t>克新</t>
    </r>
  </si>
  <si>
    <r>
      <t>黄酒;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汽酒; 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</si>
  <si>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沙克</t>
    </r>
    <r>
      <rPr>
        <sz val="11"/>
        <color theme="1"/>
        <rFont val="ＭＳ Ｐゴシック"/>
        <family val="3"/>
        <charset val="134"/>
        <scheme val="minor"/>
      </rPr>
      <t>尔顿</t>
    </r>
  </si>
  <si>
    <r>
      <t>北京行知探索文化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</si>
  <si>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</si>
  <si>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t>游田子坊 TZF WONDERLAND</t>
  </si>
  <si>
    <r>
      <t>上海田子坊商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</si>
  <si>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黄酒; 白酒</t>
    </r>
  </si>
  <si>
    <t>ARTEMIS+</t>
  </si>
  <si>
    <t>阿蒂米斯品牌管理有限公司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</si>
  <si>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加烈葡萄酒;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果酒;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甜酒; 高粱酒; 起泡白葡萄酒</t>
    </r>
  </si>
  <si>
    <t>ARTEMIS PLUS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</si>
  <si>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高粱酒; 加烈葡萄酒; 果酒; 甜酒; 白干酒（中国白酒）; 起泡白葡萄酒;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</si>
  <si>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方伏特</t>
    </r>
  </si>
  <si>
    <r>
      <t>亳州中支酒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</si>
  <si>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苹果酒; 蜂蜜酒; 黄酒; 伏特加酒;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梨酒; 白酒; 果酒（含酒精）</t>
    </r>
  </si>
  <si>
    <r>
      <t>敬清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</si>
  <si>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广州智源服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</si>
  <si>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</si>
  <si>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厚</t>
    </r>
    <r>
      <rPr>
        <sz val="11"/>
        <color theme="1"/>
        <rFont val="ＭＳ Ｐゴシック"/>
        <family val="3"/>
        <charset val="134"/>
        <scheme val="minor"/>
      </rPr>
      <t>盏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</si>
  <si>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红丽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</si>
  <si>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</si>
  <si>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醒</t>
    </r>
    <r>
      <rPr>
        <sz val="11"/>
        <color theme="1"/>
        <rFont val="ＭＳ Ｐゴシック"/>
        <family val="3"/>
        <charset val="134"/>
        <scheme val="minor"/>
      </rPr>
      <t>狮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</si>
  <si>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市文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</si>
  <si>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米酒; 甜酒;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</si>
  <si>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REINA DULCE</t>
  </si>
  <si>
    <r>
      <t>塞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吉奥·</t>
    </r>
    <r>
      <rPr>
        <sz val="11"/>
        <color theme="1"/>
        <rFont val="ＭＳ Ｐゴシック"/>
        <family val="3"/>
        <charset val="134"/>
        <scheme val="minor"/>
      </rPr>
      <t>费尔</t>
    </r>
    <r>
      <rPr>
        <sz val="11"/>
        <color theme="1"/>
        <rFont val="ＭＳ Ｐゴシック"/>
        <family val="3"/>
        <charset val="128"/>
        <scheme val="minor"/>
      </rPr>
      <t>南多·托雷斯·波夫</t>
    </r>
  </si>
  <si>
    <r>
      <t>利口酒; 威士忌; 蜂蜜酒;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开胃酒; 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</si>
  <si>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腾</t>
    </r>
    <r>
      <rPr>
        <sz val="11"/>
        <color theme="1"/>
        <rFont val="ＭＳ Ｐゴシック"/>
        <family val="3"/>
        <charset val="128"/>
        <scheme val="minor"/>
      </rPr>
      <t>店数字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</si>
  <si>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腾</t>
    </r>
    <r>
      <rPr>
        <sz val="11"/>
        <color theme="1"/>
        <rFont val="ＭＳ Ｐゴシック"/>
        <family val="3"/>
        <charset val="128"/>
        <scheme val="minor"/>
      </rPr>
      <t>店数字科技有限公司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</si>
  <si>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威士忌; 米酒; 葡萄酒; 蒸煮提取物（利口酒和烈酒）;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</si>
  <si>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遵本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</si>
  <si>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</si>
  <si>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白干酒（中国白酒）;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</si>
  <si>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中婿</t>
  </si>
  <si>
    <t>朱文峰</t>
  </si>
  <si>
    <r>
      <t xml:space="preserve">清酒; 酸酒（低等葡萄酒）;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</si>
  <si>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DD_BBQ</t>
  </si>
  <si>
    <t>林明德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</si>
  <si>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</si>
  <si>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t>FULE</t>
  </si>
  <si>
    <r>
      <t>四川省</t>
    </r>
    <r>
      <rPr>
        <sz val="11"/>
        <color theme="1"/>
        <rFont val="ＭＳ Ｐゴシック"/>
        <family val="3"/>
        <charset val="134"/>
        <scheme val="minor"/>
      </rPr>
      <t>绵</t>
    </r>
    <r>
      <rPr>
        <sz val="11"/>
        <color theme="1"/>
        <rFont val="ＭＳ Ｐゴシック"/>
        <family val="3"/>
        <charset val="128"/>
        <scheme val="minor"/>
      </rPr>
      <t>阳市丰谷酒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</si>
  <si>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清酒（日本米酒）; 白酒;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葡萄酒</t>
    </r>
  </si>
  <si>
    <t>西小勇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</si>
  <si>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西西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</si>
  <si>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>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</si>
  <si>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伊布拉依木江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</si>
  <si>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开胃酒; 黄酒; 米酒; 朗姆酒; 威士忌; 伏特加酒</t>
    </r>
  </si>
  <si>
    <r>
      <t>战</t>
    </r>
    <r>
      <rPr>
        <sz val="11"/>
        <color theme="1"/>
        <rFont val="ＭＳ Ｐゴシック"/>
        <family val="3"/>
        <charset val="128"/>
        <scheme val="minor"/>
      </rPr>
      <t>杰</t>
    </r>
  </si>
  <si>
    <r>
      <t>合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</si>
  <si>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白干酒（中国白酒）; 高粱酒;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葡萄酒; 白酒</t>
    </r>
  </si>
  <si>
    <t>都</t>
  </si>
  <si>
    <r>
      <t>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</si>
  <si>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何一</t>
    </r>
    <r>
      <rPr>
        <sz val="11"/>
        <color theme="1"/>
        <rFont val="ＭＳ Ｐゴシック"/>
        <family val="3"/>
        <charset val="134"/>
        <scheme val="minor"/>
      </rPr>
      <t>访谈</t>
    </r>
  </si>
  <si>
    <t>杭州何一教育科技有限公司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</si>
  <si>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果酒（含酒精）;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</si>
  <si>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江南大小</t>
    </r>
    <r>
      <rPr>
        <sz val="11"/>
        <color theme="1"/>
        <rFont val="ＭＳ Ｐゴシック"/>
        <family val="3"/>
        <charset val="134"/>
        <scheme val="minor"/>
      </rPr>
      <t>乔</t>
    </r>
  </si>
  <si>
    <r>
      <t>徐</t>
    </r>
    <r>
      <rPr>
        <sz val="11"/>
        <color theme="1"/>
        <rFont val="ＭＳ Ｐゴシック"/>
        <family val="3"/>
        <charset val="134"/>
        <scheme val="minor"/>
      </rPr>
      <t>军华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</si>
  <si>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米酒; 威士忌;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</si>
  <si>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公主泉</t>
  </si>
  <si>
    <r>
      <t>吉林省利茂包装服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</si>
  <si>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白酒; 米酒; 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</si>
  <si>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小焦果酒</t>
  </si>
  <si>
    <t>吴宇帆</t>
  </si>
  <si>
    <r>
      <t>黑覆盆子酒; 日本梅子酒;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糯米酒; 水果汽酒; 果酒; 甜果酒; 果酒（含酒精）; 青梅酒;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黄酒; 薄荷酒; 开胃酒;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柑香酒; 蜂蜜酒; 白葡萄酒;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梅酒; 梨酒; 草莓酒;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苹果酒; ...</t>
    </r>
  </si>
  <si>
    <r>
      <t>独孤</t>
    </r>
    <r>
      <rPr>
        <sz val="11"/>
        <color theme="1"/>
        <rFont val="ＭＳ Ｐゴシック"/>
        <family val="3"/>
        <charset val="134"/>
        <scheme val="minor"/>
      </rPr>
      <t>轩辕</t>
    </r>
    <r>
      <rPr>
        <sz val="11"/>
        <color theme="1"/>
        <rFont val="ＭＳ Ｐゴシック"/>
        <family val="3"/>
        <charset val="128"/>
        <scheme val="minor"/>
      </rPr>
      <t>策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</si>
  <si>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多彩企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</si>
  <si>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食用酒精;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蒸煮提取物（利口酒和烈酒）; 果酒（含酒精）;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烈酒</t>
    </r>
  </si>
  <si>
    <t>八三萌叔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</si>
  <si>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蒸煮提取物（利口酒和烈酒）;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果酒（含酒精）; 米酒; 白干酒（中国白酒）; 白酒; 烈酒</t>
    </r>
  </si>
  <si>
    <r>
      <t>京都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寿堂</t>
    </r>
  </si>
  <si>
    <r>
      <t>京都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寿堂国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（石家庄）有限公司</t>
    </r>
  </si>
  <si>
    <r>
      <t>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黄酒; 米酒; 白酒; 伏特加酒</t>
    </r>
  </si>
  <si>
    <t>水木食仰</t>
  </si>
  <si>
    <r>
      <t>北京禹凰文化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</si>
  <si>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白酒; 果酒（含酒精）;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米酒; 黄酒; 汽酒; 食用酒精; 青稞酒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</si>
  <si>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</si>
  <si>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州遵</t>
    </r>
    <r>
      <rPr>
        <sz val="11"/>
        <color theme="1"/>
        <rFont val="ＭＳ Ｐゴシック"/>
        <family val="3"/>
        <charset val="134"/>
        <scheme val="minor"/>
      </rPr>
      <t>义贵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食品厂</t>
    </r>
  </si>
  <si>
    <r>
      <t>白酒;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</si>
  <si>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爱择</t>
    </r>
    <r>
      <rPr>
        <sz val="11"/>
        <color theme="1"/>
        <rFont val="ＭＳ Ｐゴシック"/>
        <family val="3"/>
        <charset val="129"/>
        <scheme val="minor"/>
      </rPr>
      <t>优</t>
    </r>
  </si>
  <si>
    <r>
      <t>爱择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（北京）餐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</si>
  <si>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</si>
  <si>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亦</t>
    </r>
    <r>
      <rPr>
        <sz val="11"/>
        <color theme="1"/>
        <rFont val="ＭＳ Ｐゴシック"/>
        <family val="3"/>
        <charset val="134"/>
        <scheme val="minor"/>
      </rPr>
      <t>鱼</t>
    </r>
  </si>
  <si>
    <r>
      <t>北京亦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</si>
  <si>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果酒; 蒸煮提取物（利口酒和烈酒）; 黄酒; 柑香酒;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</si>
  <si>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蜂蜜酒</t>
    </r>
  </si>
  <si>
    <t>沱香橙韵</t>
  </si>
  <si>
    <r>
      <t>舍得酒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</si>
  <si>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果酒（含酒精）;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蒸煮提取物（利口酒和烈酒）; 食用酒精;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</si>
  <si>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JING</t>
  </si>
  <si>
    <r>
      <t>劲</t>
    </r>
    <r>
      <rPr>
        <sz val="11"/>
        <color theme="1"/>
        <rFont val="ＭＳ Ｐゴシック"/>
        <family val="3"/>
        <charset val="128"/>
        <scheme val="minor"/>
      </rPr>
      <t>牌有限公司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</si>
  <si>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高粱酒; 露酒; 食用酒精;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</si>
  <si>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臻沱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</si>
  <si>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利口酒; 食用酒精; 葡萄酒</t>
    </r>
  </si>
  <si>
    <t>沱之礼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</si>
  <si>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葡萄酒; 利口酒; 食用酒精;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</si>
  <si>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舍得</t>
    </r>
    <r>
      <rPr>
        <sz val="11"/>
        <color theme="1"/>
        <rFont val="ＭＳ Ｐゴシック"/>
        <family val="3"/>
        <charset val="134"/>
        <scheme val="minor"/>
      </rPr>
      <t>经</t>
    </r>
  </si>
  <si>
    <r>
      <t>利口酒; 食用酒精;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</si>
  <si>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之舍得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</si>
  <si>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开胃酒; 蒸煮提取物（利口酒和烈酒）; 果酒（含酒精）; 利口酒</t>
    </r>
  </si>
  <si>
    <t>舍之情</t>
  </si>
  <si>
    <r>
      <t>葡萄酒; 白酒; 蒸煮提取物（利口酒和烈酒）; 果酒（含酒精）;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</si>
  <si>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醇果沱香</t>
  </si>
  <si>
    <r>
      <t xml:space="preserve">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开胃酒; 利口酒;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</si>
  <si>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子昂醇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</si>
  <si>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蒸煮提取物（利口酒和烈酒）; 果酒（含酒精）; 利口酒;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</si>
  <si>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r>
      <t>子昂</t>
    </r>
    <r>
      <rPr>
        <sz val="11"/>
        <color theme="1"/>
        <rFont val="ＭＳ Ｐゴシック"/>
        <family val="3"/>
        <charset val="134"/>
        <scheme val="minor"/>
      </rPr>
      <t>归</t>
    </r>
  </si>
  <si>
    <r>
      <t>开胃酒;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</si>
  <si>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沱</t>
    </r>
    <r>
      <rPr>
        <sz val="11"/>
        <color theme="1"/>
        <rFont val="ＭＳ Ｐゴシック"/>
        <family val="3"/>
        <charset val="129"/>
        <scheme val="minor"/>
      </rPr>
      <t>优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</si>
  <si>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食用酒精; 蒸煮提取物（利口酒和烈酒）;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</t>
    </r>
  </si>
  <si>
    <r>
      <t>古京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</si>
  <si>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上海淘兔兔文化</t>
    </r>
    <r>
      <rPr>
        <sz val="11"/>
        <color theme="1"/>
        <rFont val="ＭＳ Ｐゴシック"/>
        <family val="3"/>
        <charset val="134"/>
        <scheme val="minor"/>
      </rPr>
      <t>娱乐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</si>
  <si>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清酒（日本米酒）;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</si>
  <si>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亮大1号</t>
  </si>
  <si>
    <r>
      <t>龙见</t>
    </r>
    <r>
      <rPr>
        <sz val="11"/>
        <color theme="1"/>
        <rFont val="ＭＳ Ｐゴシック"/>
        <family val="3"/>
        <charset val="128"/>
        <scheme val="minor"/>
      </rPr>
      <t>才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</si>
  <si>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果酒（含酒精）; 白酒; 青稞酒; 食用酒精; 餐后酒（利口酒和烈酒）;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</si>
  <si>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凝睛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</si>
  <si>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州茅台（集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）生</t>
    </r>
    <r>
      <rPr>
        <sz val="11"/>
        <color theme="1"/>
        <rFont val="ＭＳ Ｐゴシック"/>
        <family val="3"/>
        <charset val="134"/>
        <scheme val="minor"/>
      </rPr>
      <t>态农业产业发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</si>
  <si>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露酒;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苹果酒; 白酒;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</si>
  <si>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t>好嘎婆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</si>
  <si>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州好嘎婆商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</si>
  <si>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</t>
    </r>
  </si>
  <si>
    <r>
      <t>雾</t>
    </r>
    <r>
      <rPr>
        <sz val="11"/>
        <color theme="1"/>
        <rFont val="ＭＳ Ｐゴシック"/>
        <family val="3"/>
        <charset val="128"/>
        <scheme val="minor"/>
      </rPr>
      <t>小希</t>
    </r>
  </si>
  <si>
    <r>
      <t>深圳水木生物制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</si>
  <si>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柑香酒; 葡萄酒; 苹果酒; 开胃酒; 苦味酒; 果酒（含酒精）</t>
    </r>
  </si>
  <si>
    <t>霜悦</t>
  </si>
  <si>
    <r>
      <t>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苹果酒; 威士忌; 利口酒;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</si>
  <si>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悦莓</t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</si>
  <si>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利口酒;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葡萄酒; 米酒; 苹果酒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</si>
  <si>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酒青</t>
    </r>
  </si>
  <si>
    <t>冉慧</t>
  </si>
  <si>
    <r>
      <t xml:space="preserve">白酒; 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烈酒; 高粱酒;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</si>
  <si>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以悦</t>
  </si>
  <si>
    <r>
      <t>白酒; 利口酒; 苹果酒; 葡萄酒; 威士忌;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</t>
    </r>
  </si>
  <si>
    <t>瞳睛</t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</si>
  <si>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威士忌; 葡萄酒; 米酒; 白酒; 利口酒; 苹果酒</t>
    </r>
  </si>
  <si>
    <t>酹月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</si>
  <si>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白酒; 威士忌; 利口酒; 苹果酒; 米酒; 葡萄酒</t>
    </r>
  </si>
  <si>
    <t>若悦</t>
  </si>
  <si>
    <r>
      <t>米酒; 白酒; 露酒; 利口酒;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苹果酒</t>
    </r>
  </si>
  <si>
    <r>
      <t>琼</t>
    </r>
    <r>
      <rPr>
        <sz val="11"/>
        <color theme="1"/>
        <rFont val="ＭＳ Ｐゴシック"/>
        <family val="3"/>
        <charset val="128"/>
        <scheme val="minor"/>
      </rPr>
      <t>悦</t>
    </r>
  </si>
  <si>
    <r>
      <t>露酒; 米酒;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威士忌; 白酒; 果酒（含酒精）;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</si>
  <si>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辉</t>
    </r>
    <r>
      <rPr>
        <sz val="11"/>
        <color theme="1"/>
        <rFont val="ＭＳ Ｐゴシック"/>
        <family val="3"/>
        <charset val="128"/>
        <scheme val="minor"/>
      </rPr>
      <t>睛</t>
    </r>
  </si>
  <si>
    <r>
      <t>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露酒; 苹果酒</t>
    </r>
  </si>
  <si>
    <r>
      <t>荟</t>
    </r>
    <r>
      <rPr>
        <sz val="11"/>
        <color theme="1"/>
        <rFont val="ＭＳ Ｐゴシック"/>
        <family val="3"/>
        <charset val="128"/>
        <scheme val="minor"/>
      </rPr>
      <t>睛</t>
    </r>
  </si>
  <si>
    <r>
      <t>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威士忌; 白酒;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苹果酒; 葡萄酒</t>
    </r>
  </si>
  <si>
    <t>守睛</t>
  </si>
  <si>
    <r>
      <t>米酒; 果酒（含酒精）; 苹果酒;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</t>
    </r>
  </si>
  <si>
    <r>
      <t>睛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</si>
  <si>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>果酒（含酒精）; 白酒;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威士忌;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苹果酒</t>
    </r>
  </si>
  <si>
    <t>重睛</t>
  </si>
  <si>
    <r>
      <t>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苹果酒; 白酒; 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</t>
    </r>
  </si>
  <si>
    <t>媚悦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</si>
  <si>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苹果酒; 露酒; 利口酒</t>
    </r>
  </si>
  <si>
    <t>睛秀</t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</si>
  <si>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果酒（含酒精）; 露酒; 葡萄酒</t>
    </r>
  </si>
  <si>
    <t>回睛</t>
  </si>
  <si>
    <r>
      <t>露酒; 葡萄酒; 利口酒;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苹果酒;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</t>
    </r>
  </si>
  <si>
    <r>
      <t>那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明月（北京）文化旅游有限公司</t>
    </r>
  </si>
  <si>
    <r>
      <t>果酒（含酒精）;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</si>
  <si>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YIGI KUMBULAK 新</t>
    </r>
    <r>
      <rPr>
        <sz val="11"/>
        <color theme="1"/>
        <rFont val="ＭＳ Ｐゴシック"/>
        <family val="3"/>
        <charset val="134"/>
        <scheme val="minor"/>
      </rPr>
      <t>库</t>
    </r>
    <r>
      <rPr>
        <sz val="11"/>
        <color theme="1"/>
        <rFont val="ＭＳ Ｐゴシック"/>
        <family val="3"/>
        <charset val="128"/>
        <scheme val="minor"/>
      </rPr>
      <t>木布拉克</t>
    </r>
  </si>
  <si>
    <r>
      <t>努力古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·吐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迪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</si>
  <si>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含酒精的气泡水;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</si>
  <si>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谷稻匠</t>
  </si>
  <si>
    <r>
      <t>邓</t>
    </r>
    <r>
      <rPr>
        <sz val="11"/>
        <color theme="1"/>
        <rFont val="ＭＳ Ｐゴシック"/>
        <family val="3"/>
        <charset val="128"/>
        <scheme val="minor"/>
      </rPr>
      <t>安佳</t>
    </r>
  </si>
  <si>
    <r>
      <t>果酒（含酒精）; 清酒（日本米酒）;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</si>
  <si>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天子呼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</si>
  <si>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利口酒; 开胃酒; 食用酒精;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</si>
  <si>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吞之乎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</si>
  <si>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蒸煮提取物（利口酒和烈酒）;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</t>
    </r>
  </si>
  <si>
    <t>前养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</si>
  <si>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承文化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</si>
  <si>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薄荷酒; 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</t>
    </r>
  </si>
  <si>
    <r>
      <t>圆</t>
    </r>
    <r>
      <rPr>
        <sz val="11"/>
        <color theme="1"/>
        <rFont val="ＭＳ Ｐゴシック"/>
        <family val="3"/>
        <charset val="128"/>
        <scheme val="minor"/>
      </rPr>
      <t>礼</t>
    </r>
  </si>
  <si>
    <r>
      <t>酒仙控股集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</si>
  <si>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白酒; 葡萄酒; 开胃酒</t>
    </r>
  </si>
  <si>
    <t>悠菲</t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</si>
  <si>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</t>
    </r>
    <r>
      <rPr>
        <sz val="11"/>
        <color theme="1"/>
        <rFont val="ＭＳ Ｐゴシック"/>
        <family val="3"/>
        <charset val="134"/>
        <scheme val="minor"/>
      </rPr>
      <t>觉</t>
    </r>
    <r>
      <rPr>
        <sz val="11"/>
        <color theme="1"/>
        <rFont val="ＭＳ Ｐゴシック"/>
        <family val="3"/>
        <charset val="128"/>
        <scheme val="minor"/>
      </rPr>
      <t>醒文化科技有限公司</t>
    </r>
  </si>
  <si>
    <r>
      <t xml:space="preserve">果酒（含酒精）; 茴芹酒（利口酒）; 餐后酒（利口酒和烈酒）;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茴香酒（利口酒）;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</si>
  <si>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园礼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</si>
  <si>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开胃酒;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</si>
  <si>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TETE DE CHEVAL</t>
  </si>
  <si>
    <r>
      <t>诺</t>
    </r>
    <r>
      <rPr>
        <sz val="11"/>
        <color theme="1"/>
        <rFont val="ＭＳ Ｐゴシック"/>
        <family val="3"/>
        <charset val="128"/>
        <scheme val="minor"/>
      </rPr>
      <t>瓦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夫品牌有限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</si>
  <si>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t>葡萄酒; 汽酒</t>
  </si>
  <si>
    <t>汽酒; 葡萄酒</t>
  </si>
  <si>
    <t>鮀城</t>
  </si>
  <si>
    <r>
      <t>邹</t>
    </r>
    <r>
      <rPr>
        <sz val="11"/>
        <color theme="1"/>
        <rFont val="ＭＳ Ｐゴシック"/>
        <family val="3"/>
        <charset val="128"/>
        <scheme val="minor"/>
      </rPr>
      <t>利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</si>
  <si>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</si>
  <si>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蒙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</t>
    </r>
  </si>
  <si>
    <r>
      <t>内蒙古蒙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代食品科技集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</si>
  <si>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烈酒;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</si>
  <si>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湖北利川</t>
    </r>
    <r>
      <rPr>
        <sz val="11"/>
        <color theme="1"/>
        <rFont val="ＭＳ Ｐゴシック"/>
        <family val="3"/>
        <charset val="134"/>
        <scheme val="minor"/>
      </rPr>
      <t>红产业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</si>
  <si>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高粱酒; 蜂蜜酒; 白酒; 清酒; 威士忌; 青稞酒;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</si>
  <si>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上罐</t>
  </si>
  <si>
    <t>邢台惜谷食品有限公司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</si>
  <si>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露酒</t>
    </r>
  </si>
  <si>
    <t>黔嘉</t>
  </si>
  <si>
    <r>
      <t>张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</si>
  <si>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果酒（含酒精）; 白酒; 威士忌; 葡萄酒</t>
    </r>
  </si>
  <si>
    <t>鞍梨</t>
  </si>
  <si>
    <r>
      <t>冯</t>
    </r>
    <r>
      <rPr>
        <sz val="11"/>
        <color theme="1"/>
        <rFont val="ＭＳ Ｐゴシック"/>
        <family val="3"/>
        <charset val="128"/>
        <scheme val="minor"/>
      </rPr>
      <t>冠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洋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</si>
  <si>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利口酒; 白酒; 米酒; 梨酒; 黄酒;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</si>
  <si>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r>
      <t>红尘</t>
    </r>
    <r>
      <rPr>
        <sz val="11"/>
        <color theme="1"/>
        <rFont val="ＭＳ Ｐゴシック"/>
        <family val="3"/>
        <charset val="128"/>
        <scheme val="minor"/>
      </rPr>
      <t>天下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</si>
  <si>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市臻雅合信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税咨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</si>
  <si>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威士忌; 米酒; 白酒;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</si>
  <si>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美</t>
    </r>
    <r>
      <rPr>
        <sz val="11"/>
        <color theme="1"/>
        <rFont val="ＭＳ Ｐゴシック"/>
        <family val="3"/>
        <charset val="134"/>
        <scheme val="minor"/>
      </rPr>
      <t>婵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</si>
  <si>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米酒</t>
    </r>
  </si>
  <si>
    <t>沧澜赋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</si>
  <si>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沧澜赋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</si>
  <si>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伏特加酒;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食用酒精; 朗姆酒; 威士忌</t>
    </r>
  </si>
  <si>
    <r>
      <t>龟</t>
    </r>
    <r>
      <rPr>
        <sz val="11"/>
        <color theme="1"/>
        <rFont val="ＭＳ Ｐゴシック"/>
        <family val="3"/>
        <charset val="128"/>
        <scheme val="minor"/>
      </rPr>
      <t>松</t>
    </r>
    <r>
      <rPr>
        <sz val="11"/>
        <color theme="1"/>
        <rFont val="ＭＳ Ｐゴシック"/>
        <family val="3"/>
        <charset val="134"/>
        <scheme val="minor"/>
      </rPr>
      <t>龄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</si>
  <si>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市大地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</si>
  <si>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汽酒; 黄酒; 烈酒; 果酒（含酒精）; 米酒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</si>
  <si>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院</t>
    </r>
  </si>
  <si>
    <t>孟国平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</si>
  <si>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白酒; 葡萄酒; 开胃酒;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</si>
  <si>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果酒; 米酒; 汽酒; 果酒（含酒精）;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黄酒</t>
    </r>
  </si>
  <si>
    <r>
      <t>帝</t>
    </r>
    <r>
      <rPr>
        <sz val="11"/>
        <color theme="1"/>
        <rFont val="ＭＳ Ｐゴシック"/>
        <family val="3"/>
        <charset val="134"/>
        <scheme val="minor"/>
      </rPr>
      <t>红</t>
    </r>
  </si>
  <si>
    <t>吴其寅</t>
  </si>
  <si>
    <r>
      <t>米酒; 青稞酒; 白酒; 葡萄酒; 高粱酒; 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</si>
  <si>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礼德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</si>
  <si>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州礼德酒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</si>
  <si>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威士忌;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清酒（日本米酒）</t>
    </r>
  </si>
  <si>
    <r>
      <t>忘年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·忘年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</si>
  <si>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州忘年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</si>
  <si>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</t>
    </r>
  </si>
  <si>
    <t>再出征</t>
  </si>
  <si>
    <r>
      <t>石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虎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</si>
  <si>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白酒; 汽酒; 餐后酒（利口酒和烈酒）;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</si>
  <si>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搽耳</t>
  </si>
  <si>
    <r>
      <t>谭</t>
    </r>
    <r>
      <rPr>
        <sz val="11"/>
        <color theme="1"/>
        <rFont val="ＭＳ Ｐゴシック"/>
        <family val="3"/>
        <charset val="128"/>
        <scheme val="minor"/>
      </rPr>
      <t>忠林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</si>
  <si>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果酒（含酒精）; 青稞酒;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</si>
  <si>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t>厚望</t>
  </si>
  <si>
    <t>胡登峰</t>
  </si>
  <si>
    <r>
      <t>白酒(清香型); 果酒;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清香型白酒; 葡萄酒; 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香型白酒; 黄酒; 白酒; 白酒(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香型)</t>
    </r>
  </si>
  <si>
    <r>
      <t>忘年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·当年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</si>
  <si>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白干酒（中国白酒）;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</si>
  <si>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忘年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·老友会</t>
    </r>
  </si>
  <si>
    <r>
      <t xml:space="preserve">葡萄酒; 黄酒; 白酒; 白干酒（中国白酒）; 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</si>
  <si>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沱牌悦</t>
    </r>
    <r>
      <rPr>
        <sz val="11"/>
        <color theme="1"/>
        <rFont val="ＭＳ Ｐゴシック"/>
        <family val="3"/>
        <charset val="134"/>
        <scheme val="minor"/>
      </rPr>
      <t>动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</si>
  <si>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蒸煮提取物（利口酒和烈酒）; 果酒（含酒精）; 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</si>
  <si>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舍得灵意</t>
  </si>
  <si>
    <r>
      <t>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蒸煮提取物（利口酒和烈酒）;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</t>
    </r>
  </si>
  <si>
    <t>舍得悦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</si>
  <si>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食用酒精;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</t>
    </r>
  </si>
  <si>
    <t>琢翠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</si>
  <si>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利口酒;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白酒; 蒸煮提取物（利口酒和烈酒）</t>
    </r>
  </si>
  <si>
    <t>遵青督造黄酒世家</t>
  </si>
  <si>
    <t>深圳市三智广告有限公司</t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</si>
  <si>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食用酒精; 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</t>
    </r>
  </si>
  <si>
    <t>悠幸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</si>
  <si>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蒸煮提取物（利口酒和烈酒）;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开胃酒; 葡萄酒</t>
    </r>
  </si>
  <si>
    <t>沱泉韵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</si>
  <si>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开胃酒; 白酒; 果酒（含酒精）; 葡萄酒; 食用酒精; 蒸煮提取物（利口酒和烈酒）;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</si>
  <si>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枝漾</t>
  </si>
  <si>
    <r>
      <t>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开胃酒; 果酒（含酒精）; 白酒</t>
    </r>
  </si>
  <si>
    <t>韵醇雅境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</si>
  <si>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开胃酒;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白酒</t>
    </r>
  </si>
  <si>
    <r>
      <t>沱小</t>
    </r>
    <r>
      <rPr>
        <sz val="11"/>
        <color theme="1"/>
        <rFont val="ＭＳ Ｐゴシック"/>
        <family val="3"/>
        <charset val="134"/>
        <scheme val="minor"/>
      </rPr>
      <t>饮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</si>
  <si>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开胃酒; 蒸煮提取物（利口酒和烈酒）; 利口酒;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</si>
  <si>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舍得</t>
    </r>
    <r>
      <rPr>
        <sz val="11"/>
        <color theme="1"/>
        <rFont val="ＭＳ Ｐゴシック"/>
        <family val="3"/>
        <charset val="134"/>
        <scheme val="minor"/>
      </rPr>
      <t>欢颜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</si>
  <si>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蒸煮提取物（利口酒和烈酒）; 葡萄酒; 利口酒; 开胃酒</t>
    </r>
  </si>
  <si>
    <r>
      <t>沱牌</t>
    </r>
    <r>
      <rPr>
        <sz val="11"/>
        <color theme="1"/>
        <rFont val="ＭＳ Ｐゴシック"/>
        <family val="3"/>
        <charset val="134"/>
        <scheme val="minor"/>
      </rPr>
      <t>颂</t>
    </r>
  </si>
  <si>
    <r>
      <t xml:space="preserve">利口酒;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食用酒精; 蒸煮提取物（利口酒和烈酒）;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</si>
  <si>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舍得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</si>
  <si>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蒸煮提取物（利口酒和烈酒）;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开胃酒; 利口酒</t>
    </r>
  </si>
  <si>
    <t>遵青黄酒世家</t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</si>
  <si>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米酒</t>
    </r>
  </si>
  <si>
    <t>沱牌花漾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</si>
  <si>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果酒（含酒精）; 葡萄酒;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</si>
  <si>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r>
      <t>上海玄霆</t>
    </r>
    <r>
      <rPr>
        <sz val="11"/>
        <color theme="1"/>
        <rFont val="ＭＳ Ｐゴシック"/>
        <family val="3"/>
        <charset val="134"/>
        <scheme val="minor"/>
      </rPr>
      <t>娱乐</t>
    </r>
    <r>
      <rPr>
        <sz val="11"/>
        <color theme="1"/>
        <rFont val="ＭＳ Ｐゴシック"/>
        <family val="3"/>
        <charset val="128"/>
        <scheme val="minor"/>
      </rPr>
      <t>信息科技有限公司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</si>
  <si>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朗姆酒;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</t>
    </r>
  </si>
  <si>
    <t>BELOW&amp;ABOVE</t>
  </si>
  <si>
    <r>
      <t>赛</t>
    </r>
    <r>
      <rPr>
        <sz val="11"/>
        <color theme="1"/>
        <rFont val="ＭＳ Ｐゴシック"/>
        <family val="3"/>
        <charset val="128"/>
        <scheme val="minor"/>
      </rPr>
      <t>拉有限公司</t>
    </r>
  </si>
  <si>
    <r>
      <t xml:space="preserve">酸酒（低等葡萄酒）; 薄荷酒;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开胃酒; 利口酒;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</si>
  <si>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BNSLIGHTHOUSEWHISKY</t>
  </si>
  <si>
    <r>
      <t>铂</t>
    </r>
    <r>
      <rPr>
        <sz val="11"/>
        <color theme="1"/>
        <rFont val="ＭＳ Ｐゴシック"/>
        <family val="3"/>
        <charset val="128"/>
        <scheme val="minor"/>
      </rPr>
      <t>睿新醇酒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</si>
  <si>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白葡萄酒; 威士忌; 酸酒（低等葡萄酒）; 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</si>
  <si>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清酒（日本米酒）; 汽酒; 米酒</t>
    </r>
  </si>
  <si>
    <t>一席春品</t>
  </si>
  <si>
    <t>泉州市只想不同广告有限公司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</si>
  <si>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青梅酒; 黄酒; 威士忌; 清酒（日本米酒）; 白酒; 伏特加酒</t>
    </r>
  </si>
  <si>
    <t>本灯塔威士忌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</si>
  <si>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白葡萄酒;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酸酒（低等葡萄酒）;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</si>
  <si>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晟达</t>
  </si>
  <si>
    <r>
      <t>上海晟达国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</si>
  <si>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威士忌; 清酒（日本米酒）; 伏特加酒;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</si>
  <si>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江口醇 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乾坤</t>
    </r>
  </si>
  <si>
    <r>
      <t>四川江口醇隆鼎酒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</si>
  <si>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</si>
  <si>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r>
      <t>好</t>
    </r>
    <r>
      <rPr>
        <sz val="11"/>
        <color theme="1"/>
        <rFont val="ＭＳ Ｐゴシック"/>
        <family val="3"/>
        <charset val="134"/>
        <scheme val="minor"/>
      </rPr>
      <t>样</t>
    </r>
    <r>
      <rPr>
        <sz val="11"/>
        <color theme="1"/>
        <rFont val="ＭＳ Ｐゴシック"/>
        <family val="3"/>
        <charset val="128"/>
        <scheme val="minor"/>
      </rPr>
      <t>子</t>
    </r>
  </si>
  <si>
    <r>
      <t>北川石椅好</t>
    </r>
    <r>
      <rPr>
        <sz val="11"/>
        <color theme="1"/>
        <rFont val="ＭＳ Ｐゴシック"/>
        <family val="3"/>
        <charset val="134"/>
        <scheme val="minor"/>
      </rPr>
      <t>样</t>
    </r>
    <r>
      <rPr>
        <sz val="11"/>
        <color theme="1"/>
        <rFont val="ＭＳ Ｐゴシック"/>
        <family val="3"/>
        <charset val="128"/>
        <scheme val="minor"/>
      </rPr>
      <t>子文旅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</si>
  <si>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</t>
    </r>
  </si>
  <si>
    <t>醇千福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</si>
  <si>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市南川区洞湾白酒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造厂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</si>
  <si>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青梅酒;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黄酒; 高粱酒; 蜂蜜酒; 葡萄酒; 米酒</t>
    </r>
  </si>
  <si>
    <r>
      <t>河湟新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</si>
  <si>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海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市天天宝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</si>
  <si>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开胃酒; 白酒; 青稞酒; 高粱酒; 烈酒; 米酒;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甜酒</t>
    </r>
  </si>
  <si>
    <t>NUTONE</t>
  </si>
  <si>
    <r>
      <t>邓</t>
    </r>
    <r>
      <rPr>
        <sz val="11"/>
        <color theme="1"/>
        <rFont val="ＭＳ Ｐゴシック"/>
        <family val="3"/>
        <charset val="128"/>
        <scheme val="minor"/>
      </rPr>
      <t>仁道</t>
    </r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</si>
  <si>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开胃酒; 威士忌</t>
    </r>
  </si>
  <si>
    <r>
      <t>三叫</t>
    </r>
    <r>
      <rPr>
        <sz val="11"/>
        <color theme="1"/>
        <rFont val="ＭＳ Ｐゴシック"/>
        <family val="3"/>
        <charset val="134"/>
        <scheme val="minor"/>
      </rPr>
      <t>骡</t>
    </r>
  </si>
  <si>
    <t>叶碎娟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</si>
  <si>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威士忌; 清酒（日本米酒）; 蜂蜜酒; 开胃酒; 黄酒</t>
    </r>
  </si>
  <si>
    <t>州某台</t>
  </si>
  <si>
    <r>
      <t>邓</t>
    </r>
    <r>
      <rPr>
        <sz val="11"/>
        <color theme="1"/>
        <rFont val="ＭＳ Ｐゴシック"/>
        <family val="3"/>
        <charset val="128"/>
        <scheme val="minor"/>
      </rPr>
      <t>珊珊******************</t>
    </r>
  </si>
  <si>
    <r>
      <t>黄酒; 果酒（含酒精）; 柑香酒;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开胃酒</t>
    </r>
  </si>
  <si>
    <r>
      <t>千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梦</t>
    </r>
  </si>
  <si>
    <r>
      <t>余昌</t>
    </r>
    <r>
      <rPr>
        <sz val="11"/>
        <color theme="1"/>
        <rFont val="ＭＳ Ｐゴシック"/>
        <family val="3"/>
        <charset val="134"/>
        <scheme val="minor"/>
      </rPr>
      <t>东</t>
    </r>
  </si>
  <si>
    <r>
      <t>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米酒; 黄酒; 白酒; 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</si>
  <si>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天大五</t>
    </r>
    <r>
      <rPr>
        <sz val="11"/>
        <color theme="1"/>
        <rFont val="ＭＳ Ｐゴシック"/>
        <family val="3"/>
        <charset val="134"/>
        <scheme val="minor"/>
      </rPr>
      <t>轮</t>
    </r>
    <r>
      <rPr>
        <sz val="11"/>
        <color theme="1"/>
        <rFont val="ＭＳ Ｐゴシック"/>
        <family val="3"/>
        <charset val="128"/>
        <scheme val="minor"/>
      </rPr>
      <t>次</t>
    </r>
  </si>
  <si>
    <r>
      <t>涿州天石塔</t>
    </r>
    <r>
      <rPr>
        <sz val="11"/>
        <color theme="1"/>
        <rFont val="ＭＳ Ｐゴシック"/>
        <family val="3"/>
        <charset val="134"/>
        <scheme val="minor"/>
      </rPr>
      <t>设备</t>
    </r>
    <r>
      <rPr>
        <sz val="11"/>
        <color theme="1"/>
        <rFont val="ＭＳ Ｐゴシック"/>
        <family val="3"/>
        <charset val="128"/>
        <scheme val="minor"/>
      </rPr>
      <t>制造有限公司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</si>
  <si>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</si>
  <si>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玖杏 玖杏河酒</t>
  </si>
  <si>
    <r>
      <t>临</t>
    </r>
    <r>
      <rPr>
        <sz val="11"/>
        <color theme="1"/>
        <rFont val="ＭＳ Ｐゴシック"/>
        <family val="3"/>
        <charset val="128"/>
        <scheme val="minor"/>
      </rPr>
      <t>汾市天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</si>
  <si>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烈酒;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威士忌; 白酒</t>
    </r>
  </si>
  <si>
    <r>
      <t>量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</si>
  <si>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>桐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市好敬吧酒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</si>
  <si>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甜酒; 汽酒; 白酒; 利口酒;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</si>
  <si>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半生</t>
    </r>
    <r>
      <rPr>
        <sz val="11"/>
        <color theme="1"/>
        <rFont val="ＭＳ Ｐゴシック"/>
        <family val="3"/>
        <charset val="134"/>
        <scheme val="minor"/>
      </rPr>
      <t>观</t>
    </r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</si>
  <si>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尔滨问</t>
    </r>
    <r>
      <rPr>
        <sz val="11"/>
        <color theme="1"/>
        <rFont val="ＭＳ Ｐゴシック"/>
        <family val="3"/>
        <charset val="128"/>
        <scheme val="minor"/>
      </rPr>
      <t>天品牌管理有限公司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</si>
  <si>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青稞酒; 白酒; 露酒;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</si>
  <si>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t>京台淄</t>
  </si>
  <si>
    <r>
      <t>北京酒追誉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</si>
  <si>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烈酒; 白酒; 葡萄酒; 白干酒（中国白酒）;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</si>
  <si>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太</t>
    </r>
    <r>
      <rPr>
        <sz val="11"/>
        <color theme="1"/>
        <rFont val="ＭＳ Ｐゴシック"/>
        <family val="3"/>
        <charset val="134"/>
        <scheme val="minor"/>
      </rPr>
      <t>陉</t>
    </r>
  </si>
  <si>
    <r>
      <t>山西赤兔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</si>
  <si>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</si>
  <si>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盛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精品</t>
    </r>
  </si>
  <si>
    <r>
      <t>南山集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</si>
  <si>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青稞酒;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</si>
  <si>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盛</t>
    </r>
    <r>
      <rPr>
        <sz val="11"/>
        <color theme="1"/>
        <rFont val="ＭＳ Ｐゴシック"/>
        <family val="3"/>
        <charset val="134"/>
        <scheme val="minor"/>
      </rPr>
      <t>龙经</t>
    </r>
    <r>
      <rPr>
        <sz val="11"/>
        <color theme="1"/>
        <rFont val="ＭＳ Ｐゴシック"/>
        <family val="3"/>
        <charset val="128"/>
        <scheme val="minor"/>
      </rPr>
      <t>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</si>
  <si>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</si>
  <si>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元途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</si>
  <si>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州元途酒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</si>
  <si>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黄酒</t>
    </r>
  </si>
  <si>
    <r>
      <t>御藏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</t>
    </r>
  </si>
  <si>
    <r>
      <t>山西御藏酒厂集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</si>
  <si>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白酒; 米酒; 葡萄酒; 开胃酒;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</si>
  <si>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嘉</t>
  </si>
  <si>
    <r>
      <t>刘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</si>
  <si>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葡萄酒; 开胃酒</t>
    </r>
  </si>
  <si>
    <r>
      <t>喳</t>
    </r>
    <r>
      <rPr>
        <sz val="11"/>
        <color theme="1"/>
        <rFont val="ＭＳ Ｐゴシック"/>
        <family val="3"/>
        <charset val="128"/>
        <scheme val="minor"/>
      </rPr>
      <t xml:space="preserve"> 19</t>
    </r>
  </si>
  <si>
    <r>
      <t>广州沃鑫投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</si>
  <si>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葡萄酒;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</si>
  <si>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小史店</t>
  </si>
  <si>
    <t>刘永力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</si>
  <si>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白干酒（中国白酒）;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</t>
    </r>
  </si>
  <si>
    <t>波特卡</t>
  </si>
  <si>
    <r>
      <t>张</t>
    </r>
    <r>
      <rPr>
        <sz val="11"/>
        <color theme="1"/>
        <rFont val="ＭＳ Ｐゴシック"/>
        <family val="3"/>
        <charset val="128"/>
        <scheme val="minor"/>
      </rPr>
      <t>友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</si>
  <si>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佐餐酒; 葡萄酒; 利口酒; 烈酒; 水果汽酒;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</t>
    </r>
  </si>
  <si>
    <r>
      <t>戎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将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</si>
  <si>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宝云</t>
    </r>
  </si>
  <si>
    <r>
      <t>白干酒（中国白酒）; 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白酒</t>
    </r>
  </si>
  <si>
    <t>花花家咖啡（四川）有限公司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</si>
  <si>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果酒（含酒精）; 葡萄酒; 草本型利口酒;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</si>
  <si>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YOLLEY</t>
  </si>
  <si>
    <r>
      <t>圣元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养食品有限公司</t>
    </r>
  </si>
  <si>
    <r>
      <t>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</si>
  <si>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弈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</si>
  <si>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>吴</t>
    </r>
    <r>
      <rPr>
        <sz val="11"/>
        <color theme="1"/>
        <rFont val="ＭＳ Ｐゴシック"/>
        <family val="3"/>
        <charset val="134"/>
        <scheme val="minor"/>
      </rPr>
      <t>现辉</t>
    </r>
  </si>
  <si>
    <r>
      <t xml:space="preserve">威士忌; 清酒;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烈酒;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</si>
  <si>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首境</t>
  </si>
  <si>
    <r>
      <t>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清酒; 高粱酒;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</t>
    </r>
  </si>
  <si>
    <t>毋不敬</t>
  </si>
  <si>
    <r>
      <t>山西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方之子酒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</si>
  <si>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烈酒; 白酒; 露酒;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</si>
  <si>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市公共交通集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</si>
  <si>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米酒;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</si>
  <si>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绪</t>
    </r>
    <r>
      <rPr>
        <sz val="11"/>
        <color theme="1"/>
        <rFont val="ＭＳ Ｐゴシック"/>
        <family val="3"/>
        <charset val="128"/>
        <scheme val="minor"/>
      </rPr>
      <t>台四方井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</si>
  <si>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州奥格威广告有限公司</t>
    </r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</si>
  <si>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白酒; 餐后酒（利口酒和烈酒）; 果酒（含酒精）; 苹果酒;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</si>
  <si>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壹中茶玖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</si>
  <si>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茶九食品商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</si>
  <si>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利口酒; 白酒; 葡萄酒; 清酒（日本米酒）; 烈酒; 梨酒; 甜酒;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</si>
  <si>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十一丈</t>
  </si>
  <si>
    <r>
      <t>西双版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益木堂茶</t>
    </r>
    <r>
      <rPr>
        <sz val="11"/>
        <color theme="1"/>
        <rFont val="ＭＳ Ｐゴシック"/>
        <family val="3"/>
        <charset val="134"/>
        <scheme val="minor"/>
      </rPr>
      <t>仓</t>
    </r>
    <r>
      <rPr>
        <sz val="11"/>
        <color theme="1"/>
        <rFont val="ＭＳ Ｐゴシック"/>
        <family val="3"/>
        <charset val="128"/>
        <scheme val="minor"/>
      </rPr>
      <t>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</si>
  <si>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威士忌; 露酒;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</si>
  <si>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开元三宝</t>
  </si>
  <si>
    <t>王杏杏</t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</si>
  <si>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白酒; 米酒;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</t>
    </r>
  </si>
  <si>
    <t>舍得知音</t>
  </si>
  <si>
    <r>
      <t>果酒（含酒精）; 利口酒;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</si>
  <si>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粮心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韵</t>
    </r>
  </si>
  <si>
    <r>
      <t>江西</t>
    </r>
    <r>
      <rPr>
        <sz val="11"/>
        <color theme="1"/>
        <rFont val="ＭＳ Ｐゴシック"/>
        <family val="3"/>
        <charset val="134"/>
        <scheme val="minor"/>
      </rPr>
      <t>赣</t>
    </r>
    <r>
      <rPr>
        <sz val="11"/>
        <color theme="1"/>
        <rFont val="ＭＳ Ｐゴシック"/>
        <family val="3"/>
        <charset val="128"/>
        <scheme val="minor"/>
      </rPr>
      <t>典酒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</si>
  <si>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青稞酒;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威士忌; 葡萄酒; 汽酒;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</t>
    </r>
  </si>
  <si>
    <t>四明虹甬梅</t>
  </si>
  <si>
    <r>
      <t>浙江舜祥酒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</si>
  <si>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汽酒</t>
    </r>
  </si>
  <si>
    <t>ARCANUM</t>
  </si>
  <si>
    <r>
      <t>杰克</t>
    </r>
    <r>
      <rPr>
        <sz val="11"/>
        <color theme="1"/>
        <rFont val="ＭＳ Ｐゴシック"/>
        <family val="3"/>
        <charset val="134"/>
        <scheme val="minor"/>
      </rPr>
      <t>逊</t>
    </r>
    <r>
      <rPr>
        <sz val="11"/>
        <color theme="1"/>
        <rFont val="ＭＳ Ｐゴシック"/>
        <family val="3"/>
        <charset val="128"/>
        <scheme val="minor"/>
      </rPr>
      <t>葡萄酒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</si>
  <si>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</si>
  <si>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青藏小阿姑</t>
  </si>
  <si>
    <r>
      <t>互助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秀美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林科技有限公司</t>
    </r>
  </si>
  <si>
    <r>
      <t xml:space="preserve">甜果酒;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青稞酒;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</si>
  <si>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政廷</t>
  </si>
  <si>
    <r>
      <t>左云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粮大叔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牧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</si>
  <si>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威士忌; 米酒</t>
    </r>
  </si>
  <si>
    <t>昌空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</si>
  <si>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州昌空酒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</si>
  <si>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甜果酒;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果酒; 白酒; 葡萄汽酒; 米酒; 开胃酒;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</si>
  <si>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河北丰景旅游开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</si>
  <si>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食用酒精;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</si>
  <si>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舍得雅</t>
    </r>
    <r>
      <rPr>
        <sz val="11"/>
        <color theme="1"/>
        <rFont val="ＭＳ Ｐゴシック"/>
        <family val="3"/>
        <charset val="134"/>
        <scheme val="minor"/>
      </rPr>
      <t>鉴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</si>
  <si>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蒸煮提取物（利口酒和烈酒）;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利口酒; 食用酒精; 果酒（含酒精）</t>
    </r>
  </si>
  <si>
    <r>
      <t>北京盛世火焰文化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</si>
  <si>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</si>
  <si>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长颈</t>
    </r>
    <r>
      <rPr>
        <sz val="11"/>
        <color theme="1"/>
        <rFont val="ＭＳ Ｐゴシック"/>
        <family val="3"/>
        <charset val="128"/>
        <scheme val="minor"/>
      </rPr>
      <t>帝</t>
    </r>
    <r>
      <rPr>
        <sz val="11"/>
        <color theme="1"/>
        <rFont val="ＭＳ Ｐゴシック"/>
        <family val="3"/>
        <charset val="134"/>
        <scheme val="minor"/>
      </rPr>
      <t>马轩</t>
    </r>
  </si>
  <si>
    <r>
      <t>邱信</t>
    </r>
    <r>
      <rPr>
        <sz val="11"/>
        <color theme="1"/>
        <rFont val="ＭＳ Ｐゴシック"/>
        <family val="3"/>
        <charset val="134"/>
        <scheme val="minor"/>
      </rPr>
      <t>监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</si>
  <si>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酸酒（低等葡萄酒）;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</t>
    </r>
  </si>
  <si>
    <r>
      <t>鲸</t>
    </r>
    <r>
      <rPr>
        <sz val="11"/>
        <color theme="1"/>
        <rFont val="ＭＳ Ｐゴシック"/>
        <family val="3"/>
        <charset val="128"/>
        <scheme val="minor"/>
      </rPr>
      <t>囍</t>
    </r>
  </si>
  <si>
    <r>
      <t>霍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果斯</t>
    </r>
    <r>
      <rPr>
        <sz val="11"/>
        <color theme="1"/>
        <rFont val="ＭＳ Ｐゴシック"/>
        <family val="3"/>
        <charset val="134"/>
        <scheme val="minor"/>
      </rPr>
      <t>枣</t>
    </r>
    <r>
      <rPr>
        <sz val="11"/>
        <color theme="1"/>
        <rFont val="ＭＳ Ｐゴシック"/>
        <family val="3"/>
        <charset val="128"/>
        <scheme val="minor"/>
      </rPr>
      <t>富神虫生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</si>
  <si>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开胃酒;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高粱酒; 白干酒（中国白酒）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</si>
  <si>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立方</t>
    </r>
  </si>
  <si>
    <t>潘志兵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</si>
  <si>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</t>
    </r>
  </si>
  <si>
    <r>
      <t>刺小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</si>
  <si>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州禾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夫酒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</si>
  <si>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葡萄酒;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</t>
    </r>
  </si>
  <si>
    <r>
      <t>见</t>
    </r>
    <r>
      <rPr>
        <sz val="11"/>
        <color theme="1"/>
        <rFont val="ＭＳ Ｐゴシック"/>
        <family val="3"/>
        <charset val="128"/>
        <scheme val="minor"/>
      </rPr>
      <t>男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</si>
  <si>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四川嘉家吉置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</si>
  <si>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</si>
  <si>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鼎霸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</si>
  <si>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汽酒; 白酒; 清酒（日本米酒）;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米酒; 葡萄酒; 果酒（含酒精）</t>
    </r>
  </si>
  <si>
    <t>立疆春</t>
  </si>
  <si>
    <r>
      <t>新疆立疆酒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</si>
  <si>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食用酒精;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蒸煮提取物（利口酒和烈酒）</t>
    </r>
  </si>
  <si>
    <r>
      <t>三</t>
    </r>
    <r>
      <rPr>
        <sz val="11"/>
        <color theme="1"/>
        <rFont val="ＭＳ Ｐゴシック"/>
        <family val="3"/>
        <charset val="134"/>
        <scheme val="minor"/>
      </rPr>
      <t>维标</t>
    </r>
    <r>
      <rPr>
        <sz val="11"/>
        <color theme="1"/>
        <rFont val="ＭＳ Ｐゴシック"/>
        <family val="3"/>
        <charset val="128"/>
        <scheme val="minor"/>
      </rPr>
      <t>志</t>
    </r>
  </si>
  <si>
    <r>
      <t>正官庄六年根商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（上海）有限公司</t>
    </r>
  </si>
  <si>
    <r>
      <t>食用酒精; 高粱酒; 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清酒; 葡萄酒; 汽酒</t>
    </r>
  </si>
  <si>
    <t>知心小九</t>
  </si>
  <si>
    <r>
      <t>张</t>
    </r>
    <r>
      <rPr>
        <sz val="11"/>
        <color theme="1"/>
        <rFont val="ＭＳ Ｐゴシック"/>
        <family val="3"/>
        <charset val="128"/>
        <scheme val="minor"/>
      </rPr>
      <t>雅娟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</si>
  <si>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</si>
  <si>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金牛熊</t>
  </si>
  <si>
    <r>
      <t>成都肆方棠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保科技有限公司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</si>
  <si>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甘蔗制烈酒; 白酒</t>
    </r>
  </si>
  <si>
    <r>
      <t>星星知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</si>
  <si>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宁夏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九品牌管理有限公司</t>
    </r>
  </si>
  <si>
    <r>
      <t>果酒（含酒精）; 葡萄酒;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餐后酒（利口酒和烈酒）</t>
    </r>
  </si>
  <si>
    <r>
      <t>荣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青韵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</si>
  <si>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鸭</t>
    </r>
    <r>
      <rPr>
        <sz val="11"/>
        <color theme="1"/>
        <rFont val="ＭＳ Ｐゴシック"/>
        <family val="3"/>
        <charset val="128"/>
        <scheme val="minor"/>
      </rPr>
      <t>溪酒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</si>
  <si>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白酒; 果酒（含酒精）; 苹果酒; 米酒</t>
    </r>
  </si>
  <si>
    <t>世泰</t>
  </si>
  <si>
    <r>
      <t>吴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芝</t>
    </r>
  </si>
  <si>
    <r>
      <t xml:space="preserve">清酒（日本米酒）;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伏特加酒; 黄酒; 青稞酒;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</si>
  <si>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州蓬台酒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</si>
  <si>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黄酒; 葡萄酒;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威士忌; 白酒;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</si>
  <si>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ERES TU</t>
  </si>
  <si>
    <r>
      <t>艾迪·戈麦斯·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丁内斯</t>
    </r>
  </si>
  <si>
    <t>全法葡韵</t>
  </si>
  <si>
    <r>
      <t>上海法澳加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</si>
  <si>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甜果酒; 白酒; 果酒; 葡萄潘趣酒; 白葡萄酒;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</si>
  <si>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BLACKITCH ARTISAN KITCHEN</t>
  </si>
  <si>
    <t>布莱基奇工匠厨房</t>
  </si>
  <si>
    <r>
      <t>薄荷酒; 蜂蜜酒;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利口酒</t>
    </r>
  </si>
  <si>
    <t>FAN BEAUTY GIRL</t>
  </si>
  <si>
    <r>
      <t>范美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（海南）化</t>
    </r>
    <r>
      <rPr>
        <sz val="11"/>
        <color theme="1"/>
        <rFont val="ＭＳ Ｐゴシック"/>
        <family val="3"/>
        <charset val="134"/>
        <scheme val="minor"/>
      </rPr>
      <t>妆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</si>
  <si>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</si>
  <si>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刘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全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</si>
  <si>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白酒; 葡萄酒; 米酒; 食用酒精</t>
    </r>
  </si>
  <si>
    <t>洞福源</t>
  </si>
  <si>
    <r>
      <t>杨</t>
    </r>
    <r>
      <rPr>
        <sz val="11"/>
        <color theme="1"/>
        <rFont val="ＭＳ Ｐゴシック"/>
        <family val="3"/>
        <charset val="128"/>
        <scheme val="minor"/>
      </rPr>
      <t>文叶武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</si>
  <si>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</si>
  <si>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物</t>
    </r>
    <r>
      <rPr>
        <sz val="11"/>
        <color theme="1"/>
        <rFont val="ＭＳ Ｐゴシック"/>
        <family val="3"/>
        <charset val="134"/>
        <scheme val="minor"/>
      </rPr>
      <t>语仓</t>
    </r>
  </si>
  <si>
    <r>
      <t>中国</t>
    </r>
    <r>
      <rPr>
        <sz val="11"/>
        <color theme="1"/>
        <rFont val="ＭＳ Ｐゴシック"/>
        <family val="3"/>
        <charset val="134"/>
        <scheme val="minor"/>
      </rPr>
      <t>华储</t>
    </r>
    <r>
      <rPr>
        <sz val="11"/>
        <color theme="1"/>
        <rFont val="ＭＳ Ｐゴシック"/>
        <family val="3"/>
        <charset val="128"/>
        <scheme val="minor"/>
      </rPr>
      <t>粮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</si>
  <si>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伏特加酒;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</si>
  <si>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皛二</t>
  </si>
  <si>
    <r>
      <t>河南拾美餐旅文化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</si>
  <si>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青稞酒; 黄酒; 开胃酒; 米酒; 利口酒;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</si>
  <si>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皛豫</t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</si>
  <si>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利口酒; 开胃酒; 米酒;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</t>
    </r>
  </si>
  <si>
    <t>皛季</t>
  </si>
  <si>
    <r>
      <t>开胃酒; 威士忌; 葡萄酒; 米酒; 青稞酒; 黄酒;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</si>
  <si>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湘偲</t>
    </r>
  </si>
  <si>
    <r>
      <t>连</t>
    </r>
    <r>
      <rPr>
        <sz val="11"/>
        <color theme="1"/>
        <rFont val="ＭＳ Ｐゴシック"/>
        <family val="3"/>
        <charset val="128"/>
        <scheme val="minor"/>
      </rPr>
      <t>利平</t>
    </r>
  </si>
  <si>
    <r>
      <t xml:space="preserve">白酒; 水果汽酒;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甜果酒;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利口酒</t>
    </r>
  </si>
  <si>
    <r>
      <t>徐宗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 xml:space="preserve"> 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</si>
  <si>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市徐大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</si>
  <si>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清酒（日本米酒）; 威士忌;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</si>
  <si>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r>
      <t>论</t>
    </r>
    <r>
      <rPr>
        <sz val="11"/>
        <color theme="1"/>
        <rFont val="ＭＳ Ｐゴシック"/>
        <family val="3"/>
        <charset val="128"/>
        <scheme val="minor"/>
      </rPr>
      <t>烈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</si>
  <si>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帅龙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</si>
  <si>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烈酒;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</si>
  <si>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宋河酒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 SONGHE DRINKS</t>
    </r>
  </si>
  <si>
    <r>
      <t>河南省宋河酒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</si>
  <si>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清酒（日本米酒）</t>
    </r>
  </si>
  <si>
    <t>京拾美</t>
  </si>
  <si>
    <r>
      <t xml:space="preserve">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利口酒;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葡萄酒; 威士忌; 青稞酒</t>
    </r>
  </si>
  <si>
    <t>皛淘汽</t>
  </si>
  <si>
    <r>
      <t>利口酒;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青稞酒;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威士忌</t>
    </r>
  </si>
  <si>
    <t>皛高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</si>
  <si>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利口酒; 威士忌;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青稞酒</t>
    </r>
  </si>
  <si>
    <t>众享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</si>
  <si>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五禾酒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</si>
  <si>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</t>
    </r>
  </si>
  <si>
    <t>人之醉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</si>
  <si>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月醉酒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</si>
  <si>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含酒精的气泡水; 白酒; 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</t>
    </r>
  </si>
  <si>
    <t>DOUBLE KIRIN</t>
  </si>
  <si>
    <r>
      <t>许进</t>
    </r>
    <r>
      <rPr>
        <sz val="11"/>
        <color theme="1"/>
        <rFont val="ＭＳ Ｐゴシック"/>
        <family val="3"/>
        <charset val="128"/>
        <scheme val="minor"/>
      </rPr>
      <t>禄</t>
    </r>
  </si>
  <si>
    <r>
      <t xml:space="preserve">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</si>
  <si>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藏九宗</t>
  </si>
  <si>
    <r>
      <t>刘明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</si>
  <si>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威士忌; 米酒;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烈酒; 葡萄酒; 汽酒</t>
    </r>
  </si>
  <si>
    <r>
      <t>崀</t>
    </r>
    <r>
      <rPr>
        <sz val="11"/>
        <color theme="1"/>
        <rFont val="ＭＳ Ｐゴシック"/>
        <family val="3"/>
        <charset val="128"/>
        <scheme val="minor"/>
      </rPr>
      <t>山状元酒</t>
    </r>
  </si>
  <si>
    <r>
      <t>湖南喜湘逢酒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</si>
  <si>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烈酒; 黄酒; 白干酒（中国白酒）; 草本型利口酒; 米酒;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甜酒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</si>
  <si>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笑三国</t>
    </r>
  </si>
  <si>
    <r>
      <t>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米酒; 清酒（日本米酒）;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烈酒; 葡萄酒</t>
    </r>
  </si>
  <si>
    <r>
      <t>纯</t>
    </r>
    <r>
      <rPr>
        <sz val="11"/>
        <color theme="1"/>
        <rFont val="ＭＳ Ｐゴシック"/>
        <family val="3"/>
        <charset val="128"/>
        <scheme val="minor"/>
      </rPr>
      <t>彩</t>
    </r>
  </si>
  <si>
    <r>
      <t>清流</t>
    </r>
    <r>
      <rPr>
        <sz val="11"/>
        <color theme="1"/>
        <rFont val="ＭＳ Ｐゴシック"/>
        <family val="3"/>
        <charset val="134"/>
        <scheme val="minor"/>
      </rPr>
      <t>县龙</t>
    </r>
    <r>
      <rPr>
        <sz val="11"/>
        <color theme="1"/>
        <rFont val="ＭＳ Ｐゴシック"/>
        <family val="3"/>
        <charset val="128"/>
        <scheme val="minor"/>
      </rPr>
      <t>津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中膏百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</si>
  <si>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果酒（含酒精）; 开胃酒; 餐后酒（利口酒和烈酒）;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</si>
  <si>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天乃白雨</t>
  </si>
  <si>
    <r>
      <t>株式会社科未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</si>
  <si>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利口酒; 蝮蛇酒;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烈酒; 朗姆酒; 杜松子酒;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日本梅子酒;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威士忌; 清酒（日本米酒）; 米酒;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>酒; 日本波布蛇酒;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日式甜米酒; ...</t>
    </r>
  </si>
  <si>
    <t>喔匠 VOJIANRM</t>
  </si>
  <si>
    <t>范翔</t>
  </si>
  <si>
    <r>
      <t>黄酒; 清酒（日本米酒）; 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威士忌</t>
    </r>
  </si>
  <si>
    <t>八谷霞春</t>
  </si>
  <si>
    <r>
      <t>河北格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悦康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</si>
  <si>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青稞酒; 甜果酒; 果酒; 烈酒; 白酒; 黄酒</t>
    </r>
  </si>
  <si>
    <r>
      <t>敬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唐客</t>
    </r>
  </si>
  <si>
    <r>
      <t>迁西万通</t>
    </r>
    <r>
      <rPr>
        <sz val="11"/>
        <color theme="1"/>
        <rFont val="ＭＳ Ｐゴシック"/>
        <family val="3"/>
        <charset val="134"/>
        <scheme val="minor"/>
      </rPr>
      <t>红农业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</si>
  <si>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梨酒;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米酒; 黄酒; 白酒;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果酒（含酒精）</t>
    </r>
  </si>
  <si>
    <t>稽山阳明</t>
  </si>
  <si>
    <r>
      <t>开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七件事（</t>
    </r>
    <r>
      <rPr>
        <sz val="11"/>
        <color theme="1"/>
        <rFont val="ＭＳ Ｐゴシック"/>
        <family val="3"/>
        <charset val="134"/>
        <scheme val="minor"/>
      </rPr>
      <t>绍兴</t>
    </r>
    <r>
      <rPr>
        <sz val="11"/>
        <color theme="1"/>
        <rFont val="ＭＳ Ｐゴシック"/>
        <family val="3"/>
        <charset val="128"/>
        <scheme val="minor"/>
      </rPr>
      <t>）食品有限公司</t>
    </r>
  </si>
  <si>
    <r>
      <t xml:space="preserve">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甘蔗制烈酒; 米酒;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</si>
  <si>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黑山峡</t>
  </si>
  <si>
    <t>王景汝</t>
  </si>
  <si>
    <r>
      <t>开胃酒;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青稞酒</t>
    </r>
  </si>
  <si>
    <t>潮汕八部</t>
  </si>
  <si>
    <r>
      <t>陈泽</t>
    </r>
    <r>
      <rPr>
        <sz val="11"/>
        <color theme="1"/>
        <rFont val="ＭＳ Ｐゴシック"/>
        <family val="3"/>
        <charset val="128"/>
        <scheme val="minor"/>
      </rPr>
      <t>彬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</si>
  <si>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</si>
  <si>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西桂平柿柿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黄酒有限公司</t>
    </r>
  </si>
  <si>
    <r>
      <t>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葡萄酒; 甜酒; 梅酒; 米酒;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</si>
  <si>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梅酒; 葡萄酒; 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</si>
  <si>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魏曹王·吟</t>
  </si>
  <si>
    <t>鲍晓辉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</si>
  <si>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</si>
  <si>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佳益佳</t>
  </si>
  <si>
    <r>
      <t>深圳</t>
    </r>
    <r>
      <rPr>
        <sz val="11"/>
        <color theme="1"/>
        <rFont val="ＭＳ Ｐゴシック"/>
        <family val="3"/>
        <charset val="134"/>
        <scheme val="minor"/>
      </rPr>
      <t>统</t>
    </r>
    <r>
      <rPr>
        <sz val="11"/>
        <color theme="1"/>
        <rFont val="ＭＳ Ｐゴシック"/>
        <family val="3"/>
        <charset val="128"/>
        <scheme val="minor"/>
      </rPr>
      <t>达投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</si>
  <si>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果酒（含酒精）</t>
    </r>
  </si>
  <si>
    <r>
      <t>八谷</t>
    </r>
    <r>
      <rPr>
        <sz val="11"/>
        <color theme="1"/>
        <rFont val="ＭＳ Ｐゴシック"/>
        <family val="3"/>
        <charset val="134"/>
        <scheme val="minor"/>
      </rPr>
      <t>硕</t>
    </r>
  </si>
  <si>
    <r>
      <t>果酒;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甜果酒; 青稞酒; 米酒;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</si>
  <si>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桂正心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</si>
  <si>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上</t>
    </r>
    <r>
      <rPr>
        <sz val="11"/>
        <color theme="1"/>
        <rFont val="ＭＳ Ｐゴシック"/>
        <family val="3"/>
        <charset val="129"/>
        <scheme val="minor"/>
      </rPr>
      <t>榆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</si>
  <si>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 xml:space="preserve">葡萄酒; 白酒; 甜酒; 高粱酒;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青梅酒; 清酒（日本米酒）</t>
    </r>
  </si>
  <si>
    <r>
      <t>天津御福隆酒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</si>
  <si>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利口酒; 开胃酒;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</si>
  <si>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r>
      <t>因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之序</t>
    </r>
  </si>
  <si>
    <t>浙江英特健康文化有限公司</t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</si>
  <si>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汽酒; 黄酒; 蜂蜜酒; 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</si>
  <si>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寄恋</t>
  </si>
  <si>
    <r>
      <t>杭州淳瀚网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</si>
  <si>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葡萄酒; 白酒; 汽酒;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</si>
  <si>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方印味</t>
    </r>
  </si>
  <si>
    <r>
      <t>佛山富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文化有限公司</t>
    </r>
  </si>
  <si>
    <r>
      <t>苹果酒; 葡萄酒; 薄荷酒;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茴芹酒（利口酒）;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苦味酒;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</si>
  <si>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西域</t>
    </r>
  </si>
  <si>
    <r>
      <t xml:space="preserve">葡萄酒; 果酒（含酒精）; 白酒; 开胃酒; 食用酒精;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</si>
  <si>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BF ANCIENT VINE</t>
  </si>
  <si>
    <r>
      <t>深圳市</t>
    </r>
    <r>
      <rPr>
        <sz val="11"/>
        <color theme="1"/>
        <rFont val="ＭＳ Ｐゴシック"/>
        <family val="3"/>
        <charset val="129"/>
        <scheme val="minor"/>
      </rPr>
      <t>喵</t>
    </r>
    <r>
      <rPr>
        <sz val="11"/>
        <color theme="1"/>
        <rFont val="ＭＳ Ｐゴシック"/>
        <family val="3"/>
        <charset val="128"/>
        <scheme val="minor"/>
      </rPr>
      <t>跑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</si>
  <si>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利口酒; 米酒; 威士忌</t>
    </r>
  </si>
  <si>
    <t>听瓜</t>
  </si>
  <si>
    <r>
      <t>孙</t>
    </r>
    <r>
      <rPr>
        <sz val="11"/>
        <color theme="1"/>
        <rFont val="ＭＳ Ｐゴシック"/>
        <family val="3"/>
        <charset val="128"/>
        <scheme val="minor"/>
      </rPr>
      <t>翠芝</t>
    </r>
  </si>
  <si>
    <r>
      <t>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葡萄酒;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米酒</t>
    </r>
  </si>
  <si>
    <r>
      <t>发</t>
    </r>
    <r>
      <rPr>
        <sz val="11"/>
        <color theme="1"/>
        <rFont val="ＭＳ Ｐゴシック"/>
        <family val="3"/>
        <charset val="128"/>
        <scheme val="minor"/>
      </rPr>
      <t>酒年藏原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</si>
  <si>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沙市天心区雅娟鞋服店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</si>
  <si>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白酒</t>
    </r>
  </si>
  <si>
    <r>
      <t>初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</si>
  <si>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黄酒; 果酒（含酒精）;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</si>
  <si>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万灵至宝 仙酒</t>
  </si>
  <si>
    <r>
      <t>成都思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</si>
  <si>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黄酒; 白酒; 露酒;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</t>
    </r>
  </si>
  <si>
    <t>ONEFIFTEEN</t>
  </si>
  <si>
    <r>
      <t>上海初衣食午商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</si>
  <si>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餐后酒（利口酒和烈酒）;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</si>
  <si>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莫彼</t>
  </si>
  <si>
    <r>
      <t>开胃酒;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清酒（日本米酒）; 黄酒; 果酒（含酒精）</t>
    </r>
  </si>
  <si>
    <t>威壮</t>
  </si>
  <si>
    <r>
      <t>余振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</si>
  <si>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 xml:space="preserve">高粱酒; 米酒;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青梅酒</t>
    </r>
  </si>
  <si>
    <r>
      <t>曾媳</t>
    </r>
    <r>
      <rPr>
        <sz val="11"/>
        <color theme="1"/>
        <rFont val="ＭＳ Ｐゴシック"/>
        <family val="3"/>
        <charset val="134"/>
        <scheme val="minor"/>
      </rPr>
      <t>妇</t>
    </r>
  </si>
  <si>
    <r>
      <t>于都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曾媳</t>
    </r>
    <r>
      <rPr>
        <sz val="11"/>
        <color theme="1"/>
        <rFont val="ＭＳ Ｐゴシック"/>
        <family val="3"/>
        <charset val="134"/>
        <scheme val="minor"/>
      </rPr>
      <t>妇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</si>
  <si>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 xml:space="preserve">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青稞酒; 果酒（含酒精）; 葡萄酒; 白酒</t>
    </r>
  </si>
  <si>
    <t>滑州大寨</t>
  </si>
  <si>
    <r>
      <t>赵进</t>
    </r>
    <r>
      <rPr>
        <sz val="11"/>
        <color theme="1"/>
        <rFont val="ＭＳ Ｐゴシック"/>
        <family val="3"/>
        <charset val="128"/>
        <scheme val="minor"/>
      </rPr>
      <t>国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</si>
  <si>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米酒; 薄荷酒; 餐后酒（利口酒和烈酒）</t>
    </r>
  </si>
  <si>
    <t>本土本色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</si>
  <si>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西本土本色网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</si>
  <si>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黄酒;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</si>
  <si>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t>全德老作坊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</si>
  <si>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全德酒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</si>
  <si>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食用酒精; 果酒（含酒精）; 黄酒;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</si>
  <si>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酌湖台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</si>
  <si>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州中湖台酒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</si>
  <si>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蒸煮提取物（利口酒和烈酒）</t>
    </r>
  </si>
  <si>
    <t>TAICOLOUR</t>
  </si>
  <si>
    <r>
      <t>黄</t>
    </r>
    <r>
      <rPr>
        <sz val="11"/>
        <color theme="1"/>
        <rFont val="ＭＳ Ｐゴシック"/>
        <family val="3"/>
        <charset val="134"/>
        <scheme val="minor"/>
      </rPr>
      <t>标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</si>
  <si>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清酒（日本米酒）;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</si>
  <si>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r>
      <t>观剑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</si>
  <si>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湘芸*****************X</t>
    </r>
  </si>
  <si>
    <r>
      <t>黄酒; 伏特加酒; 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</si>
  <si>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晋</t>
    </r>
    <r>
      <rPr>
        <sz val="11"/>
        <color theme="1"/>
        <rFont val="ＭＳ Ｐゴシック"/>
        <family val="3"/>
        <charset val="134"/>
        <scheme val="minor"/>
      </rPr>
      <t>吕</t>
    </r>
    <r>
      <rPr>
        <sz val="11"/>
        <color theme="1"/>
        <rFont val="ＭＳ Ｐゴシック"/>
        <family val="3"/>
        <charset val="128"/>
        <scheme val="minor"/>
      </rPr>
      <t>互梁醉</t>
    </r>
  </si>
  <si>
    <r>
      <t>吕</t>
    </r>
    <r>
      <rPr>
        <sz val="11"/>
        <color theme="1"/>
        <rFont val="ＭＳ Ｐゴシック"/>
        <family val="3"/>
        <charset val="128"/>
        <scheme val="minor"/>
      </rPr>
      <t>梁六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花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</si>
  <si>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葡萄酒;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</si>
  <si>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SUN CHUAN LONG</t>
  </si>
  <si>
    <r>
      <t>太阳川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</si>
  <si>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米酒;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果酒（含酒精）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</si>
  <si>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粮宵</t>
    </r>
  </si>
  <si>
    <t>王朴</t>
  </si>
  <si>
    <r>
      <t>威士忌; 蜂蜜酒;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清酒（日本米酒）</t>
    </r>
  </si>
  <si>
    <r>
      <t>史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南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</si>
  <si>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葡萄酒; 伏特加酒</t>
    </r>
  </si>
  <si>
    <t>淮家将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</si>
  <si>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黄酒; 青稞酒;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</t>
    </r>
  </si>
  <si>
    <t>荞贺</t>
  </si>
  <si>
    <t>王娜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</si>
  <si>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白酒; 清酒（日本米酒）; 开胃酒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</si>
  <si>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元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</si>
  <si>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清酒（日本米酒）; 蜂蜜酒; 黄酒; 青稞酒;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</si>
  <si>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贵玺</t>
    </r>
    <r>
      <rPr>
        <sz val="11"/>
        <color theme="1"/>
        <rFont val="ＭＳ Ｐゴシック"/>
        <family val="3"/>
        <charset val="128"/>
        <scheme val="minor"/>
      </rPr>
      <t>年份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</si>
  <si>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贵玺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</si>
  <si>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</t>
    </r>
  </si>
  <si>
    <t>阳春帝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</si>
  <si>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景阳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</si>
  <si>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梅酒; 米酒;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甜酒; 葡萄酒</t>
    </r>
  </si>
  <si>
    <r>
      <t>沐日</t>
    </r>
    <r>
      <rPr>
        <sz val="11"/>
        <color theme="1"/>
        <rFont val="ＭＳ Ｐゴシック"/>
        <family val="3"/>
        <charset val="134"/>
        <scheme val="minor"/>
      </rPr>
      <t>欢饮</t>
    </r>
  </si>
  <si>
    <r>
      <t>北京沐日好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</si>
  <si>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白葡萄酒;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苹果酒; 威士忌;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起泡白葡萄酒;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</si>
  <si>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䖝二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月无</t>
    </r>
    <r>
      <rPr>
        <sz val="11"/>
        <color theme="1"/>
        <rFont val="ＭＳ Ｐゴシック"/>
        <family val="3"/>
        <charset val="134"/>
        <scheme val="minor"/>
      </rPr>
      <t>边</t>
    </r>
  </si>
  <si>
    <t>何小娟</t>
  </si>
  <si>
    <r>
      <t xml:space="preserve">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烈酒; 葡萄酒; 黄酒; 开胃酒</t>
    </r>
  </si>
  <si>
    <r>
      <t>犁邱雪水</t>
    </r>
    <r>
      <rPr>
        <sz val="11"/>
        <color theme="1"/>
        <rFont val="ＭＳ Ｐゴシック"/>
        <family val="3"/>
        <charset val="134"/>
        <scheme val="minor"/>
      </rPr>
      <t>莲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</si>
  <si>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临</t>
    </r>
    <r>
      <rPr>
        <sz val="11"/>
        <color theme="1"/>
        <rFont val="ＭＳ Ｐゴシック"/>
        <family val="3"/>
        <charset val="128"/>
        <scheme val="minor"/>
      </rPr>
      <t>邑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升商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</si>
  <si>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黄酒; 果酒; 白干酒（中国白酒）; 清酒; 青稞酒;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</si>
  <si>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BZBO</t>
  </si>
  <si>
    <t>弗德莱博（杭州）科技有限公司</t>
  </si>
  <si>
    <r>
      <t>黔世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</si>
  <si>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开胃酒; 威士忌; 黄酒; 白酒</t>
    </r>
  </si>
  <si>
    <t>小白江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</si>
  <si>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瓶子星球酒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</si>
  <si>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</t>
    </r>
  </si>
  <si>
    <r>
      <t>力</t>
    </r>
    <r>
      <rPr>
        <sz val="11"/>
        <color theme="1"/>
        <rFont val="ＭＳ Ｐゴシック"/>
        <family val="3"/>
        <charset val="134"/>
        <scheme val="minor"/>
      </rPr>
      <t>酝</t>
    </r>
    <r>
      <rPr>
        <sz val="11"/>
        <color theme="1"/>
        <rFont val="ＭＳ Ｐゴシック"/>
        <family val="3"/>
        <charset val="128"/>
        <scheme val="minor"/>
      </rPr>
      <t>于心</t>
    </r>
  </si>
  <si>
    <r>
      <t>安徽玉露清酒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</si>
  <si>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清酒（日本米酒）; 葡萄酒;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</si>
  <si>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t>MADAME BLANCHE</t>
  </si>
  <si>
    <r>
      <t>大酩鼎鼎（北京）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</si>
  <si>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葡萄酒; 烈酒;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麦芽威士忌; 威士忌; 白葡萄酒;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</si>
  <si>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瑞程祥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</si>
  <si>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东锦</t>
    </r>
    <r>
      <rPr>
        <sz val="11"/>
        <color theme="1"/>
        <rFont val="ＭＳ Ｐゴシック"/>
        <family val="3"/>
        <charset val="128"/>
        <scheme val="minor"/>
      </rPr>
      <t>程致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智能科技有限公司</t>
    </r>
  </si>
  <si>
    <r>
      <t>黄酒; 果酒（含酒精）;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</si>
  <si>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畅</t>
    </r>
    <r>
      <rPr>
        <sz val="11"/>
        <color theme="1"/>
        <rFont val="ＭＳ Ｐゴシック"/>
        <family val="3"/>
        <charset val="128"/>
        <scheme val="minor"/>
      </rPr>
      <t>四海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</si>
  <si>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青稞酒; 清酒（日本米酒）; 黄酒; 威士忌;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</si>
  <si>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大白江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</si>
  <si>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葡萄酒; 威士忌; 米酒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</si>
  <si>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赐</t>
    </r>
    <r>
      <rPr>
        <sz val="11"/>
        <color theme="1"/>
        <rFont val="ＭＳ Ｐゴシック"/>
        <family val="3"/>
        <charset val="128"/>
        <scheme val="minor"/>
      </rPr>
      <t>康家酒</t>
    </r>
  </si>
  <si>
    <t>深圳市牡丹花科技有限公司</t>
  </si>
  <si>
    <r>
      <t xml:space="preserve">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</si>
  <si>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云港王子</t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</si>
  <si>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白酒; 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葡萄酒; 食用酒精</t>
    </r>
  </si>
  <si>
    <t>小江白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</si>
  <si>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</si>
  <si>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沂小田</t>
  </si>
  <si>
    <r>
      <t xml:space="preserve">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威士忌</t>
    </r>
  </si>
  <si>
    <t>斛汀</t>
  </si>
  <si>
    <r>
      <t xml:space="preserve">威士忌; 开胃酒; 蜂蜜酒;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</si>
  <si>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t>金弘安</t>
  </si>
  <si>
    <r>
      <t>滁州金弘安米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</si>
  <si>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</si>
  <si>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候樽迎</t>
  </si>
  <si>
    <r>
      <t>张</t>
    </r>
    <r>
      <rPr>
        <sz val="11"/>
        <color theme="1"/>
        <rFont val="ＭＳ Ｐゴシック"/>
        <family val="3"/>
        <charset val="128"/>
        <scheme val="minor"/>
      </rPr>
      <t>秀</t>
    </r>
  </si>
  <si>
    <r>
      <t xml:space="preserve">白酒; 葡萄酒;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</si>
  <si>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謇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雪酒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</si>
  <si>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瑞雨</t>
    </r>
  </si>
  <si>
    <r>
      <t>果酒（含酒精）; 葡萄酒;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利口酒; 黄酒; 食用酒精;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</si>
  <si>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馥</t>
    </r>
    <r>
      <rPr>
        <sz val="11"/>
        <color theme="1"/>
        <rFont val="ＭＳ Ｐゴシック"/>
        <family val="3"/>
        <charset val="134"/>
        <scheme val="minor"/>
      </rPr>
      <t>叹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</si>
  <si>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开胃酒; 清酒（日本米酒）</t>
    </r>
  </si>
  <si>
    <t>花馥元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</si>
  <si>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威士忌; 蜂蜜酒; 青稞酒</t>
    </r>
  </si>
  <si>
    <r>
      <t>择</t>
    </r>
    <r>
      <rPr>
        <sz val="11"/>
        <color theme="1"/>
        <rFont val="ＭＳ Ｐゴシック"/>
        <family val="3"/>
        <charset val="128"/>
        <scheme val="minor"/>
      </rPr>
      <t>典</t>
    </r>
  </si>
  <si>
    <t>李康</t>
  </si>
  <si>
    <r>
      <t>葡萄酒; 白酒; 果酒（含酒精）;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</si>
  <si>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情</t>
    </r>
    <r>
      <rPr>
        <sz val="11"/>
        <color theme="1"/>
        <rFont val="ＭＳ Ｐゴシック"/>
        <family val="3"/>
        <charset val="134"/>
        <scheme val="minor"/>
      </rPr>
      <t>绪</t>
    </r>
    <r>
      <rPr>
        <sz val="11"/>
        <color theme="1"/>
        <rFont val="ＭＳ Ｐゴシック"/>
        <family val="3"/>
        <charset val="128"/>
        <scheme val="minor"/>
      </rPr>
      <t>男孩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</si>
  <si>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</si>
  <si>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</t>
    </r>
  </si>
  <si>
    <r>
      <t>西羊市</t>
    </r>
    <r>
      <rPr>
        <sz val="11"/>
        <color theme="1"/>
        <rFont val="ＭＳ Ｐゴシック"/>
        <family val="3"/>
        <charset val="134"/>
        <scheme val="minor"/>
      </rPr>
      <t>孙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</si>
  <si>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西瑞意食品有限公司</t>
    </r>
  </si>
  <si>
    <r>
      <t>黄酒; 果酒; 米酒;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</si>
  <si>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比熊</t>
    </r>
  </si>
  <si>
    <r>
      <t>南京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岩百</t>
    </r>
    <r>
      <rPr>
        <sz val="11"/>
        <color theme="1"/>
        <rFont val="ＭＳ Ｐゴシック"/>
        <family val="3"/>
        <charset val="134"/>
        <scheme val="minor"/>
      </rPr>
      <t>货贸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</si>
  <si>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伏特加酒; 柑香酒;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苹果酒; 朗姆酒; 杜松子酒; 蜂蜜酒; 苦味酒;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</si>
  <si>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CHATEAU HAUT MONT DO'R</t>
  </si>
  <si>
    <r>
      <t>潍</t>
    </r>
    <r>
      <rPr>
        <sz val="11"/>
        <color theme="1"/>
        <rFont val="ＭＳ Ｐゴシック"/>
        <family val="3"/>
        <charset val="128"/>
        <scheme val="minor"/>
      </rPr>
      <t>坊高崖仙月葡萄酒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造有限公司</t>
    </r>
  </si>
  <si>
    <r>
      <t>果酒（含酒精）; 伏特加酒; 黄酒; 威士忌; 清酒;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汽酒; 白酒</t>
    </r>
  </si>
  <si>
    <r>
      <t>洛恒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</si>
  <si>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恒志</t>
    </r>
  </si>
  <si>
    <r>
      <t xml:space="preserve">清酒;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开胃酒; 白酒; 青稞酒; 果酒;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</si>
  <si>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盛巴</t>
  </si>
  <si>
    <r>
      <t>威士忌;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清酒; 白酒; 餐后酒（利口酒和烈酒）;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烈酒; 米酒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</si>
  <si>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主角</t>
    </r>
  </si>
  <si>
    <r>
      <t>焦作</t>
    </r>
    <r>
      <rPr>
        <sz val="11"/>
        <color theme="1"/>
        <rFont val="ＭＳ Ｐゴシック"/>
        <family val="3"/>
        <charset val="134"/>
        <scheme val="minor"/>
      </rPr>
      <t>卢</t>
    </r>
    <r>
      <rPr>
        <sz val="11"/>
        <color theme="1"/>
        <rFont val="ＭＳ Ｐゴシック"/>
        <family val="3"/>
        <charset val="128"/>
        <scheme val="minor"/>
      </rPr>
      <t>温堡酒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</si>
  <si>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利口酒; 威士忌; 清酒; 米酒;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</si>
  <si>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r>
      <t>布茶</t>
    </r>
    <r>
      <rPr>
        <sz val="11"/>
        <color theme="1"/>
        <rFont val="ＭＳ Ｐゴシック"/>
        <family val="3"/>
        <charset val="134"/>
        <scheme val="minor"/>
      </rPr>
      <t>鸡</t>
    </r>
  </si>
  <si>
    <r>
      <t>北京吉祥茶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</si>
  <si>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薄荷酒;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白酒; 果酒（含酒精）</t>
    </r>
  </si>
  <si>
    <t>非常度之度</t>
  </si>
  <si>
    <t>米静</t>
  </si>
  <si>
    <r>
      <t xml:space="preserve">果酒（含酒精）; 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</si>
  <si>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八宝森翁</t>
  </si>
  <si>
    <r>
      <t>柳河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春耕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</si>
  <si>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青稞酒;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白酒; 果酒;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甜酒</t>
    </r>
  </si>
  <si>
    <r>
      <t>情</t>
    </r>
    <r>
      <rPr>
        <sz val="11"/>
        <color theme="1"/>
        <rFont val="ＭＳ Ｐゴシック"/>
        <family val="3"/>
        <charset val="134"/>
        <scheme val="minor"/>
      </rPr>
      <t>绪</t>
    </r>
    <r>
      <rPr>
        <sz val="11"/>
        <color theme="1"/>
        <rFont val="ＭＳ Ｐゴシック"/>
        <family val="3"/>
        <charset val="128"/>
        <scheme val="minor"/>
      </rPr>
      <t>女孩</t>
    </r>
  </si>
  <si>
    <r>
      <t>果酒（含酒精）; 葡萄酒; 蜂蜜酒; 苹果酒;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</si>
  <si>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匠都酒</t>
    </r>
    <r>
      <rPr>
        <sz val="11"/>
        <color theme="1"/>
        <rFont val="ＭＳ Ｐゴシック"/>
        <family val="3"/>
        <charset val="134"/>
        <scheme val="minor"/>
      </rPr>
      <t>银库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</si>
  <si>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</si>
  <si>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米酒; 白酒;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</si>
  <si>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八宝参翁</t>
  </si>
  <si>
    <r>
      <t>白酒; 甜酒; 青稞酒;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</si>
  <si>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r>
      <t>懂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帝</t>
    </r>
  </si>
  <si>
    <t>北京味泱科技有限公司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</si>
  <si>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白酒; 清酒（日本米酒）;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</si>
  <si>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勒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莉</t>
    </r>
  </si>
  <si>
    <r>
      <t>新疆</t>
    </r>
    <r>
      <rPr>
        <sz val="11"/>
        <color theme="1"/>
        <rFont val="ＭＳ Ｐゴシック"/>
        <family val="3"/>
        <charset val="134"/>
        <scheme val="minor"/>
      </rPr>
      <t>帅驼</t>
    </r>
    <r>
      <rPr>
        <sz val="11"/>
        <color theme="1"/>
        <rFont val="ＭＳ Ｐゴシック"/>
        <family val="3"/>
        <charset val="128"/>
        <scheme val="minor"/>
      </rPr>
      <t>影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</si>
  <si>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清酒（日本米酒）;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</t>
    </r>
  </si>
  <si>
    <r>
      <t>链动</t>
    </r>
    <r>
      <rPr>
        <sz val="11"/>
        <color theme="1"/>
        <rFont val="ＭＳ Ｐゴシック"/>
        <family val="3"/>
        <charset val="128"/>
        <scheme val="minor"/>
      </rPr>
      <t>易</t>
    </r>
    <r>
      <rPr>
        <sz val="11"/>
        <color theme="1"/>
        <rFont val="ＭＳ Ｐゴシック"/>
        <family val="3"/>
        <charset val="134"/>
        <scheme val="minor"/>
      </rPr>
      <t>创</t>
    </r>
  </si>
  <si>
    <r>
      <t>成都黑</t>
    </r>
    <r>
      <rPr>
        <sz val="11"/>
        <color theme="1"/>
        <rFont val="ＭＳ Ｐゴシック"/>
        <family val="3"/>
        <charset val="134"/>
        <scheme val="minor"/>
      </rPr>
      <t>银链动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</si>
  <si>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黄酒; 威士忌; 白酒;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</si>
  <si>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八宝参源</t>
  </si>
  <si>
    <r>
      <t>青稞酒;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甜酒;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</si>
  <si>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老卧里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</si>
  <si>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江省供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</si>
  <si>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</si>
  <si>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应</t>
    </r>
    <r>
      <rPr>
        <sz val="11"/>
        <color theme="1"/>
        <rFont val="ＭＳ Ｐゴシック"/>
        <family val="3"/>
        <charset val="128"/>
        <scheme val="minor"/>
      </rPr>
      <t>芝本草</t>
    </r>
  </si>
  <si>
    <r>
      <t>程</t>
    </r>
    <r>
      <rPr>
        <sz val="11"/>
        <color theme="1"/>
        <rFont val="ＭＳ Ｐゴシック"/>
        <family val="3"/>
        <charset val="134"/>
        <scheme val="minor"/>
      </rPr>
      <t>晓龙</t>
    </r>
  </si>
  <si>
    <r>
      <t xml:space="preserve">餐后酒（利口酒和烈酒）;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米酒; 开胃酒</t>
    </r>
  </si>
  <si>
    <t>米小作</t>
  </si>
  <si>
    <r>
      <t>陈亚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</si>
  <si>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 xml:space="preserve">开胃酒; 威士忌; 黄酒; 清酒（日本米酒）;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</si>
  <si>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昂</t>
    </r>
    <r>
      <rPr>
        <sz val="11"/>
        <color theme="1"/>
        <rFont val="ＭＳ Ｐゴシック"/>
        <family val="3"/>
        <charset val="134"/>
        <scheme val="minor"/>
      </rPr>
      <t>萨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</si>
  <si>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昂</t>
    </r>
    <r>
      <rPr>
        <sz val="11"/>
        <color theme="1"/>
        <rFont val="ＭＳ Ｐゴシック"/>
        <family val="3"/>
        <charset val="134"/>
        <scheme val="minor"/>
      </rPr>
      <t>扬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</si>
  <si>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</si>
  <si>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星</t>
    </r>
    <r>
      <rPr>
        <sz val="11"/>
        <color theme="1"/>
        <rFont val="ＭＳ Ｐゴシック"/>
        <family val="3"/>
        <charset val="134"/>
        <scheme val="minor"/>
      </rPr>
      <t>驹</t>
    </r>
  </si>
  <si>
    <t>崔永林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</si>
  <si>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开胃酒;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</si>
  <si>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t>江山酉</t>
  </si>
  <si>
    <r>
      <t>蒲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</si>
  <si>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 xml:space="preserve">青稞酒; 烈酒;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白酒;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</si>
  <si>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小白意</t>
  </si>
  <si>
    <r>
      <t xml:space="preserve">葡萄酒; 白酒; 威士忌; 果酒（含酒精）; 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</si>
  <si>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江山熙</t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</si>
  <si>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黄酒; 葡萄酒; 青稞酒; 威士忌</t>
    </r>
  </si>
  <si>
    <r>
      <t>湖南敦</t>
    </r>
    <r>
      <rPr>
        <sz val="11"/>
        <color theme="1"/>
        <rFont val="ＭＳ Ｐゴシック"/>
        <family val="3"/>
        <charset val="134"/>
        <scheme val="minor"/>
      </rPr>
      <t>伦农业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</si>
  <si>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伏特加酒;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朗姆酒; 白酒; 果酒（含酒精）; 黄酒</t>
    </r>
  </si>
  <si>
    <r>
      <t>荆</t>
    </r>
    <r>
      <rPr>
        <sz val="11"/>
        <color theme="1"/>
        <rFont val="ＭＳ Ｐゴシック"/>
        <family val="3"/>
        <charset val="128"/>
        <scheme val="minor"/>
      </rPr>
      <t>璞</t>
    </r>
  </si>
  <si>
    <r>
      <t>湖北百</t>
    </r>
    <r>
      <rPr>
        <sz val="11"/>
        <color theme="1"/>
        <rFont val="ＭＳ Ｐゴシック"/>
        <family val="3"/>
        <charset val="134"/>
        <scheme val="minor"/>
      </rPr>
      <t>硕</t>
    </r>
    <r>
      <rPr>
        <sz val="11"/>
        <color theme="1"/>
        <rFont val="ＭＳ Ｐゴシック"/>
        <family val="3"/>
        <charset val="128"/>
        <scheme val="minor"/>
      </rPr>
      <t>新型</t>
    </r>
    <r>
      <rPr>
        <sz val="11"/>
        <color theme="1"/>
        <rFont val="ＭＳ Ｐゴシック"/>
        <family val="3"/>
        <charset val="134"/>
        <scheme val="minor"/>
      </rPr>
      <t>农业产业发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</si>
  <si>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甜酒; 白酒; 烈酒</t>
    </r>
  </si>
  <si>
    <r>
      <t>杜甫大唐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人</t>
    </r>
    <r>
      <rPr>
        <sz val="11"/>
        <color theme="1"/>
        <rFont val="ＭＳ Ｐゴシック"/>
        <family val="3"/>
        <charset val="134"/>
        <scheme val="minor"/>
      </rPr>
      <t>传</t>
    </r>
  </si>
  <si>
    <r>
      <t>四川杜甫酒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</si>
  <si>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薄荷酒; 威士忌; 葡萄酒</t>
    </r>
  </si>
  <si>
    <t>品全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</si>
  <si>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威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</si>
  <si>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果酒（含酒精）; 烈酒;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露酒;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</si>
  <si>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喜</t>
    </r>
    <r>
      <rPr>
        <sz val="11"/>
        <color theme="1"/>
        <rFont val="ＭＳ Ｐゴシック"/>
        <family val="3"/>
        <charset val="134"/>
        <scheme val="minor"/>
      </rPr>
      <t>鹊缘</t>
    </r>
  </si>
  <si>
    <r>
      <t>芒果秘</t>
    </r>
    <r>
      <rPr>
        <sz val="11"/>
        <color theme="1"/>
        <rFont val="ＭＳ Ｐゴシック"/>
        <family val="3"/>
        <charset val="134"/>
        <scheme val="minor"/>
      </rPr>
      <t>语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</si>
  <si>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</si>
  <si>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气略</t>
  </si>
  <si>
    <t>胡利勤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</si>
  <si>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清酒; 露酒; 果酒; 黄酒; 白干酒（中国白酒）; 食用酒精; 烈酒; 米酒</t>
    </r>
  </si>
  <si>
    <r>
      <t>熠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</t>
    </r>
  </si>
  <si>
    <r>
      <t>杭州熠楚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</si>
  <si>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主的除外); 果酒( 含酒精); 白酒; 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食用酒精</t>
    </r>
  </si>
  <si>
    <t>古亮泉特醇</t>
  </si>
  <si>
    <t>易庭裕</t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</si>
  <si>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黄酒; 开胃酒;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食用酒精</t>
    </r>
  </si>
  <si>
    <t>梦江泉</t>
  </si>
  <si>
    <t>孟召水</t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</si>
  <si>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高粱酒;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食用酒精</t>
    </r>
  </si>
  <si>
    <r>
      <t>绍</t>
    </r>
    <r>
      <rPr>
        <sz val="11"/>
        <color theme="1"/>
        <rFont val="ＭＳ Ｐゴシック"/>
        <family val="3"/>
        <charset val="128"/>
        <scheme val="minor"/>
      </rPr>
      <t>印</t>
    </r>
  </si>
  <si>
    <t>醉初食品（衢州）有限公司</t>
  </si>
  <si>
    <r>
      <t>果酒（含酒精）; 葡萄酒; 清酒; 青梅酒;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黄酒; 露酒; 威士忌</t>
    </r>
  </si>
  <si>
    <t>光芒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</si>
  <si>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州酒特</t>
    </r>
    <r>
      <rPr>
        <sz val="11"/>
        <color theme="1"/>
        <rFont val="ＭＳ Ｐゴシック"/>
        <family val="3"/>
        <charset val="134"/>
        <scheme val="minor"/>
      </rPr>
      <t>卖电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</si>
  <si>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黄酒; 威士忌; 葡萄酒; 果酒（含酒精）; 白酒; 露酒;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</si>
  <si>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沛鹿王</t>
  </si>
  <si>
    <r>
      <t>赵</t>
    </r>
    <r>
      <rPr>
        <sz val="11"/>
        <color theme="1"/>
        <rFont val="ＭＳ Ｐゴシック"/>
        <family val="3"/>
        <charset val="128"/>
        <scheme val="minor"/>
      </rPr>
      <t>汝回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</si>
  <si>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果酒; 黄酒; 开胃酒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</si>
  <si>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酒大成匠心</t>
    </r>
  </si>
  <si>
    <r>
      <t xml:space="preserve">白酒; 蒸煮提取物（利口酒和烈酒）; 利口酒;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</si>
  <si>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秘章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</si>
  <si>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(集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</si>
  <si>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蒸煮提取物（利口酒和烈酒）;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</si>
  <si>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园园******************</t>
    </r>
  </si>
  <si>
    <r>
      <t xml:space="preserve">汽酒; 果酒（含酒精）;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</si>
  <si>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翼</t>
    </r>
  </si>
  <si>
    <r>
      <t>黄酒; 食用酒精; 高粱酒;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白酒; 威士忌</t>
    </r>
  </si>
  <si>
    <t>特股</t>
  </si>
  <si>
    <r>
      <t>杨</t>
    </r>
    <r>
      <rPr>
        <sz val="11"/>
        <color theme="1"/>
        <rFont val="ＭＳ Ｐゴシック"/>
        <family val="3"/>
        <charset val="128"/>
        <scheme val="minor"/>
      </rPr>
      <t>仁</t>
    </r>
  </si>
  <si>
    <r>
      <t>开胃酒; 葡萄酒; 黄酒;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米酒; 高粱酒;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</si>
  <si>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御德</t>
    </r>
    <r>
      <rPr>
        <sz val="11"/>
        <color theme="1"/>
        <rFont val="ＭＳ Ｐゴシック"/>
        <family val="3"/>
        <charset val="134"/>
        <scheme val="minor"/>
      </rPr>
      <t>铭</t>
    </r>
  </si>
  <si>
    <r>
      <t>成都九段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体育用品有限公司</t>
    </r>
  </si>
  <si>
    <r>
      <t>白酒; 高粱酒;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食用酒精; 开胃酒</t>
    </r>
  </si>
  <si>
    <t>楚岐</t>
  </si>
  <si>
    <r>
      <t>湖南三岐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境科技有限公司</t>
    </r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</si>
  <si>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薄荷酒; 果酒（含酒精）</t>
    </r>
  </si>
  <si>
    <t>源玖香槽坊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</si>
  <si>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市懋源酒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</si>
  <si>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朗姆酒; 蜂蜜酒;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甜果酒</t>
    </r>
  </si>
  <si>
    <t>卓源大金窖</t>
  </si>
  <si>
    <r>
      <t>蔡春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</si>
  <si>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白酒;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食用酒精; 开胃酒;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</si>
  <si>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杏云河天下</t>
  </si>
  <si>
    <r>
      <t>山西杏云河酒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</si>
  <si>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米酒;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</si>
  <si>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尼公圣酒</t>
  </si>
  <si>
    <r>
      <t>北京清雨健康科技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</si>
  <si>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混合威士忌酒; 米酒; 葡萄酒; 黄酒;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</si>
  <si>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r>
      <t>赋风</t>
    </r>
    <r>
      <rPr>
        <sz val="11"/>
        <color theme="1"/>
        <rFont val="ＭＳ Ｐゴシック"/>
        <family val="3"/>
        <charset val="128"/>
        <scheme val="minor"/>
      </rPr>
      <t>行</t>
    </r>
  </si>
  <si>
    <t>湘西弘淞品牌管理有限公司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</si>
  <si>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高粱酒;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</si>
  <si>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小园地 SMALL GRADEN PLOT</t>
  </si>
  <si>
    <r>
      <t>黄静</t>
    </r>
    <r>
      <rPr>
        <sz val="11"/>
        <color theme="1"/>
        <rFont val="ＭＳ Ｐゴシック"/>
        <family val="3"/>
        <charset val="134"/>
        <scheme val="minor"/>
      </rPr>
      <t>娴</t>
    </r>
  </si>
  <si>
    <r>
      <t>葡萄酒; 酸酒（低等葡萄酒）;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伏特加酒; 白酒; 米酒; 威士忌; 黄酒</t>
    </r>
  </si>
  <si>
    <r>
      <t>唐安的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</si>
  <si>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达晟食品科技有限公司</t>
    </r>
  </si>
  <si>
    <r>
      <t>果酒（含酒精）; 葡萄酒; 米酒; 伏特加酒; 白酒; 利口酒; 威士忌;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</si>
  <si>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窑府天</t>
    </r>
    <r>
      <rPr>
        <sz val="11"/>
        <color theme="1"/>
        <rFont val="ＭＳ Ｐゴシック"/>
        <family val="3"/>
        <charset val="134"/>
        <scheme val="minor"/>
      </rPr>
      <t>酿</t>
    </r>
  </si>
  <si>
    <t>黄新云</t>
  </si>
  <si>
    <r>
      <t>清酒（日本米酒）;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威士忌;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</si>
  <si>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五窖父</t>
  </si>
  <si>
    <r>
      <t>宜</t>
    </r>
    <r>
      <rPr>
        <sz val="11"/>
        <color theme="1"/>
        <rFont val="ＭＳ Ｐゴシック"/>
        <family val="3"/>
        <charset val="134"/>
        <scheme val="minor"/>
      </rPr>
      <t>宾邓</t>
    </r>
    <r>
      <rPr>
        <sz val="11"/>
        <color theme="1"/>
        <rFont val="ＭＳ Ｐゴシック"/>
        <family val="3"/>
        <charset val="128"/>
        <scheme val="minor"/>
      </rPr>
      <t>祖企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</si>
  <si>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白酒; 青稞酒;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梨酒</t>
    </r>
  </si>
  <si>
    <t>裕小酣</t>
  </si>
  <si>
    <r>
      <t>王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</si>
  <si>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黄酒; 开胃酒; 蜂蜜酒</t>
    </r>
  </si>
  <si>
    <t>五泊坊</t>
  </si>
  <si>
    <r>
      <t>蒋勇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</si>
  <si>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清酒（日本米酒）</t>
    </r>
  </si>
  <si>
    <r>
      <t>昆</t>
    </r>
    <r>
      <rPr>
        <sz val="11"/>
        <color theme="1"/>
        <rFont val="ＭＳ Ｐゴシック"/>
        <family val="3"/>
        <charset val="134"/>
        <scheme val="minor"/>
      </rPr>
      <t>仑纳</t>
    </r>
    <r>
      <rPr>
        <sz val="11"/>
        <color theme="1"/>
        <rFont val="ＭＳ Ｐゴシック"/>
        <family val="3"/>
        <charset val="128"/>
        <scheme val="minor"/>
      </rPr>
      <t>一</t>
    </r>
  </si>
  <si>
    <r>
      <t>新疆</t>
    </r>
    <r>
      <rPr>
        <sz val="11"/>
        <color theme="1"/>
        <rFont val="ＭＳ Ｐゴシック"/>
        <family val="3"/>
        <charset val="134"/>
        <scheme val="minor"/>
      </rPr>
      <t>纳顺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</si>
  <si>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葡萄酒; 蜂蜜酒;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苹果酒;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</si>
  <si>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t>黑猫晋旅</t>
  </si>
  <si>
    <r>
      <t>山西晋旅酒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</si>
  <si>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烈酒; 白酒;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</si>
  <si>
    <t>万礼稻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</si>
  <si>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蒸煮提取物（利口酒和烈酒）;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</si>
  <si>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莱佳荣</t>
  </si>
  <si>
    <r>
      <t>牛小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</si>
  <si>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利口酒; 清酒（日本米酒）; 草莓酒;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</si>
  <si>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春</t>
    </r>
    <r>
      <rPr>
        <sz val="11"/>
        <color theme="1"/>
        <rFont val="ＭＳ Ｐゴシック"/>
        <family val="3"/>
        <charset val="134"/>
        <scheme val="minor"/>
      </rPr>
      <t>婳</t>
    </r>
    <r>
      <rPr>
        <sz val="11"/>
        <color theme="1"/>
        <rFont val="ＭＳ Ｐゴシック"/>
        <family val="3"/>
        <charset val="128"/>
        <scheme val="minor"/>
      </rPr>
      <t>景</t>
    </r>
  </si>
  <si>
    <r>
      <t>吉林市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</si>
  <si>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白酒; 果酒（含酒精）; 黄酒;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葡萄酒</t>
    </r>
  </si>
  <si>
    <r>
      <t>好客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一</t>
    </r>
  </si>
  <si>
    <r>
      <t xml:space="preserve">蜂蜜酒; 葡萄酒;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苹果酒;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青稞酒; 白酒; 黄酒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</si>
  <si>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继伟</t>
    </r>
  </si>
  <si>
    <r>
      <t xml:space="preserve">果酒（含酒精）; 威士忌;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青稞酒;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</t>
    </r>
  </si>
  <si>
    <t>杏云河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</si>
  <si>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米酒; 果酒（含酒精）; 白酒;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</t>
    </r>
  </si>
  <si>
    <r>
      <t>老</t>
    </r>
    <r>
      <rPr>
        <sz val="11"/>
        <color theme="1"/>
        <rFont val="ＭＳ Ｐゴシック"/>
        <family val="3"/>
        <charset val="129"/>
        <scheme val="minor"/>
      </rPr>
      <t>蓩</t>
    </r>
    <r>
      <rPr>
        <sz val="11"/>
        <color theme="1"/>
        <rFont val="ＭＳ Ｐゴシック"/>
        <family val="3"/>
        <charset val="134"/>
        <scheme val="minor"/>
      </rPr>
      <t>钰</t>
    </r>
    <r>
      <rPr>
        <sz val="11"/>
        <color theme="1"/>
        <rFont val="ＭＳ Ｐゴシック"/>
        <family val="3"/>
        <charset val="128"/>
        <scheme val="minor"/>
      </rPr>
      <t>液</t>
    </r>
  </si>
  <si>
    <r>
      <t>荐山企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（</t>
    </r>
    <r>
      <rPr>
        <sz val="11"/>
        <color theme="1"/>
        <rFont val="ＭＳ Ｐゴシック"/>
        <family val="3"/>
        <charset val="134"/>
        <scheme val="minor"/>
      </rPr>
      <t>郑</t>
    </r>
    <r>
      <rPr>
        <sz val="11"/>
        <color theme="1"/>
        <rFont val="ＭＳ Ｐゴシック"/>
        <family val="3"/>
        <charset val="128"/>
        <scheme val="minor"/>
      </rPr>
      <t>州）有限公司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</si>
  <si>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威士忌; 葡萄酒; 果酒（含酒精）; 白酒; 米酒; 青稞酒</t>
    </r>
  </si>
  <si>
    <t>永具食品</t>
  </si>
  <si>
    <r>
      <t>哈</t>
    </r>
    <r>
      <rPr>
        <sz val="11"/>
        <color theme="1"/>
        <rFont val="ＭＳ Ｐゴシック"/>
        <family val="3"/>
        <charset val="134"/>
        <scheme val="minor"/>
      </rPr>
      <t>尔滨</t>
    </r>
    <r>
      <rPr>
        <sz val="11"/>
        <color theme="1"/>
        <rFont val="ＭＳ Ｐゴシック"/>
        <family val="3"/>
        <charset val="128"/>
        <scheme val="minor"/>
      </rPr>
      <t>永具医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</si>
  <si>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烈酒; 高粱酒; 米酒; 葡萄酒; 露酒; 清酒; 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</si>
  <si>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陉</t>
    </r>
    <r>
      <rPr>
        <sz val="11"/>
        <color theme="1"/>
        <rFont val="ＭＳ Ｐゴシック"/>
        <family val="3"/>
        <charset val="128"/>
        <scheme val="minor"/>
      </rPr>
      <t>关</t>
    </r>
  </si>
  <si>
    <r>
      <t>蔡海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</si>
  <si>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梅酒; 白干酒（中国白酒）;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高粱酒; 葡萄酒</t>
    </r>
  </si>
  <si>
    <r>
      <t>南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听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</si>
  <si>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美森美生物科技有限公司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</si>
  <si>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清酒（日本米酒）</t>
    </r>
  </si>
  <si>
    <r>
      <t>和治神</t>
    </r>
    <r>
      <rPr>
        <sz val="11"/>
        <color theme="1"/>
        <rFont val="ＭＳ Ｐゴシック"/>
        <family val="3"/>
        <charset val="134"/>
        <scheme val="minor"/>
      </rPr>
      <t>秾</t>
    </r>
  </si>
  <si>
    <r>
      <t>天津和治神</t>
    </r>
    <r>
      <rPr>
        <sz val="11"/>
        <color theme="1"/>
        <rFont val="ＭＳ Ｐゴシック"/>
        <family val="3"/>
        <charset val="134"/>
        <scheme val="minor"/>
      </rPr>
      <t>秾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</si>
  <si>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米酒; 果酒（含酒精）; 含酒精的气泡水; 食用酒精;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</si>
  <si>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唐瑶池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</si>
  <si>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开胃酒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</si>
  <si>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葡萄酒; 清酒（日本米酒）; 果酒（含酒精）; 黄酒; 白干酒（中国白酒）;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</si>
  <si>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咏虢先生</t>
  </si>
  <si>
    <t>沈永国</t>
  </si>
  <si>
    <r>
      <t xml:space="preserve">威士忌; 清酒; 米酒; 伏特加酒;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白酒; 黄酒</t>
    </r>
  </si>
  <si>
    <r>
      <t>白酒; 白干酒（中国白酒）;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</si>
  <si>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战</t>
    </r>
    <r>
      <rPr>
        <sz val="11"/>
        <color theme="1"/>
        <rFont val="ＭＳ Ｐゴシック"/>
        <family val="3"/>
        <charset val="128"/>
        <scheme val="minor"/>
      </rPr>
      <t>略者</t>
    </r>
  </si>
  <si>
    <r>
      <t xml:space="preserve">果酒（含酒精）; 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露酒</t>
    </r>
  </si>
  <si>
    <r>
      <t>加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行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</si>
  <si>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米酒</t>
    </r>
  </si>
  <si>
    <t>叠山枋</t>
  </si>
  <si>
    <r>
      <t>江西申伯酒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</si>
  <si>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蒸煮提取物（利口酒和烈酒）; 白酒</t>
    </r>
  </si>
  <si>
    <t>稻小精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</si>
  <si>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食用酒精; 蒸煮提取物（利口酒和烈酒）; 果酒（含酒精）</t>
    </r>
  </si>
  <si>
    <t>聚宝悠韵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</si>
  <si>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聚宝酒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</si>
  <si>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青稞酒; 葡萄酒;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果酒; 米酒</t>
    </r>
  </si>
  <si>
    <t>夏商 SEASHINE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</si>
  <si>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夏商集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</si>
  <si>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葡萄酒; 黄酒; 开胃酒;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</si>
  <si>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名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天下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</si>
  <si>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程</t>
    </r>
  </si>
  <si>
    <r>
      <t xml:space="preserve">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黄酒; 白酒; 烈酒; 果酒（含酒精）; 米酒</t>
    </r>
  </si>
  <si>
    <r>
      <t>味</t>
    </r>
    <r>
      <rPr>
        <sz val="11"/>
        <color theme="1"/>
        <rFont val="ＭＳ Ｐゴシック"/>
        <family val="3"/>
        <charset val="134"/>
        <scheme val="minor"/>
      </rPr>
      <t>莺</t>
    </r>
    <r>
      <rPr>
        <sz val="11"/>
        <color theme="1"/>
        <rFont val="ＭＳ Ｐゴシック"/>
        <family val="3"/>
        <charset val="128"/>
        <scheme val="minor"/>
      </rPr>
      <t xml:space="preserve"> TASTE WARBLER</t>
    </r>
  </si>
  <si>
    <r>
      <t>清原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族自治</t>
    </r>
    <r>
      <rPr>
        <sz val="11"/>
        <color theme="1"/>
        <rFont val="ＭＳ Ｐゴシック"/>
        <family val="3"/>
        <charset val="134"/>
        <scheme val="minor"/>
      </rPr>
      <t>县鸿</t>
    </r>
    <r>
      <rPr>
        <sz val="11"/>
        <color theme="1"/>
        <rFont val="ＭＳ Ｐゴシック"/>
        <family val="3"/>
        <charset val="128"/>
        <scheme val="minor"/>
      </rPr>
      <t>溧食品有限公司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</si>
  <si>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</si>
  <si>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港</t>
    </r>
    <r>
      <rPr>
        <sz val="11"/>
        <color theme="1"/>
        <rFont val="ＭＳ Ｐゴシック"/>
        <family val="3"/>
        <charset val="134"/>
        <scheme val="minor"/>
      </rPr>
      <t>轩龙</t>
    </r>
    <r>
      <rPr>
        <sz val="11"/>
        <color theme="1"/>
        <rFont val="ＭＳ Ｐゴシック"/>
        <family val="3"/>
        <charset val="128"/>
        <scheme val="minor"/>
      </rPr>
      <t>舌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 GUANGXUAN AGAVE</t>
    </r>
  </si>
  <si>
    <r>
      <t>肇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市鼎和国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</si>
  <si>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舌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</si>
  <si>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三仙霖养元酒</t>
  </si>
  <si>
    <t>王爽</t>
  </si>
  <si>
    <r>
      <t xml:space="preserve">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</si>
  <si>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半生比</t>
    </r>
    <r>
      <rPr>
        <sz val="11"/>
        <color theme="1"/>
        <rFont val="ＭＳ Ｐゴシック"/>
        <family val="3"/>
        <charset val="134"/>
        <scheme val="minor"/>
      </rPr>
      <t>试</t>
    </r>
  </si>
  <si>
    <r>
      <t xml:space="preserve">露酒;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</si>
  <si>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翠影幽梦</t>
  </si>
  <si>
    <r>
      <t>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食用酒精;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</si>
  <si>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塞弗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斯庄园</t>
    </r>
  </si>
  <si>
    <r>
      <t>广州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安祺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</si>
  <si>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白葡萄酒; 葡萄汽酒; 梅酒;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果酒（含酒精）; 不起泡葡萄酒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</si>
  <si>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万邦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</si>
  <si>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万邦（</t>
    </r>
    <r>
      <rPr>
        <sz val="11"/>
        <color theme="1"/>
        <rFont val="ＭＳ Ｐゴシック"/>
        <family val="3"/>
        <charset val="134"/>
        <scheme val="minor"/>
      </rPr>
      <t>沧</t>
    </r>
    <r>
      <rPr>
        <sz val="11"/>
        <color theme="1"/>
        <rFont val="ＭＳ Ｐゴシック"/>
        <family val="3"/>
        <charset val="128"/>
        <scheme val="minor"/>
      </rPr>
      <t>州）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</si>
  <si>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白酒;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</si>
  <si>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射流佳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</si>
  <si>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 xml:space="preserve">果酒（含酒精）; 食用酒精; 白酒; 葡萄酒; 蒸煮提取物（利口酒和烈酒）;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</si>
  <si>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山海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</si>
  <si>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食用酒精; 果酒（含酒精）; 露酒</t>
    </r>
  </si>
  <si>
    <t>藏山行</t>
  </si>
  <si>
    <r>
      <t>卢</t>
    </r>
    <r>
      <rPr>
        <sz val="11"/>
        <color theme="1"/>
        <rFont val="ＭＳ Ｐゴシック"/>
        <family val="3"/>
        <charset val="128"/>
        <scheme val="minor"/>
      </rPr>
      <t>曦</t>
    </r>
  </si>
  <si>
    <r>
      <t>果酒（含酒精）; 米酒; 汽酒; 白酒; 梅酒; 餐后酒（利口酒和烈酒）;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高粱酒</t>
    </r>
  </si>
  <si>
    <r>
      <t xml:space="preserve">正源台 正其心 正源台酒 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其意 珍品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</si>
  <si>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州正源台酒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</si>
  <si>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烈酒;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</si>
  <si>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闲</t>
    </r>
    <r>
      <rPr>
        <sz val="11"/>
        <color theme="1"/>
        <rFont val="ＭＳ Ｐゴシック"/>
        <family val="3"/>
        <charset val="128"/>
        <scheme val="minor"/>
      </rPr>
      <t>起</t>
    </r>
  </si>
  <si>
    <r>
      <t>徐保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</si>
  <si>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</t>
    </r>
  </si>
  <si>
    <t>登幽酒韵</t>
  </si>
  <si>
    <r>
      <t xml:space="preserve">葡萄酒; 开胃酒; 白酒; 蒸煮提取物（利口酒和烈酒）;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果酒（含酒精）</t>
    </r>
  </si>
  <si>
    <t>LHRC</t>
  </si>
  <si>
    <r>
      <t>乐</t>
    </r>
    <r>
      <rPr>
        <sz val="11"/>
        <color theme="1"/>
        <rFont val="ＭＳ Ｐゴシック"/>
        <family val="3"/>
        <charset val="128"/>
        <scheme val="minor"/>
      </rPr>
      <t>活魔方健康科技有限公司</t>
    </r>
  </si>
  <si>
    <r>
      <t>果酒; 水果汽酒; 米酒; 黄酒;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葡萄酒</t>
    </r>
  </si>
  <si>
    <r>
      <t>车</t>
    </r>
    <r>
      <rPr>
        <sz val="11"/>
        <color theme="1"/>
        <rFont val="ＭＳ Ｐゴシック"/>
        <family val="3"/>
        <charset val="128"/>
        <scheme val="minor"/>
      </rPr>
      <t>宏征</t>
    </r>
  </si>
  <si>
    <t>烈酒; 葡萄酒; 利口酒; 清酒（日本米酒）; 果酒; 白酒; 威士忌; 干型苹果酒</t>
  </si>
  <si>
    <t>礼宴酒初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</si>
  <si>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省汶上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古中都酒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</si>
  <si>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高粱酒; 白干酒（中国白酒）;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</si>
  <si>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古中都上醴</t>
  </si>
  <si>
    <r>
      <t>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烈酒; 白酒; 高粱酒;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果酒</t>
    </r>
  </si>
  <si>
    <r>
      <t>古</t>
    </r>
    <r>
      <rPr>
        <sz val="11"/>
        <color theme="1"/>
        <rFont val="ＭＳ Ｐゴシック"/>
        <family val="3"/>
        <charset val="134"/>
        <scheme val="minor"/>
      </rPr>
      <t>问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</si>
  <si>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州中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投酒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</si>
  <si>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白酒; 薄荷酒;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白干酒（中国白酒）;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</si>
  <si>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r>
      <t>亭台</t>
    </r>
    <r>
      <rPr>
        <sz val="11"/>
        <color theme="1"/>
        <rFont val="ＭＳ Ｐゴシック"/>
        <family val="3"/>
        <charset val="134"/>
        <scheme val="minor"/>
      </rPr>
      <t>莲</t>
    </r>
    <r>
      <rPr>
        <sz val="11"/>
        <color theme="1"/>
        <rFont val="ＭＳ Ｐゴシック"/>
        <family val="3"/>
        <charset val="128"/>
        <scheme val="minor"/>
      </rPr>
      <t>花亭</t>
    </r>
  </si>
  <si>
    <t>王余生******************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</si>
  <si>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</si>
  <si>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r>
      <t>德</t>
    </r>
    <r>
      <rPr>
        <sz val="11"/>
        <color theme="1"/>
        <rFont val="ＭＳ Ｐゴシック"/>
        <family val="3"/>
        <charset val="134"/>
        <scheme val="minor"/>
      </rPr>
      <t>阅</t>
    </r>
    <r>
      <rPr>
        <sz val="11"/>
        <color theme="1"/>
        <rFont val="ＭＳ Ｐゴシック"/>
        <family val="3"/>
        <charset val="128"/>
        <scheme val="minor"/>
      </rPr>
      <t>天下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</si>
  <si>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清酒（日本米酒）; 果酒（含酒精）; 蜂蜜酒</t>
    </r>
  </si>
  <si>
    <t>OURLUX</t>
  </si>
  <si>
    <t>祧荣聚晟（宁波）品牌管理有限公司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</si>
  <si>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</si>
  <si>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搜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百味</t>
    </r>
  </si>
  <si>
    <r>
      <t>湖南搜</t>
    </r>
    <r>
      <rPr>
        <sz val="11"/>
        <color theme="1"/>
        <rFont val="ＭＳ Ｐゴシック"/>
        <family val="3"/>
        <charset val="134"/>
        <scheme val="minor"/>
      </rPr>
      <t>农农业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</si>
  <si>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米酒; 黄酒; 葡萄酒;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</si>
  <si>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礼宴酒始</t>
  </si>
  <si>
    <r>
      <t>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烈酒; 果酒; 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</t>
    </r>
  </si>
  <si>
    <r>
      <t>梦</t>
    </r>
    <r>
      <rPr>
        <sz val="11"/>
        <color theme="1"/>
        <rFont val="ＭＳ Ｐゴシック"/>
        <family val="3"/>
        <charset val="134"/>
        <scheme val="minor"/>
      </rPr>
      <t>归</t>
    </r>
    <r>
      <rPr>
        <sz val="11"/>
        <color theme="1"/>
        <rFont val="ＭＳ Ｐゴシック"/>
        <family val="3"/>
        <charset val="128"/>
        <scheme val="minor"/>
      </rPr>
      <t>晴空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</si>
  <si>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开胃酒;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蒸煮提取物（利口酒和烈酒）</t>
    </r>
  </si>
  <si>
    <t>苗嘎兜</t>
  </si>
  <si>
    <r>
      <t>安</t>
    </r>
    <r>
      <rPr>
        <sz val="11"/>
        <color theme="1"/>
        <rFont val="ＭＳ Ｐゴシック"/>
        <family val="3"/>
        <charset val="134"/>
        <scheme val="minor"/>
      </rPr>
      <t>龙县</t>
    </r>
    <r>
      <rPr>
        <sz val="11"/>
        <color theme="1"/>
        <rFont val="ＭＳ Ｐゴシック"/>
        <family val="3"/>
        <charset val="128"/>
        <scheme val="minor"/>
      </rPr>
      <t>普坪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苗香</t>
    </r>
    <r>
      <rPr>
        <sz val="11"/>
        <color theme="1"/>
        <rFont val="ＭＳ Ｐゴシック"/>
        <family val="3"/>
        <charset val="134"/>
        <scheme val="minor"/>
      </rPr>
      <t>纯酿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锅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</si>
  <si>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>露酒; 米酒;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餐后酒（利口酒和烈酒）;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</si>
  <si>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小缸原</t>
  </si>
  <si>
    <t>四川素木品牌管理有限公司</t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</si>
  <si>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</si>
  <si>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半生化凡</t>
    </r>
  </si>
  <si>
    <r>
      <t>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露酒;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</si>
  <si>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r>
      <t xml:space="preserve">正源台 正其心 正源台酒 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其意 至臻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</si>
  <si>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米酒; 高粱酒;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</si>
  <si>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久久久久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得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</si>
  <si>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州市健通酒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</si>
  <si>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露酒; 烈酒; 果酒（含酒精）;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</si>
  <si>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羡仙台</t>
  </si>
  <si>
    <r>
      <t>舒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科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</si>
  <si>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</t>
    </r>
  </si>
  <si>
    <r>
      <t>古中都</t>
    </r>
    <r>
      <rPr>
        <sz val="11"/>
        <color theme="1"/>
        <rFont val="ＭＳ Ｐゴシック"/>
        <family val="3"/>
        <charset val="134"/>
        <scheme val="minor"/>
      </rPr>
      <t>贾</t>
    </r>
    <r>
      <rPr>
        <sz val="11"/>
        <color theme="1"/>
        <rFont val="ＭＳ Ｐゴシック"/>
        <family val="3"/>
        <charset val="128"/>
        <scheme val="minor"/>
      </rPr>
      <t>柏</t>
    </r>
  </si>
  <si>
    <r>
      <t>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白酒; 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烈酒; 高粱酒</t>
    </r>
  </si>
  <si>
    <t>古中都礼宴酒源</t>
  </si>
  <si>
    <r>
      <t>果酒; 露酒;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烈酒</t>
    </r>
  </si>
  <si>
    <t>玫三代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</si>
  <si>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中玫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</si>
  <si>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黄酒; 蒸煮提取物（利口酒和烈酒）;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</si>
  <si>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卢</t>
    </r>
    <r>
      <rPr>
        <sz val="11"/>
        <color theme="1"/>
        <rFont val="ＭＳ Ｐゴシック"/>
        <family val="3"/>
        <charset val="128"/>
        <scheme val="minor"/>
      </rPr>
      <t xml:space="preserve">太臻品 </t>
    </r>
    <r>
      <rPr>
        <sz val="11"/>
        <color theme="1"/>
        <rFont val="ＭＳ Ｐゴシック"/>
        <family val="3"/>
        <charset val="134"/>
        <scheme val="minor"/>
      </rPr>
      <t>卢</t>
    </r>
    <r>
      <rPr>
        <sz val="11"/>
        <color theme="1"/>
        <rFont val="ＭＳ Ｐゴシック"/>
        <family val="3"/>
        <charset val="128"/>
        <scheme val="minor"/>
      </rPr>
      <t>太</t>
    </r>
  </si>
  <si>
    <r>
      <t>卢</t>
    </r>
    <r>
      <rPr>
        <sz val="11"/>
        <color theme="1"/>
        <rFont val="ＭＳ Ｐゴシック"/>
        <family val="3"/>
        <charset val="128"/>
        <scheme val="minor"/>
      </rPr>
      <t>卓灵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</si>
  <si>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清酒; 开胃酒;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</si>
  <si>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</t>
    </r>
  </si>
  <si>
    <r>
      <t>黄酒; 露酒; 食用酒精;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</si>
  <si>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半生喜来</t>
    </r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</si>
  <si>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白酒; 青稞酒;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</si>
  <si>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起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</si>
  <si>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果酒（含酒精）</t>
    </r>
  </si>
  <si>
    <r>
      <t>图</t>
    </r>
    <r>
      <rPr>
        <sz val="11"/>
        <color theme="1"/>
        <rFont val="ＭＳ Ｐゴシック"/>
        <family val="3"/>
        <charset val="128"/>
        <scheme val="minor"/>
      </rPr>
      <t>林蒙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王荣耀</t>
    </r>
  </si>
  <si>
    <r>
      <t>内蒙古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里河酒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</si>
  <si>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</si>
  <si>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寻</t>
    </r>
    <r>
      <rPr>
        <sz val="11"/>
        <color theme="1"/>
        <rFont val="ＭＳ Ｐゴシック"/>
        <family val="3"/>
        <charset val="128"/>
        <scheme val="minor"/>
      </rPr>
      <t>醉</t>
    </r>
  </si>
  <si>
    <r>
      <t>安徽省好粮心酒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</si>
  <si>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薄荷酒; 果酒（含酒精）;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酸酒（低等葡萄酒）;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朗姆酒; 伏特加酒</t>
    </r>
  </si>
  <si>
    <r>
      <t>杭州世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方舟控股有限公司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</si>
  <si>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</si>
  <si>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青城道解</t>
    </r>
    <r>
      <rPr>
        <sz val="11"/>
        <color theme="1"/>
        <rFont val="ＭＳ Ｐゴシック"/>
        <family val="3"/>
        <charset val="134"/>
        <scheme val="minor"/>
      </rPr>
      <t>忧</t>
    </r>
  </si>
  <si>
    <t>圈子邦（成都）科技有限公司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</si>
  <si>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果酒; 含酒精的气泡水; 白酒; 米酒; 青梅酒;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</si>
  <si>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宝</t>
    </r>
    <r>
      <rPr>
        <sz val="11"/>
        <color theme="1"/>
        <rFont val="ＭＳ Ｐゴシック"/>
        <family val="3"/>
        <charset val="134"/>
        <scheme val="minor"/>
      </rPr>
      <t>酝</t>
    </r>
  </si>
  <si>
    <r>
      <t>宝</t>
    </r>
    <r>
      <rPr>
        <sz val="11"/>
        <color theme="1"/>
        <rFont val="ＭＳ Ｐゴシック"/>
        <family val="3"/>
        <charset val="134"/>
        <scheme val="minor"/>
      </rPr>
      <t>酝</t>
    </r>
    <r>
      <rPr>
        <sz val="11"/>
        <color theme="1"/>
        <rFont val="ＭＳ Ｐゴシック"/>
        <family val="3"/>
        <charset val="128"/>
        <scheme val="minor"/>
      </rPr>
      <t>(天津)商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</si>
  <si>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烈酒; 葡萄酒; 开胃酒;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</si>
  <si>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t>万民聚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</si>
  <si>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州万民酒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</si>
  <si>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米酒; 白干酒（中国白酒）;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果酒; 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</si>
  <si>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新透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天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</si>
  <si>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博臻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</si>
  <si>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白酒; 清酒（日本米酒）; 威士忌; 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</si>
  <si>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固仁堂</t>
  </si>
  <si>
    <r>
      <t>介</t>
    </r>
    <r>
      <rPr>
        <sz val="11"/>
        <color theme="1"/>
        <rFont val="ＭＳ Ｐゴシック"/>
        <family val="3"/>
        <charset val="134"/>
        <scheme val="minor"/>
      </rPr>
      <t>资龙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</si>
  <si>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</t>
    </r>
  </si>
  <si>
    <r>
      <t>中都</t>
    </r>
    <r>
      <rPr>
        <sz val="11"/>
        <color theme="1"/>
        <rFont val="ＭＳ Ｐゴシック"/>
        <family val="3"/>
        <charset val="134"/>
        <scheme val="minor"/>
      </rPr>
      <t>贾</t>
    </r>
    <r>
      <rPr>
        <sz val="11"/>
        <color theme="1"/>
        <rFont val="ＭＳ Ｐゴシック"/>
        <family val="3"/>
        <charset val="128"/>
        <scheme val="minor"/>
      </rPr>
      <t>柏</t>
    </r>
  </si>
  <si>
    <r>
      <t>果酒;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烈酒</t>
    </r>
  </si>
  <si>
    <r>
      <t>霍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果斯开建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</si>
  <si>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梨酒;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酸酒（低等葡萄酒）;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清酒</t>
    </r>
  </si>
  <si>
    <r>
      <t xml:space="preserve">SUN RICH WINERY </t>
    </r>
    <r>
      <rPr>
        <sz val="11"/>
        <color theme="1"/>
        <rFont val="ＭＳ Ｐゴシック"/>
        <family val="3"/>
        <charset val="134"/>
        <scheme val="minor"/>
      </rPr>
      <t>逊</t>
    </r>
    <r>
      <rPr>
        <sz val="11"/>
        <color theme="1"/>
        <rFont val="ＭＳ Ｐゴシック"/>
        <family val="3"/>
        <charset val="128"/>
        <scheme val="minor"/>
      </rPr>
      <t>富酒庄</t>
    </r>
  </si>
  <si>
    <r>
      <t>澳大利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葛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吉奔富葡萄酒集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</si>
  <si>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餐后酒（利口酒和烈酒）;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</si>
  <si>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半生故友</t>
    </r>
  </si>
  <si>
    <r>
      <t>露酒; 青稞酒;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</si>
  <si>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懿品清花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</si>
  <si>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白干酒（中国白酒）</t>
    </r>
  </si>
  <si>
    <t>FENG</t>
  </si>
  <si>
    <r>
      <t>四川你好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</si>
  <si>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葡萄酒; 蜂蜜酒;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果酒（含酒精）; 白酒; 甜酒;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</si>
  <si>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春井</t>
    </r>
    <r>
      <rPr>
        <sz val="11"/>
        <color theme="1"/>
        <rFont val="ＭＳ Ｐゴシック"/>
        <family val="3"/>
        <charset val="134"/>
        <scheme val="minor"/>
      </rPr>
      <t>贺</t>
    </r>
    <r>
      <rPr>
        <sz val="11"/>
        <color theme="1"/>
        <rFont val="ＭＳ Ｐゴシック"/>
        <family val="3"/>
        <charset val="128"/>
        <scheme val="minor"/>
      </rPr>
      <t>争章</t>
    </r>
  </si>
  <si>
    <t>李争章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</si>
  <si>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</si>
  <si>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VAKA TYPESHYT</t>
  </si>
  <si>
    <r>
      <t>比拉力·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森</t>
    </r>
  </si>
  <si>
    <r>
      <t xml:space="preserve">威士忌;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</si>
  <si>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赳起</t>
  </si>
  <si>
    <r>
      <t>恩德福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易（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州）有限公司</t>
    </r>
  </si>
  <si>
    <r>
      <t>烈酒;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开胃酒</t>
    </r>
  </si>
  <si>
    <r>
      <t>猛</t>
    </r>
    <r>
      <rPr>
        <sz val="11"/>
        <color theme="1"/>
        <rFont val="ＭＳ Ｐゴシック"/>
        <family val="3"/>
        <charset val="134"/>
        <scheme val="minor"/>
      </rPr>
      <t>兽</t>
    </r>
    <r>
      <rPr>
        <sz val="11"/>
        <color theme="1"/>
        <rFont val="ＭＳ Ｐゴシック"/>
        <family val="3"/>
        <charset val="128"/>
        <scheme val="minor"/>
      </rPr>
      <t>之力</t>
    </r>
  </si>
  <si>
    <r>
      <t>章丘区福泉山庄养殖</t>
    </r>
    <r>
      <rPr>
        <sz val="11"/>
        <color theme="1"/>
        <rFont val="ＭＳ Ｐゴシック"/>
        <family val="3"/>
        <charset val="134"/>
        <scheme val="minor"/>
      </rPr>
      <t>场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</si>
  <si>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含酒精的气泡水;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</si>
  <si>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云居千丈岩</t>
  </si>
  <si>
    <r>
      <t>浙江千丈岩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</si>
  <si>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黄酒;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</si>
  <si>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t>瑞宇宙</t>
  </si>
  <si>
    <t>上海瑞而克信息科技有限公司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</si>
  <si>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汽酒</t>
    </r>
  </si>
  <si>
    <r>
      <t>柳辰</t>
    </r>
    <r>
      <rPr>
        <sz val="11"/>
        <color theme="1"/>
        <rFont val="ＭＳ Ｐゴシック"/>
        <family val="3"/>
        <charset val="134"/>
        <scheme val="minor"/>
      </rPr>
      <t>澜</t>
    </r>
  </si>
  <si>
    <r>
      <t>柳州市辰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</si>
  <si>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烈酒;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清酒（日本米酒）; 开胃酒</t>
    </r>
  </si>
  <si>
    <t>MSTAR NAPOLEON</t>
  </si>
  <si>
    <r>
      <t>庄臣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酒（福建）有限公司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</si>
  <si>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朗姆酒; 烈酒;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</si>
  <si>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诗传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</si>
  <si>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薄荷酒; 威士忌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</si>
  <si>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小虫</t>
    </r>
  </si>
  <si>
    <r>
      <t>灭</t>
    </r>
    <r>
      <rPr>
        <sz val="11"/>
        <color theme="1"/>
        <rFont val="ＭＳ Ｐゴシック"/>
        <family val="3"/>
        <charset val="128"/>
        <scheme val="minor"/>
      </rPr>
      <t>虫虫（四川）科技有限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</si>
  <si>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青稞酒;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薄荷酒; 清酒（日本米酒）; 威士忌; 白酒</t>
    </r>
  </si>
  <si>
    <t>品沁</t>
  </si>
  <si>
    <t>于紫微</t>
  </si>
  <si>
    <r>
      <t xml:space="preserve">果酒（含酒精）; 葡萄酒; 柑香酒;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利口酒; 米酒;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</si>
  <si>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班利山谷 BAN LI LUO GA DISTILLERY</t>
  </si>
  <si>
    <r>
      <t>班利山谷（</t>
    </r>
    <r>
      <rPr>
        <sz val="11"/>
        <color theme="1"/>
        <rFont val="ＭＳ Ｐゴシック"/>
        <family val="3"/>
        <charset val="134"/>
        <scheme val="minor"/>
      </rPr>
      <t>澜沧</t>
    </r>
    <r>
      <rPr>
        <sz val="11"/>
        <color theme="1"/>
        <rFont val="ＭＳ Ｐゴシック"/>
        <family val="3"/>
        <charset val="128"/>
        <scheme val="minor"/>
      </rPr>
      <t>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</si>
  <si>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甘蔗汁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朗姆酒;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麦芽威士忌; 威士忌;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混合威士忌酒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</si>
  <si>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九雕</t>
    </r>
  </si>
  <si>
    <t>李朋超</t>
  </si>
  <si>
    <r>
      <t>高粱酒;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</t>
    </r>
  </si>
  <si>
    <r>
      <t>道尹</t>
    </r>
    <r>
      <rPr>
        <sz val="11"/>
        <color theme="1"/>
        <rFont val="ＭＳ Ｐゴシック"/>
        <family val="3"/>
        <charset val="134"/>
        <scheme val="minor"/>
      </rPr>
      <t>陈</t>
    </r>
    <r>
      <rPr>
        <sz val="11"/>
        <color theme="1"/>
        <rFont val="ＭＳ Ｐゴシック"/>
        <family val="3"/>
        <charset val="128"/>
        <scheme val="minor"/>
      </rPr>
      <t>本植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</si>
  <si>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忠</t>
    </r>
    <r>
      <rPr>
        <sz val="11"/>
        <color theme="1"/>
        <rFont val="ＭＳ Ｐゴシック"/>
        <family val="3"/>
        <charset val="134"/>
        <scheme val="minor"/>
      </rPr>
      <t>义</t>
    </r>
  </si>
  <si>
    <r>
      <t xml:space="preserve">葡萄酒; 利口酒; 露酒; 黄酒; 梅酒; 白酒; 高粱酒; 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</si>
  <si>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神草百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通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</si>
  <si>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州再生生物科技有限公司</t>
    </r>
  </si>
  <si>
    <r>
      <t>米酒; 甜酒; 青稞酒; 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</t>
    </r>
  </si>
  <si>
    <t>李杜情</t>
  </si>
  <si>
    <r>
      <t>亳州市聚鑫星酒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</si>
  <si>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</si>
  <si>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斟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</si>
  <si>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青梅酒; 苹果酒;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梨酒; 威士忌</t>
    </r>
  </si>
  <si>
    <r>
      <t>贡</t>
    </r>
    <r>
      <rPr>
        <sz val="11"/>
        <color theme="1"/>
        <rFont val="ＭＳ Ｐゴシック"/>
        <family val="3"/>
        <charset val="128"/>
        <scheme val="minor"/>
      </rPr>
      <t>宋帝王</t>
    </r>
  </si>
  <si>
    <t>白景山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</si>
  <si>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白干酒（中国白酒）; 果酒; 白酒; 葡萄酒</t>
    </r>
  </si>
  <si>
    <r>
      <t>好</t>
    </r>
    <r>
      <rPr>
        <sz val="11"/>
        <color theme="1"/>
        <rFont val="ＭＳ Ｐゴシック"/>
        <family val="3"/>
        <charset val="134"/>
        <scheme val="minor"/>
      </rPr>
      <t>团圆</t>
    </r>
    <r>
      <rPr>
        <sz val="11"/>
        <color theme="1"/>
        <rFont val="ＭＳ Ｐゴシック"/>
        <family val="3"/>
        <charset val="128"/>
        <scheme val="minor"/>
      </rPr>
      <t>百福泉</t>
    </r>
  </si>
  <si>
    <r>
      <t>沈阳市百福泉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酒厂（个人独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</si>
  <si>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</si>
  <si>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 xml:space="preserve">JTM 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泰明科技 JINTAIMINGTECHNOLOGY</t>
    </r>
  </si>
  <si>
    <r>
      <t>内蒙古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泰明科技集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</si>
  <si>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白酒; 果酒（含酒精）; 葡萄酒;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</si>
  <si>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倪圣堂</t>
  </si>
  <si>
    <r>
      <t>海口火</t>
    </r>
    <r>
      <rPr>
        <sz val="11"/>
        <color theme="1"/>
        <rFont val="ＭＳ Ｐゴシック"/>
        <family val="3"/>
        <charset val="134"/>
        <scheme val="minor"/>
      </rPr>
      <t>炜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</si>
  <si>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葡萄酒; 果酒（含酒精）;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</si>
  <si>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诗</t>
    </r>
    <r>
      <rPr>
        <sz val="11"/>
        <color theme="1"/>
        <rFont val="ＭＳ Ｐゴシック"/>
        <family val="3"/>
        <charset val="128"/>
        <scheme val="minor"/>
      </rPr>
      <t>人</t>
    </r>
    <r>
      <rPr>
        <sz val="11"/>
        <color theme="1"/>
        <rFont val="ＭＳ Ｐゴシック"/>
        <family val="3"/>
        <charset val="134"/>
        <scheme val="minor"/>
      </rPr>
      <t>传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</si>
  <si>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薄荷酒; 葡萄酒; 威士忌</t>
    </r>
  </si>
  <si>
    <r>
      <t>獭</t>
    </r>
    <r>
      <rPr>
        <sz val="11"/>
        <color theme="1"/>
        <rFont val="ＭＳ Ｐゴシック"/>
        <family val="3"/>
        <charset val="128"/>
        <scheme val="minor"/>
      </rPr>
      <t>祖</t>
    </r>
  </si>
  <si>
    <t>肖杰文</t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</si>
  <si>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</si>
  <si>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毛</t>
    </r>
    <r>
      <rPr>
        <sz val="11"/>
        <color theme="1"/>
        <rFont val="ＭＳ Ｐゴシック"/>
        <family val="3"/>
        <charset val="134"/>
        <scheme val="minor"/>
      </rPr>
      <t>逊</t>
    </r>
  </si>
  <si>
    <r>
      <t>葡萄酒; 烈酒;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</si>
  <si>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汐于</t>
  </si>
  <si>
    <r>
      <t>杭州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竹林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</si>
  <si>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白酒; 葡萄酒; 黄酒; 利口酒;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</si>
  <si>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盛元帝王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</si>
  <si>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葡萄酒; 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</t>
    </r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</si>
  <si>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黄酒;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蜂蜜酒; 甜酒</t>
    </r>
  </si>
  <si>
    <t>小韵香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</si>
  <si>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食用酒精;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葡萄酒; 米酒; 柑香酒;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</si>
  <si>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淄</t>
    </r>
    <r>
      <rPr>
        <sz val="11"/>
        <color theme="1"/>
        <rFont val="ＭＳ Ｐゴシック"/>
        <family val="3"/>
        <charset val="134"/>
        <scheme val="minor"/>
      </rPr>
      <t>银</t>
    </r>
  </si>
  <si>
    <r>
      <t>邢台甄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</si>
  <si>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果酒; 水果汽酒; 葡萄酒; 咖啡利口酒;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</si>
  <si>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市果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捺彼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</si>
  <si>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米酒; 伏特加酒;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青稞酒</t>
    </r>
  </si>
  <si>
    <r>
      <t>台之</t>
    </r>
    <r>
      <rPr>
        <sz val="11"/>
        <color theme="1"/>
        <rFont val="ＭＳ Ｐゴシック"/>
        <family val="3"/>
        <charset val="134"/>
        <scheme val="minor"/>
      </rPr>
      <t>赋</t>
    </r>
  </si>
  <si>
    <t>朱春燕</t>
  </si>
  <si>
    <r>
      <t>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</si>
  <si>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咱村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北兄弟</t>
    </r>
  </si>
  <si>
    <r>
      <t>吉林省宝之元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</si>
  <si>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蜂蜜酒;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黄酒; 米酒</t>
    </r>
  </si>
  <si>
    <r>
      <t>骆</t>
    </r>
    <r>
      <rPr>
        <sz val="11"/>
        <color theme="1"/>
        <rFont val="ＭＳ Ｐゴシック"/>
        <family val="3"/>
        <charset val="128"/>
        <scheme val="minor"/>
      </rPr>
      <t>邦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</si>
  <si>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葡萄酒; 白酒</t>
    </r>
  </si>
  <si>
    <t>PENFOLDS MAKE IT MAX</t>
  </si>
  <si>
    <r>
      <t>南社布</t>
    </r>
    <r>
      <rPr>
        <sz val="11"/>
        <color theme="1"/>
        <rFont val="ＭＳ Ｐゴシック"/>
        <family val="3"/>
        <charset val="134"/>
        <scheme val="minor"/>
      </rPr>
      <t>兰兹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</si>
  <si>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葡萄汽酒; 加烈葡萄酒;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餐后酒（利口酒和烈酒）; 起泡白葡萄酒</t>
    </r>
  </si>
  <si>
    <r>
      <t>农垦</t>
    </r>
    <r>
      <rPr>
        <sz val="11"/>
        <color theme="1"/>
        <rFont val="ＭＳ Ｐゴシック"/>
        <family val="3"/>
        <charset val="128"/>
        <scheme val="minor"/>
      </rPr>
      <t>城都</t>
    </r>
  </si>
  <si>
    <r>
      <t>上海台府食品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料有限公司</t>
    </r>
  </si>
  <si>
    <r>
      <t>威士忌; 葡萄酒; 黄酒;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</si>
  <si>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欢</t>
    </r>
    <r>
      <rPr>
        <sz val="11"/>
        <color theme="1"/>
        <rFont val="ＭＳ Ｐゴシック"/>
        <family val="3"/>
        <charset val="128"/>
        <scheme val="minor"/>
      </rPr>
      <t>梦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</si>
  <si>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青梅酒; 威士忌; 梨酒;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</si>
  <si>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小富</t>
    </r>
  </si>
  <si>
    <t>田保林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</si>
  <si>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蒸煮提取物（利口酒和烈酒）;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</si>
  <si>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伊力特金窖生香</t>
  </si>
  <si>
    <r>
      <t>新疆伊力特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</si>
  <si>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</t>
    </r>
  </si>
  <si>
    <r>
      <t>玺萧</t>
    </r>
    <r>
      <rPr>
        <sz val="11"/>
        <color theme="1"/>
        <rFont val="ＭＳ Ｐゴシック"/>
        <family val="3"/>
        <charset val="128"/>
        <scheme val="minor"/>
      </rPr>
      <t>有酒 XXYJ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</si>
  <si>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米酒; 黄酒</t>
    </r>
  </si>
  <si>
    <r>
      <t>国磐集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</si>
  <si>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含酒精的气泡水; 露酒;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高粱酒;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</t>
    </r>
  </si>
  <si>
    <r>
      <t>老</t>
    </r>
    <r>
      <rPr>
        <sz val="11"/>
        <color theme="1"/>
        <rFont val="ＭＳ Ｐゴシック"/>
        <family val="3"/>
        <charset val="134"/>
        <scheme val="minor"/>
      </rPr>
      <t>团场</t>
    </r>
  </si>
  <si>
    <t>胡国新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</si>
  <si>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甜果酒;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米酒</t>
    </r>
  </si>
  <si>
    <t>冷酷冰雕 LEN KU BING DIAO</t>
  </si>
  <si>
    <r>
      <t>爱捞</t>
    </r>
    <r>
      <rPr>
        <sz val="11"/>
        <color theme="1"/>
        <rFont val="ＭＳ Ｐゴシック"/>
        <family val="3"/>
        <charset val="128"/>
        <scheme val="minor"/>
      </rPr>
      <t>一族餐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</si>
  <si>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果酒（含酒精）; 葡萄酒;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</t>
    </r>
  </si>
  <si>
    <r>
      <t>洁</t>
    </r>
    <r>
      <rPr>
        <sz val="11"/>
        <color theme="1"/>
        <rFont val="ＭＳ Ｐゴシック"/>
        <family val="3"/>
        <charset val="134"/>
        <scheme val="minor"/>
      </rPr>
      <t>润</t>
    </r>
  </si>
  <si>
    <r>
      <t>深圳市</t>
    </r>
    <r>
      <rPr>
        <sz val="11"/>
        <color theme="1"/>
        <rFont val="ＭＳ Ｐゴシック"/>
        <family val="3"/>
        <charset val="129"/>
        <scheme val="minor"/>
      </rPr>
      <t>洁</t>
    </r>
    <r>
      <rPr>
        <sz val="11"/>
        <color theme="1"/>
        <rFont val="ＭＳ Ｐゴシック"/>
        <family val="3"/>
        <charset val="134"/>
        <scheme val="minor"/>
      </rPr>
      <t>润环</t>
    </r>
    <r>
      <rPr>
        <sz val="11"/>
        <color theme="1"/>
        <rFont val="ＭＳ Ｐゴシック"/>
        <family val="3"/>
        <charset val="128"/>
        <scheme val="minor"/>
      </rPr>
      <t>保科技有限公司</t>
    </r>
  </si>
  <si>
    <r>
      <t>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含酒精的气泡水; 伏特加酒;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</si>
  <si>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MSTAR MORGAN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</si>
  <si>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白酒; 烈酒; 葡萄酒; 朗姆酒</t>
    </r>
  </si>
  <si>
    <t>法莱酒庄 CHATEAU FARLEY</t>
  </si>
  <si>
    <r>
      <t>烟台路斯酒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</si>
  <si>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汽酒;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</t>
    </r>
  </si>
  <si>
    <r>
      <t>黔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大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匠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</si>
  <si>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大福酒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</si>
  <si>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米酒;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</si>
  <si>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川谷大酒坊</t>
  </si>
  <si>
    <r>
      <t>四川省川谷印象酒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</si>
  <si>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蒸煮提取物（利口酒和烈酒）;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清酒（日本米酒）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</si>
  <si>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秃</t>
    </r>
    <r>
      <rPr>
        <sz val="11"/>
        <color theme="1"/>
        <rFont val="ＭＳ Ｐゴシック"/>
        <family val="3"/>
        <charset val="128"/>
        <scheme val="minor"/>
      </rPr>
      <t>猴科技有限公司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</si>
  <si>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</si>
  <si>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大派</t>
  </si>
  <si>
    <t>蒋柱青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</si>
  <si>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威士忌; 葡萄酒;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</t>
    </r>
  </si>
  <si>
    <r>
      <t>賮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</si>
  <si>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网易盾网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</si>
  <si>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食用酒精; 威士忌; 黄酒; 利口酒; 果酒（含酒精）</t>
    </r>
  </si>
  <si>
    <t>京台汀酒</t>
  </si>
  <si>
    <r>
      <t xml:space="preserve">白干酒（中国白酒）; 葡萄酒; 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</si>
  <si>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九森原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</si>
  <si>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州九森原弘堂商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</si>
  <si>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酸酒（低等葡萄酒）;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</si>
  <si>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方</t>
    </r>
    <r>
      <rPr>
        <sz val="11"/>
        <color theme="1"/>
        <rFont val="ＭＳ Ｐゴシック"/>
        <family val="3"/>
        <charset val="134"/>
        <scheme val="minor"/>
      </rPr>
      <t>纲</t>
    </r>
    <r>
      <rPr>
        <sz val="11"/>
        <color theme="1"/>
        <rFont val="ＭＳ Ｐゴシック"/>
        <family val="3"/>
        <charset val="128"/>
        <scheme val="minor"/>
      </rPr>
      <t>要</t>
    </r>
  </si>
  <si>
    <t>尹玉燕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</si>
  <si>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</si>
  <si>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PD 盆地一号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</si>
  <si>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盆地一号生物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</si>
  <si>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</si>
  <si>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青沙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</si>
  <si>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中建聚能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（林州）有限公司</t>
    </r>
  </si>
  <si>
    <r>
      <t>葡萄酒; 黄酒; 威士忌;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薄荷酒;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</si>
  <si>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賨人魂</t>
  </si>
  <si>
    <r>
      <t>毛</t>
    </r>
    <r>
      <rPr>
        <sz val="11"/>
        <color theme="1"/>
        <rFont val="ＭＳ Ｐゴシック"/>
        <family val="3"/>
        <charset val="134"/>
        <scheme val="minor"/>
      </rPr>
      <t>亚辉</t>
    </r>
  </si>
  <si>
    <r>
      <t xml:space="preserve">果酒; 米酒; 蒸煮提取物（利口酒和烈酒）; 汽酒;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苹果酒; 清酒（日本米酒）; 蜂蜜酒; 薄荷酒</t>
    </r>
  </si>
  <si>
    <t>果小哩 FRIUKOMILI</t>
  </si>
  <si>
    <r>
      <t>海口</t>
    </r>
    <r>
      <rPr>
        <sz val="11"/>
        <color theme="1"/>
        <rFont val="ＭＳ Ｐゴシック"/>
        <family val="3"/>
        <charset val="134"/>
        <scheme val="minor"/>
      </rPr>
      <t>龙华</t>
    </r>
    <r>
      <rPr>
        <sz val="11"/>
        <color theme="1"/>
        <rFont val="ＭＳ Ｐゴシック"/>
        <family val="3"/>
        <charset val="128"/>
        <scheme val="minor"/>
      </rPr>
      <t>宙夕食品</t>
    </r>
    <r>
      <rPr>
        <sz val="11"/>
        <color theme="1"/>
        <rFont val="ＭＳ Ｐゴシック"/>
        <family val="3"/>
        <charset val="134"/>
        <scheme val="minor"/>
      </rPr>
      <t>经营</t>
    </r>
    <r>
      <rPr>
        <sz val="11"/>
        <color theme="1"/>
        <rFont val="ＭＳ Ｐゴシック"/>
        <family val="3"/>
        <charset val="128"/>
        <scheme val="minor"/>
      </rPr>
      <t>部（个体工商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</si>
  <si>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梅酒; 米酒; 果酒; 甜酒; 白酒; 青梅酒; 威士忌</t>
    </r>
  </si>
  <si>
    <r>
      <t>硬壮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</si>
  <si>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>辉县</t>
    </r>
    <r>
      <rPr>
        <sz val="11"/>
        <color theme="1"/>
        <rFont val="ＭＳ Ｐゴシック"/>
        <family val="3"/>
        <charset val="128"/>
        <scheme val="minor"/>
      </rPr>
      <t>市久源酒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</si>
  <si>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苦味酒; 开胃酒; 黄酒;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</si>
  <si>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京沛虎</t>
  </si>
  <si>
    <r>
      <t>武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源健食品小作坊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</si>
  <si>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黄酒; 米酒</t>
    </r>
  </si>
  <si>
    <r>
      <t>賮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</si>
  <si>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食用酒精; 葡萄酒; 黄酒; 白酒</t>
    </r>
  </si>
  <si>
    <r>
      <t>利辛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展沟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模模五金店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</si>
  <si>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</t>
    </r>
  </si>
  <si>
    <t>帝宴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</si>
  <si>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州天日酒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</si>
  <si>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白酒; 露酒</t>
    </r>
  </si>
  <si>
    <t>克拉采采</t>
  </si>
  <si>
    <r>
      <t>分宜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采采品牌管理有限公司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</si>
  <si>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</si>
  <si>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迎粮</t>
  </si>
  <si>
    <t>曾爽</t>
  </si>
  <si>
    <r>
      <t xml:space="preserve">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</t>
    </r>
  </si>
  <si>
    <t>百斟</t>
  </si>
  <si>
    <r>
      <t>沈利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</si>
  <si>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清酒（日本米酒）;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</si>
  <si>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青花帝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</si>
  <si>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小花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</si>
  <si>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黄酒;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甘蔗制烈酒</t>
    </r>
  </si>
  <si>
    <r>
      <t>洛川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豪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</si>
  <si>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黄酒; 蜂蜜酒;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青稞酒;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开胃酒</t>
    </r>
  </si>
  <si>
    <r>
      <t>鹦</t>
    </r>
    <r>
      <rPr>
        <sz val="11"/>
        <color theme="1"/>
        <rFont val="ＭＳ Ｐゴシック"/>
        <family val="3"/>
        <charset val="128"/>
        <scheme val="minor"/>
      </rPr>
      <t>仙醉</t>
    </r>
  </si>
  <si>
    <t>刘建君</t>
  </si>
  <si>
    <r>
      <t>白酒;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朗姆酒; 米酒</t>
    </r>
  </si>
  <si>
    <r>
      <t>巴</t>
    </r>
    <r>
      <rPr>
        <sz val="11"/>
        <color theme="1"/>
        <rFont val="ＭＳ Ｐゴシック"/>
        <family val="3"/>
        <charset val="134"/>
        <scheme val="minor"/>
      </rPr>
      <t>谱</t>
    </r>
  </si>
  <si>
    <r>
      <t>中枢</t>
    </r>
    <r>
      <rPr>
        <sz val="11"/>
        <color theme="1"/>
        <rFont val="ＭＳ Ｐゴシック"/>
        <family val="3"/>
        <charset val="134"/>
        <scheme val="minor"/>
      </rPr>
      <t>农业产业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</si>
  <si>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伏特加酒; 威士忌; 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</si>
  <si>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t>元粮魂</t>
  </si>
  <si>
    <r>
      <t>济</t>
    </r>
    <r>
      <rPr>
        <sz val="11"/>
        <color theme="1"/>
        <rFont val="ＭＳ Ｐゴシック"/>
        <family val="3"/>
        <charset val="128"/>
        <scheme val="minor"/>
      </rPr>
      <t>南市泉竹</t>
    </r>
    <r>
      <rPr>
        <sz val="11"/>
        <color theme="1"/>
        <rFont val="ＭＳ Ｐゴシック"/>
        <family val="3"/>
        <charset val="134"/>
        <scheme val="minor"/>
      </rPr>
      <t>纸业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</si>
  <si>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青稞酒; 米酒</t>
    </r>
  </si>
  <si>
    <t>硬壮士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</si>
  <si>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苦味酒;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开胃酒;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</si>
  <si>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巫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源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</si>
  <si>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庆汇农鲜农</t>
    </r>
    <r>
      <rPr>
        <sz val="11"/>
        <color theme="1"/>
        <rFont val="ＭＳ Ｐゴシック"/>
        <family val="3"/>
        <charset val="128"/>
        <scheme val="minor"/>
      </rPr>
      <t>副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</si>
  <si>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 xml:space="preserve">葡萄酒; 甜酒; 黄酒; 白酒; 果酒; 烈酒; 蜂蜜酒;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</si>
  <si>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烟台白洋河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</si>
  <si>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餐后酒（利口酒和烈酒）; 威士忌; 葡萄酒; 朗姆酒;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</si>
  <si>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平</t>
    </r>
    <r>
      <rPr>
        <sz val="11"/>
        <color theme="1"/>
        <rFont val="ＭＳ Ｐゴシック"/>
        <family val="3"/>
        <charset val="134"/>
        <scheme val="minor"/>
      </rPr>
      <t>应</t>
    </r>
  </si>
  <si>
    <r>
      <t>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葡萄酒;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青稞酒;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</si>
  <si>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首之眼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</si>
  <si>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肃银</t>
    </r>
    <r>
      <rPr>
        <sz val="11"/>
        <color theme="1"/>
        <rFont val="ＭＳ Ｐゴシック"/>
        <family val="3"/>
        <charset val="128"/>
        <scheme val="minor"/>
      </rPr>
      <t>地豪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</si>
  <si>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苹果酒; 青稞酒; 果酒（含酒精）;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利口酒;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</si>
  <si>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百粮</t>
    </r>
    <r>
      <rPr>
        <sz val="11"/>
        <color theme="1"/>
        <rFont val="ＭＳ Ｐゴシック"/>
        <family val="3"/>
        <charset val="134"/>
        <scheme val="minor"/>
      </rPr>
      <t>烩</t>
    </r>
    <r>
      <rPr>
        <sz val="11"/>
        <color theme="1"/>
        <rFont val="ＭＳ Ｐゴシック"/>
        <family val="3"/>
        <charset val="128"/>
        <scheme val="minor"/>
      </rPr>
      <t>春</t>
    </r>
  </si>
  <si>
    <t>北京菀柳文尚科技有限公司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</si>
  <si>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蒸煮提取物（利口酒和烈酒）; 食用酒精; 果酒（含酒精）; 葡萄酒; 开胃酒; 利口酒</t>
    </r>
  </si>
  <si>
    <t>康渡</t>
  </si>
  <si>
    <r>
      <t>深圳康渡酒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</si>
  <si>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</si>
  <si>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</si>
  <si>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深圳市艾菲尼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</si>
  <si>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黄酒; 食用酒精;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蒸煮提取物（利口酒和烈酒）</t>
    </r>
  </si>
  <si>
    <r>
      <t xml:space="preserve">FD </t>
    </r>
    <r>
      <rPr>
        <sz val="11"/>
        <color theme="1"/>
        <rFont val="ＭＳ Ｐゴシック"/>
        <family val="3"/>
        <charset val="134"/>
        <scheme val="minor"/>
      </rPr>
      <t>联华</t>
    </r>
    <r>
      <rPr>
        <sz val="11"/>
        <color theme="1"/>
        <rFont val="ＭＳ Ｐゴシック"/>
        <family val="3"/>
        <charset val="128"/>
        <scheme val="minor"/>
      </rPr>
      <t>富德</t>
    </r>
  </si>
  <si>
    <r>
      <t>杭州智</t>
    </r>
    <r>
      <rPr>
        <sz val="11"/>
        <color theme="1"/>
        <rFont val="ＭＳ Ｐゴシック"/>
        <family val="3"/>
        <charset val="134"/>
        <scheme val="minor"/>
      </rPr>
      <t>鲸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</si>
  <si>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汽酒; 黄酒; 果酒（含酒精）; 开胃酒;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</si>
  <si>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平征</t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</si>
  <si>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烈酒; 米酒; 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</si>
  <si>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监陈</t>
  </si>
  <si>
    <r>
      <t>龚</t>
    </r>
    <r>
      <rPr>
        <sz val="11"/>
        <color theme="1"/>
        <rFont val="ＭＳ Ｐゴシック"/>
        <family val="3"/>
        <charset val="128"/>
        <scheme val="minor"/>
      </rPr>
      <t>文甫</t>
    </r>
  </si>
  <si>
    <r>
      <t>葡萄酒; 清酒; 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</si>
  <si>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丰谷 FENGGUTEQU 9</t>
  </si>
  <si>
    <r>
      <t xml:space="preserve">食用酒精;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米酒; 清酒（日本米酒）</t>
    </r>
  </si>
  <si>
    <t>PIT STOP</t>
  </si>
  <si>
    <r>
      <t>上海茶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道文化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</si>
  <si>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餐后酒（利口酒和烈酒）;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</si>
  <si>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杜甫</t>
    </r>
    <r>
      <rPr>
        <sz val="11"/>
        <color theme="1"/>
        <rFont val="ＭＳ Ｐゴシック"/>
        <family val="3"/>
        <charset val="134"/>
        <scheme val="minor"/>
      </rPr>
      <t>腾龙</t>
    </r>
    <r>
      <rPr>
        <sz val="11"/>
        <color theme="1"/>
        <rFont val="ＭＳ Ｐゴシック"/>
        <family val="3"/>
        <charset val="128"/>
        <scheme val="minor"/>
      </rPr>
      <t>窖</t>
    </r>
  </si>
  <si>
    <r>
      <t>薄荷酒; 清酒（日本米酒）;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</si>
  <si>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悦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庄藏宝</t>
    </r>
    <r>
      <rPr>
        <sz val="11"/>
        <color theme="1"/>
        <rFont val="ＭＳ Ｐゴシック"/>
        <family val="3"/>
        <charset val="134"/>
        <scheme val="minor"/>
      </rPr>
      <t>图</t>
    </r>
  </si>
  <si>
    <r>
      <t>上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</si>
  <si>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开胃酒; 朗姆酒; 蒸煮提取物（利口酒和烈酒）;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</si>
  <si>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后</t>
    </r>
    <r>
      <rPr>
        <sz val="11"/>
        <color theme="1"/>
        <rFont val="ＭＳ Ｐゴシック"/>
        <family val="3"/>
        <charset val="134"/>
        <scheme val="minor"/>
      </rPr>
      <t>岗</t>
    </r>
    <r>
      <rPr>
        <sz val="11"/>
        <color theme="1"/>
        <rFont val="ＭＳ Ｐゴシック"/>
        <family val="3"/>
        <charset val="128"/>
        <scheme val="minor"/>
      </rPr>
      <t>卯</t>
    </r>
    <r>
      <rPr>
        <sz val="11"/>
        <color theme="1"/>
        <rFont val="ＭＳ Ｐゴシック"/>
        <family val="3"/>
        <charset val="134"/>
        <scheme val="minor"/>
      </rPr>
      <t>时</t>
    </r>
  </si>
  <si>
    <t>上海古松园食品有限公司</t>
  </si>
  <si>
    <r>
      <t xml:space="preserve">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威士忌; 葡萄酒</t>
    </r>
  </si>
  <si>
    <t>酒金蓉</t>
  </si>
  <si>
    <r>
      <t>山西杏汾国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</si>
  <si>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</si>
  <si>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梦之豪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</si>
  <si>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威士忌; 黄酒; 米酒; 青稞酒</t>
    </r>
  </si>
  <si>
    <t>桂祥福</t>
  </si>
  <si>
    <r>
      <t>任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毅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</si>
  <si>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清酒;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</si>
  <si>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亭林卯</t>
    </r>
    <r>
      <rPr>
        <sz val="11"/>
        <color theme="1"/>
        <rFont val="ＭＳ Ｐゴシック"/>
        <family val="3"/>
        <charset val="134"/>
        <scheme val="minor"/>
      </rPr>
      <t>时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</si>
  <si>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黄酒; 清酒（日本米酒）; 果酒（含酒精）; 威士忌;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</si>
  <si>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容忍渡</t>
  </si>
  <si>
    <r>
      <t>方熠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</si>
  <si>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果酒（含酒精）; 餐后酒（利口酒和烈酒）;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烈酒;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白酒; 黄酒</t>
    </r>
  </si>
  <si>
    <t>叙自在</t>
  </si>
  <si>
    <r>
      <t>储</t>
    </r>
    <r>
      <rPr>
        <sz val="11"/>
        <color theme="1"/>
        <rFont val="ＭＳ Ｐゴシック"/>
        <family val="3"/>
        <charset val="128"/>
        <scheme val="minor"/>
      </rPr>
      <t>德</t>
    </r>
    <r>
      <rPr>
        <sz val="11"/>
        <color theme="1"/>
        <rFont val="ＭＳ Ｐゴシック"/>
        <family val="3"/>
        <charset val="134"/>
        <scheme val="minor"/>
      </rPr>
      <t>进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</si>
  <si>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烈酒; 威士忌</t>
    </r>
  </si>
  <si>
    <t>李新娣</t>
  </si>
  <si>
    <r>
      <t>河源市正帆商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</si>
  <si>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</t>
    </r>
  </si>
  <si>
    <r>
      <t>杜甫</t>
    </r>
    <r>
      <rPr>
        <sz val="11"/>
        <color theme="1"/>
        <rFont val="ＭＳ Ｐゴシック"/>
        <family val="3"/>
        <charset val="134"/>
        <scheme val="minor"/>
      </rPr>
      <t>腾龙</t>
    </r>
    <r>
      <rPr>
        <sz val="11"/>
        <color theme="1"/>
        <rFont val="ＭＳ Ｐゴシック"/>
        <family val="3"/>
        <charset val="128"/>
        <scheme val="minor"/>
      </rPr>
      <t>液</t>
    </r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</si>
  <si>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薄荷酒; 葡萄酒;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</si>
  <si>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悦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庄</t>
    </r>
    <r>
      <rPr>
        <sz val="11"/>
        <color theme="1"/>
        <rFont val="ＭＳ Ｐゴシック"/>
        <family val="3"/>
        <charset val="134"/>
        <scheme val="minor"/>
      </rPr>
      <t>摇钱树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</si>
  <si>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朗姆酒; 葡萄酒; 蒸煮提取物（利口酒和烈酒）; 伏特加酒</t>
    </r>
  </si>
  <si>
    <r>
      <t>砀</t>
    </r>
    <r>
      <rPr>
        <sz val="11"/>
        <color theme="1"/>
        <rFont val="ＭＳ Ｐゴシック"/>
        <family val="3"/>
        <charset val="128"/>
        <scheme val="minor"/>
      </rPr>
      <t>山赤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</si>
  <si>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</si>
  <si>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六盈</t>
  </si>
  <si>
    <t>海洋</t>
  </si>
  <si>
    <r>
      <t>清酒（日本米酒）; 白酒; 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</si>
  <si>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猿祭王</t>
  </si>
  <si>
    <r>
      <t>深圳市高希霸</t>
    </r>
    <r>
      <rPr>
        <sz val="11"/>
        <color theme="1"/>
        <rFont val="ＭＳ Ｐゴシック"/>
        <family val="3"/>
        <charset val="134"/>
        <scheme val="minor"/>
      </rPr>
      <t>嵘</t>
    </r>
    <r>
      <rPr>
        <sz val="11"/>
        <color theme="1"/>
        <rFont val="ＭＳ Ｐゴシック"/>
        <family val="3"/>
        <charset val="128"/>
        <scheme val="minor"/>
      </rPr>
      <t>盛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</si>
  <si>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伏特加酒;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蒸煮提取物（利口酒和烈酒）; 威士忌;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</si>
  <si>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杜甫</t>
    </r>
    <r>
      <rPr>
        <sz val="11"/>
        <color theme="1"/>
        <rFont val="ＭＳ Ｐゴシック"/>
        <family val="3"/>
        <charset val="134"/>
        <scheme val="minor"/>
      </rPr>
      <t>腾龙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</si>
  <si>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黄酒; 薄荷酒; 威士忌;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</si>
  <si>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瑞州府大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楼</t>
    </r>
  </si>
  <si>
    <t>周三峰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</si>
  <si>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白酒; 威士忌; 烈酒;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</si>
  <si>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济银</t>
  </si>
  <si>
    <r>
      <t>邢台邢茶茶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</si>
  <si>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咖啡利口酒;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葡萄酒; 水果汽酒; 白酒;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</si>
  <si>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酿</t>
    </r>
    <r>
      <rPr>
        <sz val="11"/>
        <color theme="1"/>
        <rFont val="ＭＳ Ｐゴシック"/>
        <family val="3"/>
        <charset val="128"/>
        <scheme val="minor"/>
      </rPr>
      <t>丰</t>
    </r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</si>
  <si>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</si>
  <si>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开胃酒;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葡萄酒;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</si>
  <si>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周明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</si>
  <si>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</si>
  <si>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前小二</t>
  </si>
  <si>
    <r>
      <t>刘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</si>
  <si>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开胃酒; 葡萄酒;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威士忌; 烈酒</t>
    </r>
  </si>
  <si>
    <r>
      <t>农场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贺</t>
    </r>
  </si>
  <si>
    <r>
      <t>盛利</t>
    </r>
    <r>
      <rPr>
        <sz val="11"/>
        <color theme="1"/>
        <rFont val="ＭＳ Ｐゴシック"/>
        <family val="3"/>
        <charset val="134"/>
        <scheme val="minor"/>
      </rPr>
      <t>贺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</si>
  <si>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含酒精的气泡水;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餐后酒（利口酒和烈酒）; 白酒; 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</si>
  <si>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古醇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坊韵</t>
    </r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</si>
  <si>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市夏朝酒行（个体工商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</si>
  <si>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果酒（含酒精）; 朗姆酒; 黄酒; 葡萄酒; 威士忌; 伏特加酒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</si>
  <si>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谷永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</si>
  <si>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白酒; 高粱酒;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米酒; 混合威士忌酒;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</si>
  <si>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武御 白酒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</si>
  <si>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酒泉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武酒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</si>
  <si>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t>湘徽原</t>
  </si>
  <si>
    <r>
      <t>邓</t>
    </r>
    <r>
      <rPr>
        <sz val="11"/>
        <color theme="1"/>
        <rFont val="ＭＳ Ｐゴシック"/>
        <family val="3"/>
        <charset val="128"/>
        <scheme val="minor"/>
      </rPr>
      <t>勇霞******************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</si>
  <si>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</si>
  <si>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母</t>
    </r>
    <r>
      <rPr>
        <sz val="11"/>
        <color theme="1"/>
        <rFont val="ＭＳ Ｐゴシック"/>
        <family val="3"/>
        <charset val="134"/>
        <scheme val="minor"/>
      </rPr>
      <t>桥</t>
    </r>
  </si>
  <si>
    <r>
      <t>舒城</t>
    </r>
    <r>
      <rPr>
        <sz val="11"/>
        <color theme="1"/>
        <rFont val="ＭＳ Ｐゴシック"/>
        <family val="3"/>
        <charset val="134"/>
        <scheme val="minor"/>
      </rPr>
      <t>县张</t>
    </r>
    <r>
      <rPr>
        <sz val="11"/>
        <color theme="1"/>
        <rFont val="ＭＳ Ｐゴシック"/>
        <family val="3"/>
        <charset val="128"/>
        <scheme val="minor"/>
      </rPr>
      <t>母</t>
    </r>
    <r>
      <rPr>
        <sz val="11"/>
        <color theme="1"/>
        <rFont val="ＭＳ Ｐゴシック"/>
        <family val="3"/>
        <charset val="134"/>
        <scheme val="minor"/>
      </rPr>
      <t>桥</t>
    </r>
    <r>
      <rPr>
        <sz val="11"/>
        <color theme="1"/>
        <rFont val="ＭＳ Ｐゴシック"/>
        <family val="3"/>
        <charset val="128"/>
        <scheme val="minor"/>
      </rPr>
      <t>知青</t>
    </r>
    <r>
      <rPr>
        <sz val="11"/>
        <color theme="1"/>
        <rFont val="ＭＳ Ｐゴシック"/>
        <family val="3"/>
        <charset val="134"/>
        <scheme val="minor"/>
      </rPr>
      <t>馆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</si>
  <si>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</si>
  <si>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曹魏 196</t>
  </si>
  <si>
    <r>
      <t>许</t>
    </r>
    <r>
      <rPr>
        <sz val="11"/>
        <color theme="1"/>
        <rFont val="ＭＳ Ｐゴシック"/>
        <family val="3"/>
        <charset val="128"/>
        <scheme val="minor"/>
      </rPr>
      <t>昌市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珂商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</si>
  <si>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青梅酒; 蜂蜜酒;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果酒（含酒精）; 葡萄酒; 黄酒; 高粱酒</t>
    </r>
  </si>
  <si>
    <r>
      <t>美</t>
    </r>
    <r>
      <rPr>
        <sz val="11"/>
        <color theme="1"/>
        <rFont val="ＭＳ Ｐゴシック"/>
        <family val="3"/>
        <charset val="134"/>
        <scheme val="minor"/>
      </rPr>
      <t>团</t>
    </r>
  </si>
  <si>
    <t>北京三快科技有限公司</t>
  </si>
  <si>
    <r>
      <t>开胃酒;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</si>
  <si>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祁城美酒</t>
  </si>
  <si>
    <t>河北德利康健生物科技有限公司</t>
  </si>
  <si>
    <r>
      <t>白酒; 高粱酒;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青稞酒;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</si>
  <si>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悠香粮臻</t>
  </si>
  <si>
    <r>
      <t>涂启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</si>
  <si>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</si>
  <si>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龙书</t>
    </r>
    <r>
      <rPr>
        <sz val="11"/>
        <color theme="1"/>
        <rFont val="ＭＳ Ｐゴシック"/>
        <family val="3"/>
        <charset val="128"/>
        <scheme val="minor"/>
      </rPr>
      <t>案</t>
    </r>
  </si>
  <si>
    <r>
      <t>内蒙古呼</t>
    </r>
    <r>
      <rPr>
        <sz val="11"/>
        <color theme="1"/>
        <rFont val="ＭＳ Ｐゴシック"/>
        <family val="3"/>
        <charset val="134"/>
        <scheme val="minor"/>
      </rPr>
      <t>伦贝尔</t>
    </r>
    <r>
      <rPr>
        <sz val="11"/>
        <color theme="1"/>
        <rFont val="ＭＳ Ｐゴシック"/>
        <family val="3"/>
        <charset val="128"/>
        <scheme val="minor"/>
      </rPr>
      <t>元世祖畜牧</t>
    </r>
    <r>
      <rPr>
        <sz val="11"/>
        <color theme="1"/>
        <rFont val="ＭＳ Ｐゴシック"/>
        <family val="3"/>
        <charset val="134"/>
        <scheme val="minor"/>
      </rPr>
      <t>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</si>
  <si>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</t>
    </r>
  </si>
  <si>
    <t>碧溪古楼下</t>
  </si>
  <si>
    <r>
      <t>井</t>
    </r>
    <r>
      <rPr>
        <sz val="11"/>
        <color theme="1"/>
        <rFont val="ＭＳ Ｐゴシック"/>
        <family val="3"/>
        <charset val="134"/>
        <scheme val="minor"/>
      </rPr>
      <t>冈</t>
    </r>
    <r>
      <rPr>
        <sz val="11"/>
        <color theme="1"/>
        <rFont val="ＭＳ Ｐゴシック"/>
        <family val="3"/>
        <charset val="128"/>
        <scheme val="minor"/>
      </rPr>
      <t>山市古楼下</t>
    </r>
    <r>
      <rPr>
        <sz val="11"/>
        <color theme="1"/>
        <rFont val="ＭＳ Ｐゴシック"/>
        <family val="3"/>
        <charset val="134"/>
        <scheme val="minor"/>
      </rPr>
      <t>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</si>
  <si>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白干酒（中国白酒）; 果酒（含酒精）; 黄酒;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</si>
  <si>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须</t>
    </r>
    <r>
      <rPr>
        <sz val="11"/>
        <color theme="1"/>
        <rFont val="ＭＳ Ｐゴシック"/>
        <family val="3"/>
        <charset val="128"/>
        <scheme val="minor"/>
      </rPr>
      <t>台帝之道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</si>
  <si>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须</t>
    </r>
    <r>
      <rPr>
        <sz val="11"/>
        <color theme="1"/>
        <rFont val="ＭＳ Ｐゴシック"/>
        <family val="3"/>
        <charset val="128"/>
        <scheme val="minor"/>
      </rPr>
      <t>台酒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</si>
  <si>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苹果酒; 餐后酒（利口酒和烈酒）;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</t>
    </r>
  </si>
  <si>
    <r>
      <t>须</t>
    </r>
    <r>
      <rPr>
        <sz val="11"/>
        <color theme="1"/>
        <rFont val="ＭＳ Ｐゴシック"/>
        <family val="3"/>
        <charset val="128"/>
        <scheme val="minor"/>
      </rPr>
      <t>台君之道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</si>
  <si>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葡萄酒; 米酒; 苹果酒; 餐后酒（利口酒和烈酒）;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</t>
    </r>
  </si>
  <si>
    <t>FIZZICAL</t>
  </si>
  <si>
    <t>王靖天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</si>
  <si>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果酒（含酒精）; 含酒精的气泡水;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</si>
  <si>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汴阳楼</t>
  </si>
  <si>
    <r>
      <t>灵璧醉京焰食品商</t>
    </r>
    <r>
      <rPr>
        <sz val="11"/>
        <color theme="1"/>
        <rFont val="ＭＳ Ｐゴシック"/>
        <family val="3"/>
        <charset val="134"/>
        <scheme val="minor"/>
      </rPr>
      <t>贸经营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</si>
  <si>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</si>
  <si>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牧勒河</t>
  </si>
  <si>
    <r>
      <t>任</t>
    </r>
    <r>
      <rPr>
        <sz val="11"/>
        <color theme="1"/>
        <rFont val="ＭＳ Ｐゴシック"/>
        <family val="3"/>
        <charset val="134"/>
        <scheme val="minor"/>
      </rPr>
      <t>晓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</si>
  <si>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酸酒（低等葡萄酒）; 奶油利口酒;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</t>
    </r>
  </si>
  <si>
    <r>
      <t>须</t>
    </r>
    <r>
      <rPr>
        <sz val="11"/>
        <color theme="1"/>
        <rFont val="ＭＳ Ｐゴシック"/>
        <family val="3"/>
        <charset val="128"/>
        <scheme val="minor"/>
      </rPr>
      <t>台心之道</t>
    </r>
  </si>
  <si>
    <r>
      <t>果酒（含酒精）; 苹果酒; 葡萄酒;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白酒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</si>
  <si>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长</t>
    </r>
  </si>
  <si>
    <r>
      <t>四川宜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流杯池酒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</si>
  <si>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</si>
  <si>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须</t>
    </r>
    <r>
      <rPr>
        <sz val="11"/>
        <color theme="1"/>
        <rFont val="ＭＳ Ｐゴシック"/>
        <family val="3"/>
        <charset val="128"/>
        <scheme val="minor"/>
      </rPr>
      <t>台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之道</t>
    </r>
  </si>
  <si>
    <r>
      <t>白酒; 餐后酒（利口酒和烈酒）;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苹果酒</t>
    </r>
  </si>
  <si>
    <r>
      <t>唯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格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德</t>
    </r>
  </si>
  <si>
    <t>王蓓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</si>
  <si>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米酒; 白酒;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</si>
  <si>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QIHUALI</t>
  </si>
  <si>
    <t>冯辉</t>
  </si>
  <si>
    <t>汽酒; 露酒; 开胃酒; 葡萄酒; 高粱酒; 果酒; 清酒; 白酒; 米酒; 利口酒</t>
  </si>
  <si>
    <r>
      <t>右</t>
    </r>
    <r>
      <rPr>
        <sz val="11"/>
        <color theme="1"/>
        <rFont val="ＭＳ Ｐゴシック"/>
        <family val="3"/>
        <charset val="134"/>
        <scheme val="minor"/>
      </rPr>
      <t>单</t>
    </r>
    <r>
      <rPr>
        <sz val="11"/>
        <color theme="1"/>
        <rFont val="ＭＳ Ｐゴシック"/>
        <family val="3"/>
        <charset val="128"/>
        <scheme val="minor"/>
      </rPr>
      <t>元</t>
    </r>
  </si>
  <si>
    <r>
      <t>中山市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泉服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</si>
  <si>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食用酒精; 米酒;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</si>
  <si>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航薯十九</t>
  </si>
  <si>
    <t>曹卉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</si>
  <si>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葡萄酒; 朗姆酒; 利口酒</t>
    </r>
  </si>
  <si>
    <t>永金招</t>
  </si>
  <si>
    <t>王智楠</t>
  </si>
  <si>
    <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</si>
  <si>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黄泰即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</si>
  <si>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威士忌; 黄酒;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</si>
  <si>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峰上蜂</t>
  </si>
  <si>
    <r>
      <t>罗</t>
    </r>
    <r>
      <rPr>
        <sz val="11"/>
        <color theme="1"/>
        <rFont val="ＭＳ Ｐゴシック"/>
        <family val="3"/>
        <charset val="128"/>
        <scheme val="minor"/>
      </rPr>
      <t>新文</t>
    </r>
  </si>
  <si>
    <r>
      <t>白酒; 露酒;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高粱酒; 果酒（含酒精）; 葡萄酒;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</si>
  <si>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隆</t>
    </r>
    <r>
      <rPr>
        <sz val="11"/>
        <color theme="1"/>
        <rFont val="ＭＳ Ｐゴシック"/>
        <family val="3"/>
        <charset val="134"/>
        <scheme val="minor"/>
      </rPr>
      <t>玺</t>
    </r>
  </si>
  <si>
    <t>李亮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</si>
  <si>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汽酒; 伏特加酒; 米酒; 葡萄酒; 果酒（含酒精）;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</si>
  <si>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威士忌;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</si>
  <si>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名</t>
    </r>
    <r>
      <rPr>
        <sz val="11"/>
        <color theme="1"/>
        <rFont val="ＭＳ Ｐゴシック"/>
        <family val="3"/>
        <charset val="134"/>
        <scheme val="minor"/>
      </rPr>
      <t>狮</t>
    </r>
    <r>
      <rPr>
        <sz val="11"/>
        <color theme="1"/>
        <rFont val="ＭＳ Ｐゴシック"/>
        <family val="3"/>
        <charset val="128"/>
        <scheme val="minor"/>
      </rPr>
      <t>酒庄</t>
    </r>
  </si>
  <si>
    <t>李昆******************</t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</si>
  <si>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米酒; 甜酒; 葡萄酒; 威士忌; 清酒;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</si>
  <si>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尚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</si>
  <si>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>河南盛典酒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</si>
  <si>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</si>
  <si>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昌安</t>
    </r>
  </si>
  <si>
    <r>
      <t>果酒（含酒精）; 米酒; 露酒; 黄酒; 梨酒;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青稞酒;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</si>
  <si>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酒小来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</si>
  <si>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青稞酒;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</t>
    </r>
  </si>
  <si>
    <t>天大北洋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</si>
  <si>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东师润</t>
    </r>
    <r>
      <rPr>
        <sz val="11"/>
        <color theme="1"/>
        <rFont val="ＭＳ Ｐゴシック"/>
        <family val="3"/>
        <charset val="128"/>
        <scheme val="minor"/>
      </rPr>
      <t>文化科技有限公司</t>
    </r>
  </si>
  <si>
    <r>
      <t>果酒（含酒精）; 白酒; 葡萄酒; 开胃酒;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</si>
  <si>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道醁</t>
  </si>
  <si>
    <r>
      <t>浙江衍界商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</si>
  <si>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蜂蜜酒;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</si>
  <si>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珍萃养</t>
  </si>
  <si>
    <r>
      <t>赵鹏</t>
    </r>
    <r>
      <rPr>
        <sz val="11"/>
        <color theme="1"/>
        <rFont val="ＭＳ Ｐゴシック"/>
        <family val="3"/>
        <charset val="128"/>
        <scheme val="minor"/>
      </rPr>
      <t>程</t>
    </r>
  </si>
  <si>
    <t>果酒; 甜酒; 米酒; 清酒; 黄酒; 白酒; 葡萄酒; 汽酒; 食用酒精; 开胃酒</t>
  </si>
  <si>
    <r>
      <t>异星</t>
    </r>
    <r>
      <rPr>
        <sz val="11"/>
        <color theme="1"/>
        <rFont val="ＭＳ Ｐゴシック"/>
        <family val="3"/>
        <charset val="134"/>
        <scheme val="minor"/>
      </rPr>
      <t>觉</t>
    </r>
    <r>
      <rPr>
        <sz val="11"/>
        <color theme="1"/>
        <rFont val="ＭＳ Ｐゴシック"/>
        <family val="3"/>
        <charset val="128"/>
        <scheme val="minor"/>
      </rPr>
      <t>醒 ALIEN AWAKENING</t>
    </r>
  </si>
  <si>
    <r>
      <t>北京异星</t>
    </r>
    <r>
      <rPr>
        <sz val="11"/>
        <color theme="1"/>
        <rFont val="ＭＳ Ｐゴシック"/>
        <family val="3"/>
        <charset val="134"/>
        <scheme val="minor"/>
      </rPr>
      <t>觉</t>
    </r>
    <r>
      <rPr>
        <sz val="11"/>
        <color theme="1"/>
        <rFont val="ＭＳ Ｐゴシック"/>
        <family val="3"/>
        <charset val="128"/>
        <scheme val="minor"/>
      </rPr>
      <t>醒科技有限公司</t>
    </r>
  </si>
  <si>
    <r>
      <t>薄荷酒; 果酒（含酒精）; 葡萄酒;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</si>
  <si>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t>镹㚘</t>
  </si>
  <si>
    <r>
      <t>航天瀚能（北京）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</si>
  <si>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t>清酒; 梅酒; 开胃酒; 白酒; 黄酒; 米酒; 葡萄酒; 露酒; 高粱酒; 果酒</t>
  </si>
  <si>
    <r>
      <t>六升</t>
    </r>
    <r>
      <rPr>
        <sz val="11"/>
        <color theme="1"/>
        <rFont val="ＭＳ Ｐゴシック"/>
        <family val="3"/>
        <charset val="134"/>
        <scheme val="minor"/>
      </rPr>
      <t>斋</t>
    </r>
  </si>
  <si>
    <t>曾孝余</t>
  </si>
  <si>
    <t>白酒; 汽酒; 甜酒; 葡萄酒; 米酒; 果酒; 食用酒精; 开胃酒; 清酒; 黄酒</t>
  </si>
  <si>
    <r>
      <t>熊大欧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臻品</t>
    </r>
    <r>
      <rPr>
        <sz val="11"/>
        <color theme="1"/>
        <rFont val="ＭＳ Ｐゴシック"/>
        <family val="3"/>
        <charset val="134"/>
        <scheme val="minor"/>
      </rPr>
      <t>馆</t>
    </r>
  </si>
  <si>
    <r>
      <t>吴松</t>
    </r>
    <r>
      <rPr>
        <sz val="11"/>
        <color theme="1"/>
        <rFont val="ＭＳ Ｐゴシック"/>
        <family val="3"/>
        <charset val="134"/>
        <scheme val="minor"/>
      </rPr>
      <t>谦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</si>
  <si>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果酒（含酒精）; 清酒</t>
    </r>
  </si>
  <si>
    <t>黑土壮</t>
  </si>
  <si>
    <r>
      <t>个个达（廊坊）商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</si>
  <si>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果酒; 葡萄酒; 威士忌</t>
    </r>
  </si>
  <si>
    <t>御筋堂</t>
  </si>
  <si>
    <r>
      <t>合肥</t>
    </r>
    <r>
      <rPr>
        <sz val="11"/>
        <color theme="1"/>
        <rFont val="ＭＳ Ｐゴシック"/>
        <family val="3"/>
        <charset val="134"/>
        <scheme val="minor"/>
      </rPr>
      <t>谦</t>
    </r>
    <r>
      <rPr>
        <sz val="11"/>
        <color theme="1"/>
        <rFont val="ＭＳ Ｐゴシック"/>
        <family val="3"/>
        <charset val="128"/>
        <scheme val="minor"/>
      </rPr>
      <t>妙堂生物科技有限公司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</si>
  <si>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蝮蛇酒;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果酒（含酒精）; 蜂蜜酒; 米酒</t>
    </r>
  </si>
  <si>
    <t>蒙仁</t>
  </si>
  <si>
    <r>
      <t>扎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特旗草源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牧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</si>
  <si>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米酒; 蜂蜜酒; 白酒; 果酒;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</t>
    </r>
  </si>
  <si>
    <t>JYANG MAGIC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</si>
  <si>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赖</t>
    </r>
    <r>
      <rPr>
        <sz val="11"/>
        <color theme="1"/>
        <rFont val="ＭＳ Ｐゴシック"/>
        <family val="3"/>
        <charset val="128"/>
        <scheme val="minor"/>
      </rPr>
      <t>世玲正衡酒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</si>
  <si>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蒸煮提取物（利口酒和烈酒）;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</si>
  <si>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禾乃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</si>
  <si>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北京禾乃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</si>
  <si>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葡萄酒; 高粱酒;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</si>
  <si>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吴山月</t>
  </si>
  <si>
    <t>曹美玲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</si>
  <si>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米酒; 青稞酒; 白酒; 露酒;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</si>
  <si>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轻</t>
    </r>
    <r>
      <rPr>
        <sz val="11"/>
        <color theme="1"/>
        <rFont val="ＭＳ Ｐゴシック"/>
        <family val="3"/>
        <charset val="128"/>
        <scheme val="minor"/>
      </rPr>
      <t>氿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</si>
  <si>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盒子供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</si>
  <si>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威士忌;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白酒</t>
    </r>
  </si>
  <si>
    <t>九井沅</t>
  </si>
  <si>
    <t>王文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</si>
  <si>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葡萄酒; 高粱酒; 白酒; 黄酒; 米酒</t>
    </r>
  </si>
  <si>
    <t>源起金秀</t>
  </si>
  <si>
    <r>
      <t>金秀瑶族自治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大健康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展中心</t>
    </r>
  </si>
  <si>
    <r>
      <t>清酒（日本米酒）; 果酒（含酒精）; 开胃酒; 利口酒; 食用酒精;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</si>
  <si>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尚品安粮御液</t>
  </si>
  <si>
    <r>
      <t>安徽品尚源百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</si>
  <si>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清酒; 果酒（含酒精）;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黄酒;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</si>
  <si>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轻</t>
    </r>
    <r>
      <rPr>
        <sz val="11"/>
        <color theme="1"/>
        <rFont val="ＭＳ Ｐゴシック"/>
        <family val="3"/>
        <charset val="128"/>
        <scheme val="minor"/>
      </rPr>
      <t>半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</si>
  <si>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开胃酒;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清酒（日本米酒）; 黄酒</t>
    </r>
  </si>
  <si>
    <t>金幸福名酒</t>
  </si>
  <si>
    <r>
      <t>中国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双喜集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</si>
  <si>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清酒; 烈酒</t>
    </r>
  </si>
  <si>
    <r>
      <t>江西</t>
    </r>
    <r>
      <rPr>
        <sz val="11"/>
        <color theme="1"/>
        <rFont val="ＭＳ Ｐゴシック"/>
        <family val="3"/>
        <charset val="134"/>
        <scheme val="minor"/>
      </rPr>
      <t>肽</t>
    </r>
    <r>
      <rPr>
        <sz val="11"/>
        <color theme="1"/>
        <rFont val="ＭＳ Ｐゴシック"/>
        <family val="3"/>
        <charset val="128"/>
        <scheme val="minor"/>
      </rPr>
      <t>禾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</si>
  <si>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葡萄酒; 茴芹酒（利口酒）; 餐后酒（利口酒和烈酒）;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黄酒; 果酒（含酒精）</t>
    </r>
  </si>
  <si>
    <r>
      <t>名望之</t>
    </r>
    <r>
      <rPr>
        <sz val="11"/>
        <color theme="1"/>
        <rFont val="ＭＳ Ｐゴシック"/>
        <family val="3"/>
        <charset val="134"/>
        <scheme val="minor"/>
      </rPr>
      <t>狮</t>
    </r>
  </si>
  <si>
    <r>
      <t xml:space="preserve">甜酒;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威士忌; 白酒; 葡萄酒;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</si>
  <si>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赣</t>
    </r>
    <r>
      <rPr>
        <sz val="11"/>
        <color theme="1"/>
        <rFont val="ＭＳ Ｐゴシック"/>
        <family val="3"/>
        <charset val="128"/>
        <scheme val="minor"/>
      </rPr>
      <t>匠</t>
    </r>
    <r>
      <rPr>
        <sz val="11"/>
        <color theme="1"/>
        <rFont val="ＭＳ Ｐゴシック"/>
        <family val="3"/>
        <charset val="134"/>
        <scheme val="minor"/>
      </rPr>
      <t>闻话</t>
    </r>
  </si>
  <si>
    <r>
      <t>叶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琴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</si>
  <si>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米酒;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</t>
    </r>
  </si>
  <si>
    <t>KAZOO 可逐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</si>
  <si>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可逐生物科技有限公司</t>
    </r>
  </si>
  <si>
    <r>
      <t>伏特加酒;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苦味酒; 葡萄酒; 薄荷酒; 威士忌</t>
    </r>
  </si>
  <si>
    <t>彩江山</t>
  </si>
  <si>
    <r>
      <t>赵</t>
    </r>
    <r>
      <rPr>
        <sz val="11"/>
        <color theme="1"/>
        <rFont val="ＭＳ Ｐゴシック"/>
        <family val="3"/>
        <charset val="128"/>
        <scheme val="minor"/>
      </rPr>
      <t>珂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</si>
  <si>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 xml:space="preserve">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高粱酒; 黄酒; 烈酒;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果酒</t>
    </r>
  </si>
  <si>
    <t>山水新安</t>
  </si>
  <si>
    <r>
      <t>洛阳青橄</t>
    </r>
    <r>
      <rPr>
        <sz val="11"/>
        <color theme="1"/>
        <rFont val="ＭＳ Ｐゴシック"/>
        <family val="3"/>
        <charset val="134"/>
        <scheme val="minor"/>
      </rPr>
      <t>榄农业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</si>
  <si>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</si>
  <si>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藏君</t>
    </r>
    <r>
      <rPr>
        <sz val="11"/>
        <color theme="1"/>
        <rFont val="ＭＳ Ｐゴシック"/>
        <family val="3"/>
        <charset val="134"/>
        <scheme val="minor"/>
      </rPr>
      <t>鉴</t>
    </r>
  </si>
  <si>
    <r>
      <t>清酒（日本米酒）; 威士忌;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烈酒; 白酒; 果酒（含酒精）; 米酒</t>
    </r>
  </si>
  <si>
    <t>北小北</t>
  </si>
  <si>
    <r>
      <t>徐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</si>
  <si>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甜酒; 威士忌; 食用酒精;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伏特加酒; 高粱酒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</si>
  <si>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佬潮汕酒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</si>
  <si>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黄酒; 葡萄酒; 烈酒;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</si>
  <si>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原</t>
    </r>
    <r>
      <rPr>
        <sz val="11"/>
        <color theme="1"/>
        <rFont val="ＭＳ Ｐゴシック"/>
        <family val="3"/>
        <charset val="134"/>
        <scheme val="minor"/>
      </rPr>
      <t>奋</t>
    </r>
    <r>
      <rPr>
        <sz val="11"/>
        <color theme="1"/>
        <rFont val="ＭＳ Ｐゴシック"/>
        <family val="3"/>
        <charset val="128"/>
        <scheme val="minor"/>
      </rPr>
      <t>斗人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</si>
  <si>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平湖鑫湖生</t>
    </r>
    <r>
      <rPr>
        <sz val="11"/>
        <color theme="1"/>
        <rFont val="ＭＳ Ｐゴシック"/>
        <family val="3"/>
        <charset val="134"/>
        <scheme val="minor"/>
      </rPr>
      <t>态农业发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</si>
  <si>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食用酒精; 米酒; 葡萄酒</t>
    </r>
  </si>
  <si>
    <r>
      <t>南国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夫酒致敬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</si>
  <si>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玉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</si>
  <si>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果酒（含酒精）;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米酒; 薄荷酒;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</si>
  <si>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盈养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仕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</si>
  <si>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会阳</t>
    </r>
  </si>
  <si>
    <t>果酒; 白酒; 汽酒; 清酒; 食用酒精; 米酒; 黄酒; 开胃酒; 葡萄酒; 甜酒</t>
  </si>
  <si>
    <t>梦享定制</t>
  </si>
  <si>
    <r>
      <t>唐</t>
    </r>
    <r>
      <rPr>
        <sz val="11"/>
        <color theme="1"/>
        <rFont val="ＭＳ Ｐゴシック"/>
        <family val="3"/>
        <charset val="134"/>
        <scheme val="minor"/>
      </rPr>
      <t>跃</t>
    </r>
    <r>
      <rPr>
        <sz val="11"/>
        <color theme="1"/>
        <rFont val="ＭＳ Ｐゴシック"/>
        <family val="3"/>
        <charset val="128"/>
        <scheme val="minor"/>
      </rPr>
      <t>武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</si>
  <si>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高粱酒; 烈酒; 白酒; 黄酒;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梅酒; 果酒; 米酒</t>
    </r>
  </si>
  <si>
    <t>心将行</t>
  </si>
  <si>
    <r>
      <t>伊力特(北京)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</si>
  <si>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食用酒精;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白干酒（中国白酒）</t>
    </r>
  </si>
  <si>
    <t>志祥同学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</si>
  <si>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园区翔程众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</si>
  <si>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清酒（日本米酒）;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</si>
  <si>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FAME LION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</si>
  <si>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果酒（含酒精）; 清酒; 米酒; 葡萄酒; 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</si>
  <si>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冰</t>
    </r>
    <r>
      <rPr>
        <sz val="11"/>
        <color theme="1"/>
        <rFont val="ＭＳ Ｐゴシック"/>
        <family val="3"/>
        <charset val="134"/>
        <scheme val="minor"/>
      </rPr>
      <t>岄</t>
    </r>
  </si>
  <si>
    <r>
      <t>上海夏日山科技有限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</si>
  <si>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米酒; 酸酒（低等葡萄酒）;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</si>
  <si>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尚品安粮玉液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</si>
  <si>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清酒; 果酒（含酒精）; 米酒</t>
    </r>
  </si>
  <si>
    <t>檀威</t>
  </si>
  <si>
    <r>
      <t>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</t>
    </r>
  </si>
  <si>
    <t>鼎竹</t>
  </si>
  <si>
    <t>王金方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</si>
  <si>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高粱酒;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露酒; 青稞酒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</si>
  <si>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夏光</t>
    </r>
    <r>
      <rPr>
        <sz val="11"/>
        <color theme="1"/>
        <rFont val="ＭＳ Ｐゴシック"/>
        <family val="3"/>
        <charset val="134"/>
        <scheme val="minor"/>
      </rPr>
      <t>铭</t>
    </r>
  </si>
  <si>
    <r>
      <t>濮阳市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元堂文化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</si>
  <si>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果酒（含酒精）; 白酒; 蒸煮提取物（利口酒和烈酒）; 黄酒;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</si>
  <si>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丹作</t>
  </si>
  <si>
    <r>
      <t>陈</t>
    </r>
    <r>
      <rPr>
        <sz val="11"/>
        <color theme="1"/>
        <rFont val="ＭＳ Ｐゴシック"/>
        <family val="3"/>
        <charset val="128"/>
        <scheme val="minor"/>
      </rPr>
      <t>俏丹</t>
    </r>
  </si>
  <si>
    <r>
      <t>黄酒; 烈酒;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蒸煮提取物（利口酒和烈酒）</t>
    </r>
  </si>
  <si>
    <t>雪也</t>
  </si>
  <si>
    <r>
      <t>再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管理（上海）有限公司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</si>
  <si>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日本松</t>
    </r>
    <r>
      <rPr>
        <sz val="11"/>
        <color theme="1"/>
        <rFont val="ＭＳ Ｐゴシック"/>
        <family val="3"/>
        <charset val="134"/>
        <scheme val="minor"/>
      </rPr>
      <t>针</t>
    </r>
    <r>
      <rPr>
        <sz val="11"/>
        <color theme="1"/>
        <rFont val="ＭＳ Ｐゴシック"/>
        <family val="3"/>
        <charset val="128"/>
        <scheme val="minor"/>
      </rPr>
      <t>酒; 黄酒; 青稞酒;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白酒; 清酒</t>
    </r>
  </si>
  <si>
    <r>
      <t>正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星河</t>
    </r>
  </si>
  <si>
    <t>蒋春燕</t>
  </si>
  <si>
    <r>
      <t xml:space="preserve">米酒; 威士忌; 烈酒; 青稞酒; 黄酒;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</si>
  <si>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青蛙王子</t>
  </si>
  <si>
    <t>福建省青蛙王子品牌管理有限公司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</si>
  <si>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青稞酒; 朗姆酒; 食用酒精</t>
    </r>
  </si>
  <si>
    <t>RAY SHOLSE</t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</si>
  <si>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食用酒精;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</si>
  <si>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原</t>
    </r>
    <r>
      <rPr>
        <sz val="11"/>
        <color theme="1"/>
        <rFont val="ＭＳ Ｐゴシック"/>
        <family val="3"/>
        <charset val="134"/>
        <scheme val="minor"/>
      </rPr>
      <t>奋</t>
    </r>
    <r>
      <rPr>
        <sz val="11"/>
        <color theme="1"/>
        <rFont val="ＭＳ Ｐゴシック"/>
        <family val="3"/>
        <charset val="128"/>
        <scheme val="minor"/>
      </rPr>
      <t>斗者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</si>
  <si>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米酒;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白干酒（中国白酒）; 黄酒; 食用酒精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</si>
  <si>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令仁</t>
    </r>
  </si>
  <si>
    <r>
      <t xml:space="preserve">清酒; 米酒; 苦味酒; 葡萄酒; 汽酒; 果酒;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</t>
    </r>
  </si>
  <si>
    <t>三粱三</t>
  </si>
  <si>
    <r>
      <t>张</t>
    </r>
    <r>
      <rPr>
        <sz val="11"/>
        <color theme="1"/>
        <rFont val="ＭＳ Ｐゴシック"/>
        <family val="3"/>
        <charset val="128"/>
        <scheme val="minor"/>
      </rPr>
      <t>祺俊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</si>
  <si>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葡萄酒; 蜂蜜酒; 白酒; 食用酒精; 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</si>
  <si>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尚品安粮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</si>
  <si>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白干酒（中国白酒）;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清酒; 黄酒</t>
    </r>
  </si>
  <si>
    <t>腾鲲</t>
  </si>
  <si>
    <r>
      <t>福建</t>
    </r>
    <r>
      <rPr>
        <sz val="11"/>
        <color theme="1"/>
        <rFont val="ＭＳ Ｐゴシック"/>
        <family val="3"/>
        <charset val="134"/>
        <scheme val="minor"/>
      </rPr>
      <t>腾鲲</t>
    </r>
    <r>
      <rPr>
        <sz val="11"/>
        <color theme="1"/>
        <rFont val="ＭＳ Ｐゴシック"/>
        <family val="3"/>
        <charset val="128"/>
        <scheme val="minor"/>
      </rPr>
      <t>建筑</t>
    </r>
    <r>
      <rPr>
        <sz val="11"/>
        <color theme="1"/>
        <rFont val="ＭＳ Ｐゴシック"/>
        <family val="3"/>
        <charset val="134"/>
        <scheme val="minor"/>
      </rPr>
      <t>劳务</t>
    </r>
    <r>
      <rPr>
        <sz val="11"/>
        <color theme="1"/>
        <rFont val="ＭＳ Ｐゴシック"/>
        <family val="3"/>
        <charset val="128"/>
        <scheme val="minor"/>
      </rPr>
      <t>工程有限公司</t>
    </r>
  </si>
  <si>
    <r>
      <t xml:space="preserve">果酒（含酒精）; 白酒;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 xml:space="preserve">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</t>
    </r>
  </si>
  <si>
    <t>中天航</t>
  </si>
  <si>
    <r>
      <t>中天航（广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）物</t>
    </r>
    <r>
      <rPr>
        <sz val="11"/>
        <color theme="1"/>
        <rFont val="ＭＳ Ｐゴシック"/>
        <family val="3"/>
        <charset val="134"/>
        <scheme val="minor"/>
      </rPr>
      <t>资贸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</si>
  <si>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</t>
    </r>
  </si>
  <si>
    <r>
      <t>猛卓</t>
    </r>
    <r>
      <rPr>
        <sz val="11"/>
        <color theme="1"/>
        <rFont val="ＭＳ Ｐゴシック"/>
        <family val="3"/>
        <charset val="134"/>
        <scheme val="minor"/>
      </rPr>
      <t>诚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</si>
  <si>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加猛</t>
    </r>
  </si>
  <si>
    <r>
      <t>葡萄酒;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</si>
  <si>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悟</t>
    </r>
    <r>
      <rPr>
        <sz val="11"/>
        <color theme="1"/>
        <rFont val="ＭＳ Ｐゴシック"/>
        <family val="3"/>
        <charset val="134"/>
        <scheme val="minor"/>
      </rPr>
      <t>龙场</t>
    </r>
  </si>
  <si>
    <r>
      <t>上海香夫人企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</si>
  <si>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果酒（含酒精）; 黄酒;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清酒;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</si>
  <si>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老氿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</si>
  <si>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邓</t>
    </r>
    <r>
      <rPr>
        <sz val="11"/>
        <color theme="1"/>
        <rFont val="ＭＳ Ｐゴシック"/>
        <family val="3"/>
        <charset val="128"/>
        <scheme val="minor"/>
      </rPr>
      <t>盾</t>
    </r>
  </si>
  <si>
    <r>
      <t>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</si>
  <si>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渊陶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</si>
  <si>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河南渊陶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</si>
  <si>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</si>
  <si>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r>
      <t>路易托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利 LOUIS TONALI</t>
    </r>
  </si>
  <si>
    <t>李江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</si>
  <si>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威士忌;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</si>
  <si>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醉沾气</t>
  </si>
  <si>
    <r>
      <t>石家庄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例酒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</si>
  <si>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青稞酒; 白酒; 米酒;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葡萄酒; 威士忌</t>
    </r>
  </si>
  <si>
    <t>容簪</t>
  </si>
  <si>
    <t>四川省御簪生物科技有限公司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</si>
  <si>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</si>
  <si>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舵</t>
    </r>
  </si>
  <si>
    <t>刘同信</t>
  </si>
  <si>
    <r>
      <t>烈酒; 露酒;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</si>
  <si>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r>
      <t>仓库</t>
    </r>
    <r>
      <rPr>
        <sz val="11"/>
        <color theme="1"/>
        <rFont val="ＭＳ Ｐゴシック"/>
        <family val="3"/>
        <charset val="128"/>
        <scheme val="minor"/>
      </rPr>
      <t>星球</t>
    </r>
  </si>
  <si>
    <r>
      <t>中科云</t>
    </r>
    <r>
      <rPr>
        <sz val="11"/>
        <color theme="1"/>
        <rFont val="ＭＳ Ｐゴシック"/>
        <family val="3"/>
        <charset val="134"/>
        <scheme val="minor"/>
      </rPr>
      <t>仓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</si>
  <si>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</si>
  <si>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城玖号</t>
    </r>
  </si>
  <si>
    <r>
      <t>安徽焦陂酒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</si>
  <si>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葡萄酒; 米酒; 果酒</t>
    </r>
  </si>
  <si>
    <t>金御簪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</si>
  <si>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</si>
  <si>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福州市</t>
    </r>
    <r>
      <rPr>
        <sz val="11"/>
        <color theme="1"/>
        <rFont val="ＭＳ Ｐゴシック"/>
        <family val="3"/>
        <charset val="134"/>
        <scheme val="minor"/>
      </rPr>
      <t>节节</t>
    </r>
    <r>
      <rPr>
        <sz val="11"/>
        <color theme="1"/>
        <rFont val="ＭＳ Ｐゴシック"/>
        <family val="3"/>
        <charset val="128"/>
        <scheme val="minor"/>
      </rPr>
      <t>家食品有限公司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</si>
  <si>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白干酒（中国白酒）;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甜酒; 葡萄酒; 黄酒; 白酒</t>
    </r>
  </si>
  <si>
    <t>手写信家族</t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</si>
  <si>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万</t>
    </r>
    <r>
      <rPr>
        <sz val="11"/>
        <color theme="1"/>
        <rFont val="ＭＳ Ｐゴシック"/>
        <family val="3"/>
        <charset val="134"/>
        <scheme val="minor"/>
      </rPr>
      <t>颂</t>
    </r>
    <r>
      <rPr>
        <sz val="11"/>
        <color theme="1"/>
        <rFont val="ＭＳ Ｐゴシック"/>
        <family val="3"/>
        <charset val="128"/>
        <scheme val="minor"/>
      </rPr>
      <t>佳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</si>
  <si>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伏特加酒; 朗姆酒;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葡萄酒</t>
    </r>
  </si>
  <si>
    <t>鹿元吉鹿端酒</t>
  </si>
  <si>
    <r>
      <t>刘一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</si>
  <si>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</si>
  <si>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鹿元吉白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</si>
  <si>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</si>
  <si>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JINLIUFUJIU</t>
  </si>
  <si>
    <r>
      <t>云南金六福投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</si>
  <si>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果酒（含酒精）; 青稞酒; 白酒</t>
    </r>
  </si>
  <si>
    <t>百富家族</t>
  </si>
  <si>
    <r>
      <t>欧法（厦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</si>
  <si>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青梅酒;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</si>
  <si>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皇家有基</t>
  </si>
  <si>
    <r>
      <t>张</t>
    </r>
    <r>
      <rPr>
        <sz val="11"/>
        <color theme="1"/>
        <rFont val="ＭＳ Ｐゴシック"/>
        <family val="3"/>
        <charset val="128"/>
        <scheme val="minor"/>
      </rPr>
      <t>瑞</t>
    </r>
    <r>
      <rPr>
        <sz val="11"/>
        <color theme="1"/>
        <rFont val="ＭＳ Ｐゴシック"/>
        <family val="3"/>
        <charset val="134"/>
        <scheme val="minor"/>
      </rPr>
      <t>闵</t>
    </r>
  </si>
  <si>
    <t>开胃酒; 清酒; 黄酒; 果酒; 食用酒精; 甜酒; 白酒; 米酒; 葡萄酒; 汽酒</t>
  </si>
  <si>
    <r>
      <t>巡味</t>
    </r>
    <r>
      <rPr>
        <sz val="11"/>
        <color theme="1"/>
        <rFont val="ＭＳ Ｐゴシック"/>
        <family val="3"/>
        <charset val="134"/>
        <scheme val="minor"/>
      </rPr>
      <t>丝</t>
    </r>
    <r>
      <rPr>
        <sz val="11"/>
        <color theme="1"/>
        <rFont val="ＭＳ Ｐゴシック"/>
        <family val="3"/>
        <charset val="128"/>
        <scheme val="minor"/>
      </rPr>
      <t>路</t>
    </r>
  </si>
  <si>
    <r>
      <t>河南城控商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</si>
  <si>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汽酒; 果酒;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</si>
  <si>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荷町</t>
  </si>
  <si>
    <t>李才波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</si>
  <si>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米酒; 果酒（含酒精）;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</si>
  <si>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蚂蚁</t>
    </r>
    <r>
      <rPr>
        <sz val="11"/>
        <color theme="1"/>
        <rFont val="ＭＳ Ｐゴシック"/>
        <family val="3"/>
        <charset val="128"/>
        <scheme val="minor"/>
      </rPr>
      <t>悦</t>
    </r>
    <r>
      <rPr>
        <sz val="11"/>
        <color theme="1"/>
        <rFont val="ＭＳ Ｐゴシック"/>
        <family val="3"/>
        <charset val="134"/>
        <scheme val="minor"/>
      </rPr>
      <t>购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</si>
  <si>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白酒;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</si>
  <si>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绅</t>
    </r>
    <r>
      <rPr>
        <sz val="11"/>
        <color theme="1"/>
        <rFont val="ＭＳ Ｐゴシック"/>
        <family val="3"/>
        <charset val="128"/>
        <scheme val="minor"/>
      </rPr>
      <t>士袋鼠</t>
    </r>
  </si>
  <si>
    <r>
      <t>宋云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</si>
  <si>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伏特加酒; 白酒; 黄酒;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</si>
  <si>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奥藤</t>
  </si>
  <si>
    <r>
      <t>杨</t>
    </r>
    <r>
      <rPr>
        <sz val="11"/>
        <color theme="1"/>
        <rFont val="ＭＳ Ｐゴシック"/>
        <family val="3"/>
        <charset val="128"/>
        <scheme val="minor"/>
      </rPr>
      <t>亮亮</t>
    </r>
  </si>
  <si>
    <r>
      <t>米酒; 葡萄酒;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黄酒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</si>
  <si>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>好友</t>
    </r>
  </si>
  <si>
    <r>
      <t>江西郡林旭峰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</si>
  <si>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米酒; 黄酒;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</si>
  <si>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t>黄河著</t>
  </si>
  <si>
    <r>
      <t xml:space="preserve">果酒（含酒精）; 黄酒; 高粱酒;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餐后酒（利口酒和烈酒）; 烈酒; 葡萄酒; 露酒</t>
    </r>
  </si>
  <si>
    <r>
      <t>四川邛</t>
    </r>
    <r>
      <rPr>
        <sz val="11"/>
        <color theme="1"/>
        <rFont val="ＭＳ Ｐゴシック"/>
        <family val="3"/>
        <charset val="134"/>
        <scheme val="minor"/>
      </rPr>
      <t>崃</t>
    </r>
    <r>
      <rPr>
        <sz val="11"/>
        <color theme="1"/>
        <rFont val="ＭＳ Ｐゴシック"/>
        <family val="3"/>
        <charset val="128"/>
        <scheme val="minor"/>
      </rPr>
      <t>金六福崖谷生</t>
    </r>
    <r>
      <rPr>
        <sz val="11"/>
        <color theme="1"/>
        <rFont val="ＭＳ Ｐゴシック"/>
        <family val="3"/>
        <charset val="134"/>
        <scheme val="minor"/>
      </rPr>
      <t>态酿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</si>
  <si>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威士忌;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葡萄酒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</si>
  <si>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青稞酒;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白酒; 米酒</t>
    </r>
  </si>
  <si>
    <r>
      <t>屿</t>
    </r>
    <r>
      <rPr>
        <sz val="11"/>
        <color theme="1"/>
        <rFont val="ＭＳ Ｐゴシック"/>
        <family val="3"/>
        <charset val="128"/>
        <scheme val="minor"/>
      </rPr>
      <t>茗酊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</si>
  <si>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联华汇</t>
    </r>
    <r>
      <rPr>
        <sz val="11"/>
        <color theme="1"/>
        <rFont val="ＭＳ Ｐゴシック"/>
        <family val="3"/>
        <charset val="128"/>
        <scheme val="minor"/>
      </rPr>
      <t>鑫供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</si>
  <si>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薄荷酒;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果酒（含酒精）; 米酒; 葡萄酒; 白酒; 朗姆酒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</si>
  <si>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澈</t>
    </r>
  </si>
  <si>
    <r>
      <t>汽酒;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清酒（日本米酒）;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</si>
  <si>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r>
      <t>莲</t>
    </r>
    <r>
      <rPr>
        <sz val="11"/>
        <color theme="1"/>
        <rFont val="ＭＳ Ｐゴシック"/>
        <family val="3"/>
        <charset val="128"/>
        <scheme val="minor"/>
      </rPr>
      <t>畔</t>
    </r>
  </si>
  <si>
    <r>
      <t>清酒（日本米酒）;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米酒; 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</si>
  <si>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祥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酒坊</t>
    </r>
  </si>
  <si>
    <t>程杰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</si>
  <si>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食用酒精</t>
    </r>
  </si>
  <si>
    <t>鹿元吉鹿蜀酒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</si>
  <si>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</si>
  <si>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鹿元吉夫</t>
    </r>
    <r>
      <rPr>
        <sz val="11"/>
        <color theme="1"/>
        <rFont val="ＭＳ Ｐゴシック"/>
        <family val="3"/>
        <charset val="134"/>
        <scheme val="minor"/>
      </rPr>
      <t>诸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</si>
  <si>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</si>
  <si>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赛亚</t>
    </r>
    <r>
      <rPr>
        <sz val="11"/>
        <color theme="1"/>
        <rFont val="ＭＳ Ｐゴシック"/>
        <family val="3"/>
        <charset val="128"/>
        <scheme val="minor"/>
      </rPr>
      <t>恒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</si>
  <si>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汉赛亚</t>
    </r>
    <r>
      <rPr>
        <sz val="11"/>
        <color theme="1"/>
        <rFont val="ＭＳ Ｐゴシック"/>
        <family val="3"/>
        <charset val="128"/>
        <scheme val="minor"/>
      </rPr>
      <t>恒智能装</t>
    </r>
    <r>
      <rPr>
        <sz val="11"/>
        <color theme="1"/>
        <rFont val="ＭＳ Ｐゴシック"/>
        <family val="3"/>
        <charset val="134"/>
        <scheme val="minor"/>
      </rPr>
      <t>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</si>
  <si>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</t>
    </r>
  </si>
  <si>
    <r>
      <t>丈人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</si>
  <si>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金河酒</t>
    </r>
    <r>
      <rPr>
        <sz val="11"/>
        <color theme="1"/>
        <rFont val="ＭＳ Ｐゴシック"/>
        <family val="3"/>
        <charset val="134"/>
        <scheme val="minor"/>
      </rPr>
      <t>类</t>
    </r>
    <r>
      <rPr>
        <sz val="11"/>
        <color theme="1"/>
        <rFont val="ＭＳ Ｐゴシック"/>
        <family val="3"/>
        <charset val="128"/>
        <scheme val="minor"/>
      </rPr>
      <t>包装有限公司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</si>
  <si>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黄酒; 米酒; 白酒</t>
    </r>
  </si>
  <si>
    <t>欢纷</t>
  </si>
  <si>
    <t>李中海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</si>
  <si>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</si>
  <si>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甡熙</t>
  </si>
  <si>
    <r>
      <t>沧</t>
    </r>
    <r>
      <rPr>
        <sz val="11"/>
        <color theme="1"/>
        <rFont val="ＭＳ Ｐゴシック"/>
        <family val="3"/>
        <charset val="128"/>
        <scheme val="minor"/>
      </rPr>
      <t>州希胤商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</si>
  <si>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甜酒; 果酒（含酒精）;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</si>
  <si>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超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呵</t>
    </r>
  </si>
  <si>
    <t>黄萍</t>
  </si>
  <si>
    <t>葡萄酒; 黄酒; 威士忌; 白酒; 汽酒; 米酒; 果酒; 甜酒; 清酒; 草本型利口酒</t>
  </si>
  <si>
    <t>莫裕</t>
  </si>
  <si>
    <r>
      <t>袁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勇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</si>
  <si>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利口酒;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</si>
  <si>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r>
      <t>秦韵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香酒海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</si>
  <si>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香酒海酒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</si>
  <si>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开胃酒; 汽酒; 黄酒; 米酒;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</t>
    </r>
  </si>
  <si>
    <r>
      <t>索</t>
    </r>
    <r>
      <rPr>
        <sz val="11"/>
        <color theme="1"/>
        <rFont val="ＭＳ Ｐゴシック"/>
        <family val="3"/>
        <charset val="134"/>
        <scheme val="minor"/>
      </rPr>
      <t>泸</t>
    </r>
    <r>
      <rPr>
        <sz val="11"/>
        <color theme="1"/>
        <rFont val="ＭＳ Ｐゴシック"/>
        <family val="3"/>
        <charset val="128"/>
        <scheme val="minor"/>
      </rPr>
      <t>河</t>
    </r>
  </si>
  <si>
    <t>刘彦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</si>
  <si>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伏特加酒</t>
    </r>
  </si>
  <si>
    <t>路易格梵尼 LOUIS GIVERNY</t>
  </si>
  <si>
    <r>
      <t>米酒; 伏特加酒;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</si>
  <si>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>小有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</si>
  <si>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蜂蜜酒; 黄酒;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</si>
  <si>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籣秋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</si>
  <si>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县长</t>
    </r>
    <r>
      <rPr>
        <sz val="11"/>
        <color theme="1"/>
        <rFont val="ＭＳ Ｐゴシック"/>
        <family val="3"/>
        <charset val="128"/>
        <scheme val="minor"/>
      </rPr>
      <t>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</si>
  <si>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白酒; 露酒; 米酒;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</si>
  <si>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>老友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</si>
  <si>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蜂蜜酒; 米酒; 白酒; 葡萄酒</t>
    </r>
  </si>
  <si>
    <t>焦陂特</t>
  </si>
  <si>
    <r>
      <t xml:space="preserve">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</si>
  <si>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麓御</t>
    </r>
    <r>
      <rPr>
        <sz val="11"/>
        <color theme="1"/>
        <rFont val="ＭＳ Ｐゴシック"/>
        <family val="3"/>
        <charset val="134"/>
        <scheme val="minor"/>
      </rPr>
      <t>临</t>
    </r>
    <r>
      <rPr>
        <sz val="11"/>
        <color theme="1"/>
        <rFont val="ＭＳ Ｐゴシック"/>
        <family val="3"/>
        <charset val="128"/>
        <scheme val="minor"/>
      </rPr>
      <t>醉</t>
    </r>
  </si>
  <si>
    <t>刘丹利</t>
  </si>
  <si>
    <r>
      <t xml:space="preserve">清酒（日本米酒）; 黄酒; 利口酒;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</si>
  <si>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苞</t>
    </r>
    <r>
      <rPr>
        <sz val="11"/>
        <color theme="1"/>
        <rFont val="ＭＳ Ｐゴシック"/>
        <family val="3"/>
        <charset val="134"/>
        <scheme val="minor"/>
      </rPr>
      <t>飨</t>
    </r>
  </si>
  <si>
    <t>田留学</t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</si>
  <si>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酒）; 高粱酒; 餐后酒（利口酒和烈酒）; 苹果酒; 葡萄酒; 果酒（含酒精）; 白酒; 白干酒（中国白酒）</t>
    </r>
  </si>
  <si>
    <t>英品</t>
  </si>
  <si>
    <r>
      <t xml:space="preserve">高粱酒; 果酒（含酒精）;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朗姆酒; 伏特加酒; 葡萄酒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</si>
  <si>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>大友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</si>
  <si>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葡萄酒; 蜂蜜酒; 黄酒</t>
    </r>
  </si>
  <si>
    <r>
      <t xml:space="preserve">高粱酒; 甜酒; 葡萄酒; 米酒; 果酒;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</t>
    </r>
  </si>
  <si>
    <r>
      <t>鹿元吉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廉酒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</si>
  <si>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</si>
  <si>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半</t>
    </r>
    <r>
      <rPr>
        <sz val="11"/>
        <color theme="1"/>
        <rFont val="ＭＳ Ｐゴシック"/>
        <family val="3"/>
        <charset val="134"/>
        <scheme val="minor"/>
      </rPr>
      <t>边桥</t>
    </r>
    <r>
      <rPr>
        <sz val="11"/>
        <color theme="1"/>
        <rFont val="ＭＳ Ｐゴシック"/>
        <family val="3"/>
        <charset val="128"/>
        <scheme val="minor"/>
      </rPr>
      <t>洪武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</si>
  <si>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波</t>
    </r>
  </si>
  <si>
    <r>
      <t xml:space="preserve">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</si>
  <si>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御</t>
    </r>
    <r>
      <rPr>
        <sz val="11"/>
        <color theme="1"/>
        <rFont val="ＭＳ Ｐゴシック"/>
        <family val="3"/>
        <charset val="134"/>
        <scheme val="minor"/>
      </rPr>
      <t>凤兴</t>
    </r>
  </si>
  <si>
    <r>
      <t>西咸新区</t>
    </r>
    <r>
      <rPr>
        <sz val="11"/>
        <color theme="1"/>
        <rFont val="ＭＳ Ｐゴシック"/>
        <family val="3"/>
        <charset val="134"/>
        <scheme val="minor"/>
      </rPr>
      <t>沣东</t>
    </r>
    <r>
      <rPr>
        <sz val="11"/>
        <color theme="1"/>
        <rFont val="ＭＳ Ｐゴシック"/>
        <family val="3"/>
        <charset val="128"/>
        <scheme val="minor"/>
      </rPr>
      <t>新城璟葡寒百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</si>
  <si>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白干酒（中国白酒）</t>
    </r>
  </si>
  <si>
    <t>言青山</t>
  </si>
  <si>
    <t>郭美芹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</si>
  <si>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果酒（含酒精）; 青稞酒</t>
    </r>
  </si>
  <si>
    <t>木髓</t>
  </si>
  <si>
    <r>
      <t>陈</t>
    </r>
    <r>
      <rPr>
        <sz val="11"/>
        <color theme="1"/>
        <rFont val="ＭＳ Ｐゴシック"/>
        <family val="3"/>
        <charset val="128"/>
        <scheme val="minor"/>
      </rPr>
      <t>勇</t>
    </r>
  </si>
  <si>
    <r>
      <t>黄酒;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</si>
  <si>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弦</t>
    </r>
  </si>
  <si>
    <r>
      <t>上海嘉尚福食品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</si>
  <si>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米酒; 黄酒; 白干酒（中国白酒）;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葡萄酒; 白酒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</si>
  <si>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秘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</si>
  <si>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春市酒加商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</si>
  <si>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利口酒; 果酒（含酒精）</t>
    </r>
  </si>
  <si>
    <t>黔8家</t>
  </si>
  <si>
    <r>
      <t>曾凡</t>
    </r>
    <r>
      <rPr>
        <sz val="11"/>
        <color theme="1"/>
        <rFont val="ＭＳ Ｐゴシック"/>
        <family val="3"/>
        <charset val="134"/>
        <scheme val="minor"/>
      </rPr>
      <t>权</t>
    </r>
  </si>
  <si>
    <r>
      <t>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白酒; 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</si>
  <si>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匠香世家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</si>
  <si>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州霏睿酒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</si>
  <si>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白干酒（中国白酒）;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</t>
    </r>
  </si>
  <si>
    <r>
      <t>枫</t>
    </r>
    <r>
      <rPr>
        <sz val="11"/>
        <color theme="1"/>
        <rFont val="ＭＳ Ｐゴシック"/>
        <family val="3"/>
        <charset val="128"/>
        <scheme val="minor"/>
      </rPr>
      <t>光亭</t>
    </r>
  </si>
  <si>
    <r>
      <t>冯</t>
    </r>
    <r>
      <rPr>
        <sz val="11"/>
        <color theme="1"/>
        <rFont val="ＭＳ Ｐゴシック"/>
        <family val="3"/>
        <charset val="128"/>
        <scheme val="minor"/>
      </rPr>
      <t>玉清</t>
    </r>
  </si>
  <si>
    <r>
      <t xml:space="preserve">开胃酒;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</si>
  <si>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藏古宁</t>
  </si>
  <si>
    <r>
      <t>西藏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布藏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</si>
  <si>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食用酒精; 米酒; 黄酒;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</si>
  <si>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祥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豫</t>
    </r>
    <r>
      <rPr>
        <sz val="11"/>
        <color theme="1"/>
        <rFont val="ＭＳ Ｐゴシック"/>
        <family val="3"/>
        <charset val="134"/>
        <scheme val="minor"/>
      </rPr>
      <t>涧</t>
    </r>
  </si>
  <si>
    <r>
      <t>河南豫</t>
    </r>
    <r>
      <rPr>
        <sz val="11"/>
        <color theme="1"/>
        <rFont val="ＭＳ Ｐゴシック"/>
        <family val="3"/>
        <charset val="134"/>
        <scheme val="minor"/>
      </rPr>
      <t>涧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</si>
  <si>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</si>
  <si>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英</t>
    </r>
  </si>
  <si>
    <r>
      <t>冯</t>
    </r>
    <r>
      <rPr>
        <sz val="11"/>
        <color theme="1"/>
        <rFont val="ＭＳ Ｐゴシック"/>
        <family val="3"/>
        <charset val="128"/>
        <scheme val="minor"/>
      </rPr>
      <t>俯（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</si>
  <si>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米酒</t>
    </r>
  </si>
  <si>
    <r>
      <t>召杯</t>
    </r>
    <r>
      <rPr>
        <sz val="11"/>
        <color theme="1"/>
        <rFont val="ＭＳ Ｐゴシック"/>
        <family val="3"/>
        <charset val="134"/>
        <scheme val="minor"/>
      </rPr>
      <t>饮</t>
    </r>
  </si>
  <si>
    <r>
      <t>马应</t>
    </r>
    <r>
      <rPr>
        <sz val="11"/>
        <color theme="1"/>
        <rFont val="ＭＳ Ｐゴシック"/>
        <family val="3"/>
        <charset val="128"/>
        <scheme val="minor"/>
      </rPr>
      <t>相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</si>
  <si>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</si>
  <si>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AU HAPPY FICOS</t>
  </si>
  <si>
    <r>
      <t>瑞通（珠海）健康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</si>
  <si>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</si>
  <si>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青海久</t>
    </r>
    <r>
      <rPr>
        <sz val="11"/>
        <color theme="1"/>
        <rFont val="ＭＳ Ｐゴシック"/>
        <family val="3"/>
        <charset val="134"/>
        <scheme val="minor"/>
      </rPr>
      <t>飞腾</t>
    </r>
    <r>
      <rPr>
        <sz val="11"/>
        <color theme="1"/>
        <rFont val="ＭＳ Ｐゴシック"/>
        <family val="3"/>
        <charset val="128"/>
        <scheme val="minor"/>
      </rPr>
      <t>建筑工程有限公司</t>
    </r>
  </si>
  <si>
    <r>
      <t>白干酒（中国白酒）; 高粱酒; 黄酒; 青稞酒;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白酒; 米酒; 葡萄酒; 果酒</t>
    </r>
  </si>
  <si>
    <r>
      <t>瑞</t>
    </r>
    <r>
      <rPr>
        <sz val="11"/>
        <color theme="1"/>
        <rFont val="ＭＳ Ｐゴシック"/>
        <family val="3"/>
        <charset val="134"/>
        <scheme val="minor"/>
      </rPr>
      <t>驰贝贝</t>
    </r>
  </si>
  <si>
    <r>
      <t>沧</t>
    </r>
    <r>
      <rPr>
        <sz val="11"/>
        <color theme="1"/>
        <rFont val="ＭＳ Ｐゴシック"/>
        <family val="3"/>
        <charset val="128"/>
        <scheme val="minor"/>
      </rPr>
      <t>州瑞</t>
    </r>
    <r>
      <rPr>
        <sz val="11"/>
        <color theme="1"/>
        <rFont val="ＭＳ Ｐゴシック"/>
        <family val="3"/>
        <charset val="134"/>
        <scheme val="minor"/>
      </rPr>
      <t>驰贝贝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</si>
  <si>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白酒; 黄酒; 开胃酒;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餐后酒（利口酒和烈酒）; 威士忌</t>
    </r>
  </si>
  <si>
    <t>碧焰仙</t>
  </si>
  <si>
    <r>
      <t>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清酒（日本米酒）</t>
    </r>
  </si>
  <si>
    <t>王噔噔和王事事</t>
  </si>
  <si>
    <r>
      <t>河北尤藤文化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</si>
  <si>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葡萄酒; 杜松子酒;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</si>
  <si>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五佰坊金品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</si>
  <si>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州老会址五佰坊酒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</si>
  <si>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露酒; 葡萄酒; 米酒;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</t>
    </r>
  </si>
  <si>
    <r>
      <t>军</t>
    </r>
    <r>
      <rPr>
        <sz val="11"/>
        <color theme="1"/>
        <rFont val="ＭＳ Ｐゴシック"/>
        <family val="3"/>
        <charset val="128"/>
        <scheme val="minor"/>
      </rPr>
      <t>之盾新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代（北京）科技有限公司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</si>
  <si>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食用酒精;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青稞酒</t>
    </r>
  </si>
  <si>
    <r>
      <t>巅</t>
    </r>
    <r>
      <rPr>
        <sz val="11"/>
        <color theme="1"/>
        <rFont val="ＭＳ Ｐゴシック"/>
        <family val="3"/>
        <charset val="128"/>
        <scheme val="minor"/>
      </rPr>
      <t>峰江湖情</t>
    </r>
  </si>
  <si>
    <r>
      <t>自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泉丰商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</si>
  <si>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</t>
    </r>
  </si>
  <si>
    <r>
      <t>新疆盛世</t>
    </r>
    <r>
      <rPr>
        <sz val="11"/>
        <color theme="1"/>
        <rFont val="ＭＳ Ｐゴシック"/>
        <family val="3"/>
        <charset val="134"/>
        <scheme val="minor"/>
      </rPr>
      <t>龟兹</t>
    </r>
    <r>
      <rPr>
        <sz val="11"/>
        <color theme="1"/>
        <rFont val="ＭＳ Ｐゴシック"/>
        <family val="3"/>
        <charset val="128"/>
        <scheme val="minor"/>
      </rPr>
      <t>葡萄酒有限公司</t>
    </r>
  </si>
  <si>
    <r>
      <t xml:space="preserve">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</si>
  <si>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少侠行</t>
  </si>
  <si>
    <t>刘涵宇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</si>
  <si>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葡萄酒; 威士忌; 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</si>
  <si>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t>向柚</t>
  </si>
  <si>
    <r>
      <t>柚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酒庄有限公司</t>
    </r>
  </si>
  <si>
    <r>
      <t>威士忌; 白酒; 烈酒; 露酒; 伏特加酒;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</si>
  <si>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RYUOH</t>
  </si>
  <si>
    <r>
      <t>珠海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特普斯商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</si>
  <si>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青梅酒;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</si>
  <si>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易天下</t>
    </r>
  </si>
  <si>
    <t>胡芳芳</t>
  </si>
  <si>
    <r>
      <t xml:space="preserve">米酒; 黄酒; 清酒; 烈酒;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果酒; 白酒</t>
    </r>
  </si>
  <si>
    <t>扶虎堂</t>
  </si>
  <si>
    <r>
      <t>刘玉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</si>
  <si>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果酒（含酒精）; 葡萄酒; 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</si>
  <si>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渝千里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</si>
  <si>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千里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文旅有限公司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</si>
  <si>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</si>
  <si>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阿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8"/>
        <scheme val="minor"/>
      </rPr>
      <t>斗</t>
    </r>
  </si>
  <si>
    <r>
      <t>天津前</t>
    </r>
    <r>
      <rPr>
        <sz val="11"/>
        <color theme="1"/>
        <rFont val="ＭＳ Ｐゴシック"/>
        <family val="3"/>
        <charset val="134"/>
        <scheme val="minor"/>
      </rPr>
      <t>进实业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</si>
  <si>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酸酒（低等葡萄酒）; 开胃酒;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朗姆酒</t>
    </r>
  </si>
  <si>
    <r>
      <t>普拉</t>
    </r>
    <r>
      <rPr>
        <sz val="11"/>
        <color theme="1"/>
        <rFont val="ＭＳ Ｐゴシック"/>
        <family val="3"/>
        <charset val="134"/>
        <scheme val="minor"/>
      </rPr>
      <t>图</t>
    </r>
  </si>
  <si>
    <t>何金敏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</si>
  <si>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</si>
  <si>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半</t>
    </r>
    <r>
      <rPr>
        <sz val="11"/>
        <color theme="1"/>
        <rFont val="ＭＳ Ｐゴシック"/>
        <family val="3"/>
        <charset val="134"/>
        <scheme val="minor"/>
      </rPr>
      <t>边桥</t>
    </r>
    <r>
      <rPr>
        <sz val="11"/>
        <color theme="1"/>
        <rFont val="ＭＳ Ｐゴシック"/>
        <family val="3"/>
        <charset val="128"/>
        <scheme val="minor"/>
      </rPr>
      <t>永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</si>
  <si>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开胃酒; 清酒;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</t>
    </r>
  </si>
  <si>
    <t>闹龙门</t>
  </si>
  <si>
    <r>
      <t>高立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</si>
  <si>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米酒; 白酒;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</si>
  <si>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LEFANFAN</t>
  </si>
  <si>
    <t>张飞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</si>
  <si>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薄荷酒;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高粱酒; 米酒; 青稞酒; 清酒</t>
    </r>
  </si>
  <si>
    <t>致心和</t>
  </si>
  <si>
    <r>
      <t>烟台致心和商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</si>
  <si>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朗姆酒;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</si>
  <si>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仙海牡丹花</t>
  </si>
  <si>
    <r>
      <t>四川老灶酒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</si>
  <si>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清酒; 露酒; 汽酒;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果酒; 甜酒; 米酒</t>
    </r>
  </si>
  <si>
    <r>
      <t>缘</t>
    </r>
    <r>
      <rPr>
        <sz val="11"/>
        <color theme="1"/>
        <rFont val="ＭＳ Ｐゴシック"/>
        <family val="3"/>
        <charset val="128"/>
        <scheme val="minor"/>
      </rPr>
      <t>吉祥里</t>
    </r>
  </si>
  <si>
    <t>深圳吉祥里文化管理有限公司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</si>
  <si>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黄酒; 白干酒（中国白酒）; 白酒; 葡萄酒; 伏特加酒; 餐后酒（利口酒和烈酒）; 威士忌; 果酒（含酒精）</t>
    </r>
  </si>
  <si>
    <r>
      <t>经</t>
    </r>
    <r>
      <rPr>
        <sz val="11"/>
        <color theme="1"/>
        <rFont val="ＭＳ Ｐゴシック"/>
        <family val="3"/>
        <charset val="128"/>
        <scheme val="minor"/>
      </rPr>
      <t>典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河窖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</si>
  <si>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味土特</t>
    </r>
    <r>
      <rPr>
        <sz val="11"/>
        <color theme="1"/>
        <rFont val="ＭＳ Ｐゴシック"/>
        <family val="3"/>
        <charset val="134"/>
        <scheme val="minor"/>
      </rPr>
      <t>产电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</si>
  <si>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高粱酒; 葡萄酒</t>
    </r>
  </si>
  <si>
    <t>JZYZL</t>
  </si>
  <si>
    <r>
      <t>九寨沟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九孟商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</si>
  <si>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</si>
  <si>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花裕皖</t>
  </si>
  <si>
    <r>
      <t>安徽皖和成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</si>
  <si>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清酒（日本米酒）; 含酒精的气泡水</t>
    </r>
  </si>
  <si>
    <r>
      <t>岐</t>
    </r>
    <r>
      <rPr>
        <sz val="11"/>
        <color theme="1"/>
        <rFont val="ＭＳ Ｐゴシック"/>
        <family val="3"/>
        <charset val="129"/>
        <scheme val="minor"/>
      </rPr>
      <t>燊</t>
    </r>
  </si>
  <si>
    <r>
      <t>集安市晨溪商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</si>
  <si>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高粱酒;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</si>
  <si>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值</t>
    </r>
    <r>
      <rPr>
        <sz val="11"/>
        <color theme="1"/>
        <rFont val="ＭＳ Ｐゴシック"/>
        <family val="3"/>
        <charset val="128"/>
        <scheme val="minor"/>
      </rPr>
      <t>牌</t>
    </r>
    <r>
      <rPr>
        <sz val="11"/>
        <color theme="1"/>
        <rFont val="ＭＳ Ｐゴシック"/>
        <family val="3"/>
        <charset val="134"/>
        <scheme val="minor"/>
      </rPr>
      <t>陈</t>
    </r>
  </si>
  <si>
    <r>
      <t>平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山昆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</si>
  <si>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葡萄酒; 利口酒;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</si>
  <si>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匠香世家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世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</si>
  <si>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白干酒（中国白酒）; 葡萄酒</t>
    </r>
  </si>
  <si>
    <t>双奢</t>
  </si>
  <si>
    <t>何正萍</t>
  </si>
  <si>
    <r>
      <t xml:space="preserve">黄酒; 葡萄酒; 威士忌;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苹果酒; 果酒（含酒精）</t>
    </r>
  </si>
  <si>
    <r>
      <t>福州金玉翰林世家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</si>
  <si>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</si>
  <si>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豫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莽</t>
    </r>
    <r>
      <rPr>
        <sz val="11"/>
        <color theme="1"/>
        <rFont val="ＭＳ Ｐゴシック"/>
        <family val="3"/>
        <charset val="134"/>
        <scheme val="minor"/>
      </rPr>
      <t>张</t>
    </r>
  </si>
  <si>
    <r>
      <t>黄永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</si>
  <si>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>青稞酒;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</si>
  <si>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海丰塔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</si>
  <si>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粮溢酒香酒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</si>
  <si>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食用酒精;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果酒（含酒精）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</si>
  <si>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天下</t>
    </r>
  </si>
  <si>
    <r>
      <t>许</t>
    </r>
    <r>
      <rPr>
        <sz val="11"/>
        <color theme="1"/>
        <rFont val="ＭＳ Ｐゴシック"/>
        <family val="3"/>
        <charset val="128"/>
        <scheme val="minor"/>
      </rPr>
      <t>灵章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</si>
  <si>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高粱酒; 白酒; 黄酒; 青稞酒; 米酒;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</si>
  <si>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雄荐</t>
  </si>
  <si>
    <r>
      <t>陈</t>
    </r>
    <r>
      <rPr>
        <sz val="11"/>
        <color theme="1"/>
        <rFont val="ＭＳ Ｐゴシック"/>
        <family val="3"/>
        <charset val="128"/>
        <scheme val="minor"/>
      </rPr>
      <t>佳吉</t>
    </r>
  </si>
  <si>
    <r>
      <t>黄酒; 清酒（日本米酒）; 开胃酒;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威士忌</t>
    </r>
  </si>
  <si>
    <r>
      <t>巅</t>
    </r>
    <r>
      <rPr>
        <sz val="11"/>
        <color theme="1"/>
        <rFont val="ＭＳ Ｐゴシック"/>
        <family val="3"/>
        <charset val="128"/>
        <scheme val="minor"/>
      </rPr>
      <t>峰江湖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</si>
  <si>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开胃酒; 葡萄酒</t>
    </r>
  </si>
  <si>
    <t>雄冠液</t>
  </si>
  <si>
    <t>珠海市聚福康健康管理有限公司</t>
  </si>
  <si>
    <r>
      <t xml:space="preserve">果酒（含酒精）; 白酒; 黄酒; 葡萄酒; 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</si>
  <si>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壹金甲</t>
  </si>
  <si>
    <r>
      <t xml:space="preserve">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利口酒;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</si>
  <si>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高</t>
    </r>
    <r>
      <rPr>
        <sz val="11"/>
        <color theme="1"/>
        <rFont val="ＭＳ Ｐゴシック"/>
        <family val="3"/>
        <charset val="134"/>
        <scheme val="minor"/>
      </rPr>
      <t>骏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</si>
  <si>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谌</t>
    </r>
    <r>
      <rPr>
        <sz val="11"/>
        <color theme="1"/>
        <rFont val="ＭＳ Ｐゴシック"/>
        <family val="3"/>
        <charset val="128"/>
        <scheme val="minor"/>
      </rPr>
      <t>高俊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</si>
  <si>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</si>
  <si>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半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</si>
  <si>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利口酒; 白酒; 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</t>
    </r>
  </si>
  <si>
    <r>
      <t>山云</t>
    </r>
    <r>
      <rPr>
        <sz val="11"/>
        <color theme="1"/>
        <rFont val="ＭＳ Ｐゴシック"/>
        <family val="3"/>
        <charset val="134"/>
        <scheme val="minor"/>
      </rPr>
      <t>陈</t>
    </r>
  </si>
  <si>
    <r>
      <t>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葡萄酒; 威士忌; 米酒; 果酒（含酒精）</t>
    </r>
  </si>
  <si>
    <t>粱源台</t>
  </si>
  <si>
    <t>刘科</t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</si>
  <si>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威士忌; 白酒</t>
    </r>
  </si>
  <si>
    <r>
      <t>欢</t>
    </r>
    <r>
      <rPr>
        <sz val="11"/>
        <color theme="1"/>
        <rFont val="ＭＳ Ｐゴシック"/>
        <family val="3"/>
        <charset val="128"/>
        <scheme val="minor"/>
      </rPr>
      <t>草地</t>
    </r>
  </si>
  <si>
    <r>
      <t>宁夏鑫</t>
    </r>
    <r>
      <rPr>
        <sz val="11"/>
        <color theme="1"/>
        <rFont val="ＭＳ Ｐゴシック"/>
        <family val="3"/>
        <charset val="134"/>
        <scheme val="minor"/>
      </rPr>
      <t>泽贸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</si>
  <si>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威士忌; 黄酒</t>
    </r>
  </si>
  <si>
    <r>
      <t>贡</t>
    </r>
    <r>
      <rPr>
        <sz val="11"/>
        <color theme="1"/>
        <rFont val="ＭＳ Ｐゴシック"/>
        <family val="3"/>
        <charset val="128"/>
        <scheme val="minor"/>
      </rPr>
      <t>千古</t>
    </r>
  </si>
  <si>
    <t>曾勇</t>
  </si>
  <si>
    <r>
      <t>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黄酒; 清酒; 青稞酒; 葡萄酒; 高粱酒; 白酒</t>
    </r>
  </si>
  <si>
    <t>粱煦</t>
  </si>
  <si>
    <r>
      <t>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威士忌; 黄酒; 高粱酒</t>
    </r>
  </si>
  <si>
    <t>炎黄士</t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</si>
  <si>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烈酒;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</si>
  <si>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r>
      <t>怡园春</t>
    </r>
    <r>
      <rPr>
        <sz val="11"/>
        <color theme="1"/>
        <rFont val="ＭＳ Ｐゴシック"/>
        <family val="3"/>
        <charset val="134"/>
        <scheme val="minor"/>
      </rPr>
      <t>晓</t>
    </r>
  </si>
  <si>
    <r>
      <t>北京恒宇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通汽</t>
    </r>
    <r>
      <rPr>
        <sz val="11"/>
        <color theme="1"/>
        <rFont val="ＭＳ Ｐゴシック"/>
        <family val="3"/>
        <charset val="134"/>
        <scheme val="minor"/>
      </rPr>
      <t>车贸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</si>
  <si>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白酒; 伏特加酒; 利口酒; 朗姆酒</t>
    </r>
  </si>
  <si>
    <r>
      <t>玺</t>
    </r>
    <r>
      <rPr>
        <sz val="11"/>
        <color theme="1"/>
        <rFont val="ＭＳ Ｐゴシック"/>
        <family val="3"/>
        <charset val="128"/>
        <scheme val="minor"/>
      </rPr>
      <t>千古</t>
    </r>
  </si>
  <si>
    <t>深圳市一日之晨科技有限公司</t>
  </si>
  <si>
    <r>
      <t xml:space="preserve">米酒; 食用酒精; 白酒; 烈酒; 黄酒; 果酒（含酒精）; 葡萄酒;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</si>
  <si>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戏龙门</t>
  </si>
  <si>
    <r>
      <t>魏存</t>
    </r>
    <r>
      <rPr>
        <sz val="11"/>
        <color theme="1"/>
        <rFont val="ＭＳ Ｐゴシック"/>
        <family val="3"/>
        <charset val="129"/>
        <scheme val="minor"/>
      </rPr>
      <t>怀</t>
    </r>
  </si>
  <si>
    <r>
      <t>米酒;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</t>
    </r>
  </si>
  <si>
    <t>粱戟</t>
  </si>
  <si>
    <t>曾志高</t>
  </si>
  <si>
    <r>
      <t>葡萄酒; 黄酒;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</si>
  <si>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竹山湾</t>
  </si>
  <si>
    <r>
      <t>益阳竹山湾</t>
    </r>
    <r>
      <rPr>
        <sz val="11"/>
        <color theme="1"/>
        <rFont val="ＭＳ Ｐゴシック"/>
        <family val="3"/>
        <charset val="134"/>
        <scheme val="minor"/>
      </rPr>
      <t>传统</t>
    </r>
    <r>
      <rPr>
        <sz val="11"/>
        <color theme="1"/>
        <rFont val="ＭＳ Ｐゴシック"/>
        <family val="3"/>
        <charset val="128"/>
        <scheme val="minor"/>
      </rPr>
      <t>竹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</si>
  <si>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高粱酒; 葡萄酒; 食用酒精; 白酒; 果酒; 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甜酒; 烈酒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</si>
  <si>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亭永</t>
    </r>
  </si>
  <si>
    <t>包董春</t>
  </si>
  <si>
    <r>
      <t>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甘蔗制烈酒;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</si>
  <si>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AYES</t>
  </si>
  <si>
    <r>
      <t>邱智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</si>
  <si>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伏特加酒;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</si>
  <si>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幻生堂</t>
  </si>
  <si>
    <t>泉州圣安文化有限公司</t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</si>
  <si>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露酒; 葡萄酒; 米酒; 白酒; 果酒（含酒精）;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</si>
  <si>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梁爹</t>
  </si>
  <si>
    <r>
      <t>白酒;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清酒（日本米酒）</t>
    </r>
  </si>
  <si>
    <r>
      <t>宽</t>
    </r>
    <r>
      <rPr>
        <sz val="11"/>
        <color theme="1"/>
        <rFont val="ＭＳ Ｐゴシック"/>
        <family val="3"/>
        <charset val="128"/>
        <scheme val="minor"/>
      </rPr>
      <t>祝</t>
    </r>
  </si>
  <si>
    <r>
      <t>周</t>
    </r>
    <r>
      <rPr>
        <sz val="11"/>
        <color theme="1"/>
        <rFont val="ＭＳ Ｐゴシック"/>
        <family val="3"/>
        <charset val="134"/>
        <scheme val="minor"/>
      </rPr>
      <t>钢</t>
    </r>
    <r>
      <rPr>
        <sz val="11"/>
        <color theme="1"/>
        <rFont val="ＭＳ Ｐゴシック"/>
        <family val="3"/>
        <charset val="128"/>
        <scheme val="minor"/>
      </rPr>
      <t>旗</t>
    </r>
  </si>
  <si>
    <r>
      <t>开胃酒;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蒸煮提取物（利口酒和烈酒）</t>
    </r>
  </si>
  <si>
    <t>筷探</t>
  </si>
  <si>
    <t>王雄兵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</si>
  <si>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</t>
    </r>
  </si>
  <si>
    <r>
      <t>关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村花</t>
    </r>
  </si>
  <si>
    <r>
      <t>沈阳市清圣酒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</si>
  <si>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白酒;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</si>
  <si>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理斯莫奇</t>
  </si>
  <si>
    <r>
      <t>河南省无色网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</si>
  <si>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</si>
  <si>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箭</t>
    </r>
    <r>
      <rPr>
        <sz val="11"/>
        <color theme="1"/>
        <rFont val="ＭＳ Ｐゴシック"/>
        <family val="3"/>
        <charset val="134"/>
        <scheme val="minor"/>
      </rPr>
      <t>锋</t>
    </r>
    <r>
      <rPr>
        <sz val="11"/>
        <color theme="1"/>
        <rFont val="ＭＳ Ｐゴシック"/>
        <family val="3"/>
        <charset val="128"/>
        <scheme val="minor"/>
      </rPr>
      <t>堂</t>
    </r>
  </si>
  <si>
    <t>沈良前</t>
  </si>
  <si>
    <r>
      <t>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开胃酒; 威士忌;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</t>
    </r>
  </si>
  <si>
    <r>
      <t>坡上</t>
    </r>
    <r>
      <rPr>
        <sz val="11"/>
        <color theme="1"/>
        <rFont val="ＭＳ Ｐゴシック"/>
        <family val="3"/>
        <charset val="134"/>
        <scheme val="minor"/>
      </rPr>
      <t>汉</t>
    </r>
  </si>
  <si>
    <r>
      <t>中山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典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器科技有限公司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</si>
  <si>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果酒;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</si>
  <si>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JIUZHAIYUANZHILIAN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</si>
  <si>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</si>
  <si>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峰池玉品</t>
  </si>
  <si>
    <r>
      <t>云南峰池玉品酒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</si>
  <si>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蜂蜜酒; 白酒</t>
    </r>
  </si>
  <si>
    <t>柚里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</si>
  <si>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烈酒; 果酒; 伏特加酒;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</si>
  <si>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师</t>
    </r>
    <r>
      <rPr>
        <sz val="11"/>
        <color theme="1"/>
        <rFont val="ＭＳ Ｐゴシック"/>
        <family val="3"/>
        <charset val="128"/>
        <scheme val="minor"/>
      </rPr>
      <t>太婆</t>
    </r>
  </si>
  <si>
    <r>
      <t>绍兴</t>
    </r>
    <r>
      <rPr>
        <sz val="11"/>
        <color theme="1"/>
        <rFont val="ＭＳ Ｐゴシック"/>
        <family val="3"/>
        <charset val="128"/>
        <scheme val="minor"/>
      </rPr>
      <t>越亨酒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</si>
  <si>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汽酒; 烈酒; 果酒; 葡萄酒;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</si>
  <si>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馨芒</t>
    </r>
    <r>
      <rPr>
        <sz val="11"/>
        <color theme="1"/>
        <rFont val="ＭＳ Ｐゴシック"/>
        <family val="3"/>
        <charset val="134"/>
        <scheme val="minor"/>
      </rPr>
      <t>砀</t>
    </r>
    <r>
      <rPr>
        <sz val="11"/>
        <color theme="1"/>
        <rFont val="ＭＳ Ｐゴシック"/>
        <family val="3"/>
        <charset val="128"/>
        <scheme val="minor"/>
      </rPr>
      <t>酒坊</t>
    </r>
  </si>
  <si>
    <r>
      <t>河南省芒</t>
    </r>
    <r>
      <rPr>
        <sz val="11"/>
        <color theme="1"/>
        <rFont val="ＭＳ Ｐゴシック"/>
        <family val="3"/>
        <charset val="134"/>
        <scheme val="minor"/>
      </rPr>
      <t>砀</t>
    </r>
    <r>
      <rPr>
        <sz val="11"/>
        <color theme="1"/>
        <rFont val="ＭＳ Ｐゴシック"/>
        <family val="3"/>
        <charset val="128"/>
        <scheme val="minor"/>
      </rPr>
      <t>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</si>
  <si>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高粱酒; 白酒; 白干酒（中国白酒）</t>
    </r>
  </si>
  <si>
    <r>
      <t>炫</t>
    </r>
    <r>
      <rPr>
        <sz val="11"/>
        <color theme="1"/>
        <rFont val="ＭＳ Ｐゴシック"/>
        <family val="3"/>
        <charset val="134"/>
        <scheme val="minor"/>
      </rPr>
      <t>变</t>
    </r>
  </si>
  <si>
    <r>
      <t>汾阳市海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包装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</si>
  <si>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开胃酒;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</si>
  <si>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九寨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之恋</t>
    </r>
  </si>
  <si>
    <r>
      <t xml:space="preserve">果酒（含酒精）;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</si>
  <si>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呵豪韭</t>
  </si>
  <si>
    <r>
      <t>湖南融蜜酒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</si>
  <si>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蜂蜜酒;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</si>
  <si>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仁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美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</si>
  <si>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市仁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</si>
  <si>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葡萄酒; 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</si>
  <si>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尊尼</t>
    </r>
    <r>
      <rPr>
        <sz val="11"/>
        <color theme="1"/>
        <rFont val="ＭＳ Ｐゴシック"/>
        <family val="3"/>
        <charset val="134"/>
        <scheme val="minor"/>
      </rPr>
      <t>获</t>
    </r>
    <r>
      <rPr>
        <sz val="11"/>
        <color theme="1"/>
        <rFont val="ＭＳ Ｐゴシック"/>
        <family val="3"/>
        <charset val="128"/>
        <scheme val="minor"/>
      </rPr>
      <t>加耀澄</t>
    </r>
  </si>
  <si>
    <r>
      <t>黛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吉奥品牌有限公司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</si>
  <si>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</si>
  <si>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悦好客来</t>
  </si>
  <si>
    <t>吴孝明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</si>
  <si>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开胃酒; 青稞酒</t>
    </r>
  </si>
  <si>
    <t>御雪迎果</t>
  </si>
  <si>
    <r>
      <t>吉林省</t>
    </r>
    <r>
      <rPr>
        <sz val="11"/>
        <color theme="1"/>
        <rFont val="ＭＳ Ｐゴシック"/>
        <family val="3"/>
        <charset val="134"/>
        <scheme val="minor"/>
      </rPr>
      <t>晓语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</si>
  <si>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</si>
  <si>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庄煌</t>
    </r>
    <r>
      <rPr>
        <sz val="11"/>
        <color theme="1"/>
        <rFont val="ＭＳ Ｐゴシック"/>
        <family val="3"/>
        <charset val="134"/>
        <scheme val="minor"/>
      </rPr>
      <t>纪</t>
    </r>
  </si>
  <si>
    <t>吴霞</t>
  </si>
  <si>
    <r>
      <t xml:space="preserve">白酒; 开胃酒;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果酒（含酒精）;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餐后酒（利口酒和烈酒）; 利口酒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</si>
  <si>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盛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</si>
  <si>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高粱酒; 果酒; 蒸煮提取物（利口酒和烈酒）;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烈酒; 米酒;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</t>
    </r>
  </si>
  <si>
    <r>
      <t>花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坡</t>
    </r>
  </si>
  <si>
    <r>
      <t>丘北己羊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</si>
  <si>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葡萄酒;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果酒; 清酒;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</t>
    </r>
  </si>
  <si>
    <t>窑中里</t>
  </si>
  <si>
    <t>合肥市金梁春健康科技有限公司</t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</si>
  <si>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蜂蜜酒;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</si>
  <si>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卫</t>
    </r>
    <r>
      <rPr>
        <sz val="11"/>
        <color theme="1"/>
        <rFont val="ＭＳ Ｐゴシック"/>
        <family val="3"/>
        <charset val="128"/>
        <scheme val="minor"/>
      </rPr>
      <t>康</t>
    </r>
    <r>
      <rPr>
        <sz val="11"/>
        <color theme="1"/>
        <rFont val="ＭＳ Ｐゴシック"/>
        <family val="3"/>
        <charset val="134"/>
        <scheme val="minor"/>
      </rPr>
      <t>诰</t>
    </r>
  </si>
  <si>
    <r>
      <t xml:space="preserve">朗姆酒;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</t>
    </r>
  </si>
  <si>
    <r>
      <t>乔</t>
    </r>
    <r>
      <rPr>
        <sz val="11"/>
        <color theme="1"/>
        <rFont val="ＭＳ Ｐゴシック"/>
        <family val="3"/>
        <charset val="128"/>
        <scheme val="minor"/>
      </rPr>
      <t>三粮</t>
    </r>
  </si>
  <si>
    <r>
      <t>郑时</t>
    </r>
    <r>
      <rPr>
        <sz val="11"/>
        <color theme="1"/>
        <rFont val="ＭＳ Ｐゴシック"/>
        <family val="3"/>
        <charset val="128"/>
        <scheme val="minor"/>
      </rPr>
      <t>杰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</si>
  <si>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果酒（含酒精）; 蜂蜜酒; 薄荷酒</t>
    </r>
  </si>
  <si>
    <r>
      <t>鸿贵</t>
    </r>
    <r>
      <rPr>
        <sz val="11"/>
        <color theme="1"/>
        <rFont val="ＭＳ Ｐゴシック"/>
        <family val="3"/>
        <charset val="128"/>
        <scheme val="minor"/>
      </rPr>
      <t>匠</t>
    </r>
  </si>
  <si>
    <t>胡粤浪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</si>
  <si>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葡萄酒; 露酒; 餐后酒（利口酒和烈酒）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</si>
  <si>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曼尼酒庄（广州）有限公司</t>
    </r>
  </si>
  <si>
    <r>
      <t>葡萄酒;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开胃酒; 威士忌; 果酒（含酒精）</t>
    </r>
  </si>
  <si>
    <t>潍邮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</si>
  <si>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</si>
  <si>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</si>
  <si>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鹿</t>
    </r>
    <r>
      <rPr>
        <sz val="11"/>
        <color theme="1"/>
        <rFont val="ＭＳ Ｐゴシック"/>
        <family val="3"/>
        <charset val="134"/>
        <scheme val="minor"/>
      </rPr>
      <t>鸣</t>
    </r>
    <r>
      <rPr>
        <sz val="11"/>
        <color theme="1"/>
        <rFont val="ＭＳ Ｐゴシック"/>
        <family val="3"/>
        <charset val="128"/>
        <scheme val="minor"/>
      </rPr>
      <t>声声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</si>
  <si>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州茅台集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</si>
  <si>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食用酒精;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</si>
  <si>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蒙巴</t>
    </r>
    <r>
      <rPr>
        <sz val="11"/>
        <color theme="1"/>
        <rFont val="ＭＳ Ｐゴシック"/>
        <family val="3"/>
        <charset val="134"/>
        <scheme val="minor"/>
      </rPr>
      <t>图</t>
    </r>
  </si>
  <si>
    <r>
      <t>蒙巴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（河南）餐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</si>
  <si>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清酒;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</t>
    </r>
  </si>
  <si>
    <t>咖族</t>
  </si>
  <si>
    <t>张丽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</si>
  <si>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甜酒; 白酒; 黄酒;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</si>
  <si>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家婆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</si>
  <si>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燕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</si>
  <si>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威士忌; 米酒; 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</t>
    </r>
  </si>
  <si>
    <t>添招嫂</t>
  </si>
  <si>
    <r>
      <t>梅州市姐婆家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</si>
  <si>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伏特加酒;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</si>
  <si>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t>小爪酒</t>
  </si>
  <si>
    <t>袁孝</t>
  </si>
  <si>
    <r>
      <t>黄酒; 烈酒; 梅酒; 果酒;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</si>
  <si>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庞</t>
    </r>
    <r>
      <rPr>
        <sz val="11"/>
        <color theme="1"/>
        <rFont val="ＭＳ Ｐゴシック"/>
        <family val="3"/>
        <charset val="128"/>
        <scheme val="minor"/>
      </rPr>
      <t>泉</t>
    </r>
    <r>
      <rPr>
        <sz val="11"/>
        <color theme="1"/>
        <rFont val="ＭＳ Ｐゴシック"/>
        <family val="3"/>
        <charset val="134"/>
        <scheme val="minor"/>
      </rPr>
      <t>净</t>
    </r>
    <r>
      <rPr>
        <sz val="11"/>
        <color theme="1"/>
        <rFont val="ＭＳ Ｐゴシック"/>
        <family val="3"/>
        <charset val="128"/>
        <scheme val="minor"/>
      </rPr>
      <t>醴</t>
    </r>
  </si>
  <si>
    <r>
      <t>山西</t>
    </r>
    <r>
      <rPr>
        <sz val="11"/>
        <color theme="1"/>
        <rFont val="ＭＳ Ｐゴシック"/>
        <family val="3"/>
        <charset val="134"/>
        <scheme val="minor"/>
      </rPr>
      <t>庞</t>
    </r>
    <r>
      <rPr>
        <sz val="11"/>
        <color theme="1"/>
        <rFont val="ＭＳ Ｐゴシック"/>
        <family val="3"/>
        <charset val="128"/>
        <scheme val="minor"/>
      </rPr>
      <t>泉酒庄有限公司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</si>
  <si>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蒸煮提取物（利口酒和烈酒）; 葡萄酒; 白酒; 白干酒（中国白酒）;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食用酒精</t>
    </r>
  </si>
  <si>
    <r>
      <t>潮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廷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</si>
  <si>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广林</t>
    </r>
  </si>
  <si>
    <r>
      <t>白酒; 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威士忌; 梅酒; 果酒（含酒精）</t>
    </r>
  </si>
  <si>
    <t>惠宜生</t>
  </si>
  <si>
    <t>湛江市大聚惠科技有限公司</t>
  </si>
  <si>
    <r>
      <t xml:space="preserve">白酒;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</si>
  <si>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校府家</t>
  </si>
  <si>
    <r>
      <t>河南木交校商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</si>
  <si>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米酒; 露酒; 果酒（含酒精）</t>
    </r>
  </si>
  <si>
    <r>
      <t>言脉</t>
    </r>
    <r>
      <rPr>
        <sz val="11"/>
        <color theme="1"/>
        <rFont val="ＭＳ Ｐゴシック"/>
        <family val="3"/>
        <charset val="134"/>
        <scheme val="minor"/>
      </rPr>
      <t>阁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</si>
  <si>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邦</t>
    </r>
    <r>
      <rPr>
        <sz val="11"/>
        <color theme="1"/>
        <rFont val="ＭＳ Ｐゴシック"/>
        <family val="3"/>
        <charset val="134"/>
        <scheme val="minor"/>
      </rPr>
      <t>发农业发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</si>
  <si>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葡萄酒; 茴香酒（利口酒）;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黄酒; 果酒（含酒精）;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</si>
  <si>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豪香溢</t>
  </si>
  <si>
    <t>王豫明</t>
  </si>
  <si>
    <r>
      <t>开胃酒; 果酒; 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</si>
  <si>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KIYAI 可焱</t>
  </si>
  <si>
    <r>
      <t>张</t>
    </r>
    <r>
      <rPr>
        <sz val="11"/>
        <color theme="1"/>
        <rFont val="ＭＳ Ｐゴシック"/>
        <family val="3"/>
        <charset val="128"/>
        <scheme val="minor"/>
      </rPr>
      <t>梓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</si>
  <si>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利口酒;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葡萄酒</t>
    </r>
  </si>
  <si>
    <t>李常惠</t>
  </si>
  <si>
    <r>
      <t>烈酒; 白酒; 苹果酒; 果酒;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</t>
    </r>
  </si>
  <si>
    <r>
      <t>熊猫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拉</t>
    </r>
  </si>
  <si>
    <t>霍延涛</t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</si>
  <si>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葡萄酒; 开胃酒; 汽酒</t>
    </r>
  </si>
  <si>
    <t>川腔</t>
  </si>
  <si>
    <r>
      <t>仝淑</t>
    </r>
    <r>
      <rPr>
        <sz val="11"/>
        <color theme="1"/>
        <rFont val="ＭＳ Ｐゴシック"/>
        <family val="3"/>
        <charset val="134"/>
        <scheme val="minor"/>
      </rPr>
      <t>焕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</si>
  <si>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</si>
  <si>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朔狩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</si>
  <si>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联链时</t>
    </r>
    <r>
      <rPr>
        <sz val="11"/>
        <color theme="1"/>
        <rFont val="ＭＳ Ｐゴシック"/>
        <family val="3"/>
        <charset val="128"/>
        <scheme val="minor"/>
      </rPr>
      <t>代商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</si>
  <si>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葡萄汽酒; 不起泡葡萄酒;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酸酒（低等葡萄酒）; 白酒; 起泡白葡萄酒;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</t>
    </r>
  </si>
  <si>
    <t>裕致康</t>
  </si>
  <si>
    <r>
      <t>王振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</si>
  <si>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米酒; 汽酒; 果酒（含酒精）</t>
    </r>
  </si>
  <si>
    <t>黔先生</t>
  </si>
  <si>
    <r>
      <t>蓝</t>
    </r>
    <r>
      <rPr>
        <sz val="11"/>
        <color theme="1"/>
        <rFont val="ＭＳ Ｐゴシック"/>
        <family val="3"/>
        <charset val="128"/>
        <scheme val="minor"/>
      </rPr>
      <t>光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</si>
  <si>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果酒（含酒精）;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青稞酒; 清酒（日本米酒）;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</si>
  <si>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SOLEADO 索利多</t>
  </si>
  <si>
    <r>
      <t>金</t>
    </r>
    <r>
      <rPr>
        <sz val="11"/>
        <color theme="1"/>
        <rFont val="ＭＳ Ｐゴシック"/>
        <family val="3"/>
        <charset val="134"/>
        <scheme val="minor"/>
      </rPr>
      <t>齿</t>
    </r>
    <r>
      <rPr>
        <sz val="11"/>
        <color theme="1"/>
        <rFont val="ＭＳ Ｐゴシック"/>
        <family val="3"/>
        <charset val="128"/>
        <scheme val="minor"/>
      </rPr>
      <t>健（广州）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</si>
  <si>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伏特加酒;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果酒（含酒精）; 汽酒; 朗姆酒; 梨酒; 威士忌</t>
    </r>
  </si>
  <si>
    <t>逃往月球</t>
  </si>
  <si>
    <t>黄雅萱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</si>
  <si>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酸酒（低等葡萄酒）; 白酒;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</si>
  <si>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壹福沅酒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</si>
  <si>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州黔香福商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</si>
  <si>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露酒;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</si>
  <si>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武亘</t>
  </si>
  <si>
    <r>
      <t>湖南中安能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林科技有限公司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</si>
  <si>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伏特加酒;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</si>
  <si>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甘养元</t>
  </si>
  <si>
    <r>
      <t>梧州嘉立旺商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</si>
  <si>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开胃酒;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</si>
  <si>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澜玺</t>
    </r>
  </si>
  <si>
    <r>
      <t>黄小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</si>
  <si>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 xml:space="preserve">清酒; 米酒; 黄酒; 果酒（含酒精）;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</si>
  <si>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BULEITONG</t>
  </si>
  <si>
    <r>
      <t>孙</t>
    </r>
    <r>
      <rPr>
        <sz val="11"/>
        <color theme="1"/>
        <rFont val="ＭＳ Ｐゴシック"/>
        <family val="3"/>
        <charset val="128"/>
        <scheme val="minor"/>
      </rPr>
      <t>望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</si>
  <si>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</si>
  <si>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吉盛魁</t>
  </si>
  <si>
    <t>大盛魁股份有限公司</t>
  </si>
  <si>
    <r>
      <t>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</si>
  <si>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t>小片酒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</si>
  <si>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青稞酒; 果酒; 烈酒; 梅酒;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</si>
  <si>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躺包包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</si>
  <si>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才酒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</si>
  <si>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含酒精的气泡水; 食用酒精;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混合威士忌酒; 餐后酒（利口酒和烈酒）;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</si>
  <si>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豆豆熊</t>
  </si>
  <si>
    <t>熊国光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</si>
  <si>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果酒（含酒精）;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</si>
  <si>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氏父子</t>
    </r>
  </si>
  <si>
    <r>
      <t>宝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佰盛金科工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</si>
  <si>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</si>
  <si>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ECAT</t>
  </si>
  <si>
    <r>
      <t>王</t>
    </r>
    <r>
      <rPr>
        <sz val="11"/>
        <color theme="1"/>
        <rFont val="ＭＳ Ｐゴシック"/>
        <family val="3"/>
        <charset val="134"/>
        <scheme val="minor"/>
      </rPr>
      <t>骏</t>
    </r>
    <r>
      <rPr>
        <sz val="11"/>
        <color theme="1"/>
        <rFont val="ＭＳ Ｐゴシック"/>
        <family val="3"/>
        <charset val="128"/>
        <scheme val="minor"/>
      </rPr>
      <t>杰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</si>
  <si>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伏特加酒;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</si>
  <si>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美</t>
    </r>
    <r>
      <rPr>
        <sz val="11"/>
        <color theme="1"/>
        <rFont val="ＭＳ Ｐゴシック"/>
        <family val="3"/>
        <charset val="134"/>
        <scheme val="minor"/>
      </rPr>
      <t>苼</t>
    </r>
    <r>
      <rPr>
        <sz val="11"/>
        <color theme="1"/>
        <rFont val="ＭＳ Ｐゴシック"/>
        <family val="3"/>
        <charset val="128"/>
        <scheme val="minor"/>
      </rPr>
      <t>妍 MISINYOOS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</si>
  <si>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世平</t>
    </r>
  </si>
  <si>
    <r>
      <t xml:space="preserve">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</si>
  <si>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江白</t>
    </r>
  </si>
  <si>
    <r>
      <t>集安市</t>
    </r>
    <r>
      <rPr>
        <sz val="11"/>
        <color theme="1"/>
        <rFont val="ＭＳ Ｐゴシック"/>
        <family val="3"/>
        <charset val="134"/>
        <scheme val="minor"/>
      </rPr>
      <t>鸭绿</t>
    </r>
    <r>
      <rPr>
        <sz val="11"/>
        <color theme="1"/>
        <rFont val="ＭＳ Ｐゴシック"/>
        <family val="3"/>
        <charset val="128"/>
        <scheme val="minor"/>
      </rPr>
      <t>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</si>
  <si>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</si>
  <si>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玉明廷</t>
  </si>
  <si>
    <r>
      <t>陈诗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</si>
  <si>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米酒;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</t>
    </r>
  </si>
  <si>
    <t>康牧岩</t>
  </si>
  <si>
    <r>
      <t>罗钊</t>
    </r>
    <r>
      <rPr>
        <sz val="11"/>
        <color theme="1"/>
        <rFont val="ＭＳ Ｐゴシック"/>
        <family val="3"/>
        <charset val="128"/>
        <scheme val="minor"/>
      </rPr>
      <t>壕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</si>
  <si>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</si>
  <si>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纳</t>
    </r>
    <r>
      <rPr>
        <sz val="11"/>
        <color theme="1"/>
        <rFont val="ＭＳ Ｐゴシック"/>
        <family val="3"/>
        <charset val="128"/>
        <scheme val="minor"/>
      </rPr>
      <t>海名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</si>
  <si>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海拍</t>
    </r>
    <r>
      <rPr>
        <sz val="11"/>
        <color theme="1"/>
        <rFont val="ＭＳ Ｐゴシック"/>
        <family val="3"/>
        <charset val="134"/>
        <scheme val="minor"/>
      </rPr>
      <t>卖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</si>
  <si>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餐后酒（利口酒和烈酒）; 葡萄酒; 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开胃酒; 威士忌</t>
    </r>
  </si>
  <si>
    <t>大冶湖</t>
  </si>
  <si>
    <r>
      <t>中秘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媒文化(武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)有限公司</t>
    </r>
  </si>
  <si>
    <r>
      <t>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露酒; 黄酒; 米酒</t>
    </r>
  </si>
  <si>
    <r>
      <t>波</t>
    </r>
    <r>
      <rPr>
        <sz val="11"/>
        <color theme="1"/>
        <rFont val="ＭＳ Ｐゴシック"/>
        <family val="3"/>
        <charset val="134"/>
        <scheme val="minor"/>
      </rPr>
      <t>澜</t>
    </r>
  </si>
  <si>
    <t>林坤生</t>
  </si>
  <si>
    <r>
      <t xml:space="preserve">白酒; 烈酒; 露酒; 白干酒（中国白酒）; 清酒; 果酒;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</si>
  <si>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天道</t>
    </r>
  </si>
  <si>
    <t>罗凯</t>
  </si>
  <si>
    <r>
      <t>威士忌; 米酒; 伏特加酒;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果酒（含酒精）</t>
    </r>
  </si>
  <si>
    <r>
      <t>葡萄汽酒; 开胃酒; 起泡白葡萄酒;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不起泡葡萄酒;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酸酒（低等葡萄酒）</t>
    </r>
  </si>
  <si>
    <r>
      <t>萸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萸醉</t>
    </r>
  </si>
  <si>
    <r>
      <t>太白多琳酒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</si>
  <si>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果酒（含酒精）; 葡萄酒</t>
    </r>
  </si>
  <si>
    <t>帮武停</t>
  </si>
  <si>
    <r>
      <t>常州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武城市公共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源</t>
    </r>
    <r>
      <rPr>
        <sz val="11"/>
        <color theme="1"/>
        <rFont val="ＭＳ Ｐゴシック"/>
        <family val="3"/>
        <charset val="134"/>
        <scheme val="minor"/>
      </rPr>
      <t>经营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</si>
  <si>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汽酒; 白酒; 甜酒; 开胃酒; 清酒; 果酒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</si>
  <si>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运珍</t>
    </r>
  </si>
  <si>
    <r>
      <t>许发</t>
    </r>
    <r>
      <rPr>
        <sz val="11"/>
        <color theme="1"/>
        <rFont val="ＭＳ Ｐゴシック"/>
        <family val="3"/>
        <charset val="128"/>
        <scheme val="minor"/>
      </rPr>
      <t>浪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</si>
  <si>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葡萄酒; 汽酒</t>
    </r>
  </si>
  <si>
    <r>
      <t>驾</t>
    </r>
    <r>
      <rPr>
        <sz val="11"/>
        <color theme="1"/>
        <rFont val="ＭＳ Ｐゴシック"/>
        <family val="3"/>
        <charset val="128"/>
        <scheme val="minor"/>
      </rPr>
      <t>掌柜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</si>
  <si>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州老掌柜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</si>
  <si>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</si>
  <si>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鸭绿</t>
  </si>
  <si>
    <r>
      <t>黄酒;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白干酒（中国白酒）;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</si>
  <si>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西高臻品</t>
  </si>
  <si>
    <r>
      <t>淏邦盛世企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管理（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口）有限公司</t>
    </r>
  </si>
  <si>
    <r>
      <t xml:space="preserve">白酒; 清酒; 青稞酒; 米酒;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露酒; 刺五加酒</t>
    </r>
  </si>
  <si>
    <t>吉圣百坊</t>
  </si>
  <si>
    <t>桂林吉圣百坊生物科技有限公司</t>
  </si>
  <si>
    <r>
      <t>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白酒; 蝮蛇酒; 黄酒; 白干酒（中国白酒）;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</si>
  <si>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老尼克</t>
  </si>
  <si>
    <t>巴迪耐特公司</t>
  </si>
  <si>
    <r>
      <t>昆</t>
    </r>
    <r>
      <rPr>
        <sz val="11"/>
        <color theme="1"/>
        <rFont val="ＭＳ Ｐゴシック"/>
        <family val="3"/>
        <charset val="134"/>
        <scheme val="minor"/>
      </rPr>
      <t>莲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</si>
  <si>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州伙推广告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</si>
  <si>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黄酒; 葡萄酒; 果酒; 清酒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</si>
  <si>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洲</t>
    </r>
    <r>
      <rPr>
        <sz val="11"/>
        <color theme="1"/>
        <rFont val="ＭＳ Ｐゴシック"/>
        <family val="3"/>
        <charset val="134"/>
        <scheme val="minor"/>
      </rPr>
      <t>摇篮</t>
    </r>
  </si>
  <si>
    <r>
      <t>纪</t>
    </r>
    <r>
      <rPr>
        <sz val="11"/>
        <color theme="1"/>
        <rFont val="ＭＳ Ｐゴシック"/>
        <family val="3"/>
        <charset val="128"/>
        <scheme val="minor"/>
      </rPr>
      <t>良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</si>
  <si>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 xml:space="preserve">米酒; 开胃酒; 汽酒;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</si>
  <si>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臣白</t>
  </si>
  <si>
    <r>
      <t>清酒（日本米酒）; 米酒; 白酒; 威士忌;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果酒（含酒精）</t>
    </r>
  </si>
  <si>
    <t>御香元</t>
  </si>
  <si>
    <r>
      <t>湖北邱氏酒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</si>
  <si>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</si>
  <si>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香父子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</si>
  <si>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葡萄酒;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</si>
  <si>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承色天香</t>
  </si>
  <si>
    <r>
      <t>张</t>
    </r>
    <r>
      <rPr>
        <sz val="11"/>
        <color theme="1"/>
        <rFont val="ＭＳ Ｐゴシック"/>
        <family val="3"/>
        <charset val="128"/>
        <scheme val="minor"/>
      </rPr>
      <t>雨</t>
    </r>
  </si>
  <si>
    <r>
      <t>白酒; 米酒; 苹果酒; 果酒（含酒精）; 露酒;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</si>
  <si>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楚厝</t>
  </si>
  <si>
    <r>
      <t>游运</t>
    </r>
    <r>
      <rPr>
        <sz val="11"/>
        <color theme="1"/>
        <rFont val="ＭＳ Ｐゴシック"/>
        <family val="3"/>
        <charset val="134"/>
        <scheme val="minor"/>
      </rPr>
      <t>杨</t>
    </r>
  </si>
  <si>
    <r>
      <t xml:space="preserve">果酒; 青稞酒; 露酒; 米酒;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青梅酒; 果酒（含酒精）; 甜果酒;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甜酒</t>
    </r>
  </si>
  <si>
    <r>
      <t>鼎尊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</si>
  <si>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亳州市</t>
    </r>
    <r>
      <rPr>
        <sz val="11"/>
        <color theme="1"/>
        <rFont val="ＭＳ Ｐゴシック"/>
        <family val="3"/>
        <charset val="134"/>
        <scheme val="minor"/>
      </rPr>
      <t>谯</t>
    </r>
    <r>
      <rPr>
        <sz val="11"/>
        <color theme="1"/>
        <rFont val="ＭＳ Ｐゴシック"/>
        <family val="3"/>
        <charset val="128"/>
        <scheme val="minor"/>
      </rPr>
      <t>城区源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食品商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</si>
  <si>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白酒</t>
    </r>
  </si>
  <si>
    <t>澳冠利</t>
  </si>
  <si>
    <r>
      <t>深圳市昭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通科技有限公司</t>
    </r>
  </si>
  <si>
    <r>
      <t xml:space="preserve">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葡萄酒</t>
    </r>
  </si>
  <si>
    <r>
      <t>初</t>
    </r>
    <r>
      <rPr>
        <sz val="11"/>
        <color theme="1"/>
        <rFont val="ＭＳ Ｐゴシック"/>
        <family val="3"/>
        <charset val="134"/>
        <scheme val="minor"/>
      </rPr>
      <t>诗</t>
    </r>
  </si>
  <si>
    <r>
      <t>北京信</t>
    </r>
    <r>
      <rPr>
        <sz val="11"/>
        <color theme="1"/>
        <rFont val="ＭＳ Ｐゴシック"/>
        <family val="3"/>
        <charset val="134"/>
        <scheme val="minor"/>
      </rPr>
      <t>则</t>
    </r>
    <r>
      <rPr>
        <sz val="11"/>
        <color theme="1"/>
        <rFont val="ＭＳ Ｐゴシック"/>
        <family val="3"/>
        <charset val="128"/>
        <scheme val="minor"/>
      </rPr>
      <t>达科技有限公司</t>
    </r>
  </si>
  <si>
    <r>
      <t>黄酒; 天然汽酒; 白酒; 威士忌;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葡萄潘趣酒;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</si>
  <si>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六好客</t>
  </si>
  <si>
    <r>
      <t>果酒（含酒精）; 葡萄酒;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</si>
  <si>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春会醉</t>
  </si>
  <si>
    <r>
      <t>罗</t>
    </r>
    <r>
      <rPr>
        <sz val="11"/>
        <color theme="1"/>
        <rFont val="ＭＳ Ｐゴシック"/>
        <family val="3"/>
        <charset val="128"/>
        <scheme val="minor"/>
      </rPr>
      <t>杰</t>
    </r>
    <r>
      <rPr>
        <sz val="11"/>
        <color theme="1"/>
        <rFont val="ＭＳ Ｐゴシック"/>
        <family val="3"/>
        <charset val="134"/>
        <scheme val="minor"/>
      </rPr>
      <t>琼</t>
    </r>
  </si>
  <si>
    <r>
      <t>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甜酒; 青梅酒; 梅酒;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</si>
  <si>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真心多</t>
    </r>
    <r>
      <rPr>
        <sz val="11"/>
        <color theme="1"/>
        <rFont val="ＭＳ Ｐゴシック"/>
        <family val="3"/>
        <charset val="134"/>
        <scheme val="minor"/>
      </rPr>
      <t>迈</t>
    </r>
  </si>
  <si>
    <r>
      <t>宋</t>
    </r>
    <r>
      <rPr>
        <sz val="11"/>
        <color theme="1"/>
        <rFont val="ＭＳ Ｐゴシック"/>
        <family val="3"/>
        <charset val="134"/>
        <scheme val="minor"/>
      </rPr>
      <t>庆华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</si>
  <si>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高粱酒; 甜酒; 伏特加酒; 果酒（含酒精）; 青稞酒; 烈酒; 米酒</t>
    </r>
  </si>
  <si>
    <t>康雅熊猫</t>
  </si>
  <si>
    <r>
      <t>四川神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堂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</si>
  <si>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</si>
  <si>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浔</t>
    </r>
    <r>
      <rPr>
        <sz val="11"/>
        <color theme="1"/>
        <rFont val="ＭＳ Ｐゴシック"/>
        <family val="3"/>
        <charset val="128"/>
        <scheme val="minor"/>
      </rPr>
      <t>江水</t>
    </r>
  </si>
  <si>
    <t>潘英胡</t>
  </si>
  <si>
    <r>
      <t>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甜酒; 黄酒; 白酒; 高粱酒; 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果酒（含酒精）</t>
    </r>
  </si>
  <si>
    <r>
      <t>老虎</t>
    </r>
    <r>
      <rPr>
        <sz val="11"/>
        <color theme="1"/>
        <rFont val="ＭＳ Ｐゴシック"/>
        <family val="3"/>
        <charset val="134"/>
        <scheme val="minor"/>
      </rPr>
      <t>岗</t>
    </r>
  </si>
  <si>
    <r>
      <t>潍</t>
    </r>
    <r>
      <rPr>
        <sz val="11"/>
        <color theme="1"/>
        <rFont val="ＭＳ Ｐゴシック"/>
        <family val="3"/>
        <charset val="128"/>
        <scheme val="minor"/>
      </rPr>
      <t>坊康芮</t>
    </r>
    <r>
      <rPr>
        <sz val="11"/>
        <color theme="1"/>
        <rFont val="ＭＳ Ｐゴシック"/>
        <family val="3"/>
        <charset val="134"/>
        <scheme val="minor"/>
      </rPr>
      <t>驰</t>
    </r>
    <r>
      <rPr>
        <sz val="11"/>
        <color theme="1"/>
        <rFont val="ＭＳ Ｐゴシック"/>
        <family val="3"/>
        <charset val="128"/>
        <scheme val="minor"/>
      </rPr>
      <t>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器械有限公司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</si>
  <si>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食用酒精; 白酒; 薄荷酒; 果酒（含酒精）; 米酒; 开胃酒; 高粱酒</t>
    </r>
  </si>
  <si>
    <t>北京旭宸科技有限公司</t>
  </si>
  <si>
    <r>
      <t>米酒;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食用酒精;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</si>
  <si>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庞</t>
    </r>
    <r>
      <rPr>
        <sz val="11"/>
        <color theme="1"/>
        <rFont val="ＭＳ Ｐゴシック"/>
        <family val="3"/>
        <charset val="128"/>
        <scheme val="minor"/>
      </rPr>
      <t>泉四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慢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</si>
  <si>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蒸煮提取物（利口酒和烈酒）; 高粱酒;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白干酒（中国白酒）;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</si>
  <si>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志勇</t>
  </si>
  <si>
    <r>
      <t>赵</t>
    </r>
    <r>
      <rPr>
        <sz val="11"/>
        <color theme="1"/>
        <rFont val="ＭＳ Ｐゴシック"/>
        <family val="3"/>
        <charset val="128"/>
        <scheme val="minor"/>
      </rPr>
      <t>敬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</si>
  <si>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米酒; 葡萄酒; 黄酒; 果酒; 伏特加酒; 高粱酒</t>
    </r>
  </si>
  <si>
    <t>滨邮</t>
  </si>
  <si>
    <r>
      <t xml:space="preserve">白酒; 果酒（含酒精）;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</si>
  <si>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根仙九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</si>
  <si>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进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</si>
  <si>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食用酒精;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</t>
    </r>
  </si>
  <si>
    <t>曹夫人</t>
  </si>
  <si>
    <r>
      <t>中方侗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花食品科技有限公司</t>
    </r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</si>
  <si>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白酒</t>
    </r>
  </si>
  <si>
    <t>熹相</t>
  </si>
  <si>
    <r>
      <t>澳</t>
    </r>
    <r>
      <rPr>
        <sz val="11"/>
        <color theme="1"/>
        <rFont val="ＭＳ Ｐゴシック"/>
        <family val="3"/>
        <charset val="134"/>
        <scheme val="minor"/>
      </rPr>
      <t>纽</t>
    </r>
    <r>
      <rPr>
        <sz val="11"/>
        <color theme="1"/>
        <rFont val="ＭＳ Ｐゴシック"/>
        <family val="3"/>
        <charset val="128"/>
        <scheme val="minor"/>
      </rPr>
      <t>生命（厦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</si>
  <si>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威士忌; 黄酒; 葡萄酒; 清酒（日本米酒）; 白葡萄酒;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米酒</t>
    </r>
  </si>
  <si>
    <r>
      <t>邀好客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</si>
  <si>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 xml:space="preserve">果酒（含酒精）; 白酒;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米酒;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</si>
  <si>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惬</t>
    </r>
    <r>
      <rPr>
        <sz val="11"/>
        <color theme="1"/>
        <rFont val="ＭＳ Ｐゴシック"/>
        <family val="3"/>
        <charset val="128"/>
        <scheme val="minor"/>
      </rPr>
      <t>之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</si>
  <si>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</t>
    </r>
  </si>
  <si>
    <r>
      <t>家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好客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</si>
  <si>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米酒; 青稞酒; 果酒（含酒精）;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</t>
    </r>
  </si>
  <si>
    <r>
      <t>世</t>
    </r>
    <r>
      <rPr>
        <sz val="11"/>
        <color theme="1"/>
        <rFont val="ＭＳ Ｐゴシック"/>
        <family val="3"/>
        <charset val="134"/>
        <scheme val="minor"/>
      </rPr>
      <t>纪鹰</t>
    </r>
  </si>
  <si>
    <r>
      <t xml:space="preserve">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青稞酒; 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白酒; 米酒</t>
    </r>
  </si>
  <si>
    <t>NAGRAND HEALTHY LIVING</t>
  </si>
  <si>
    <r>
      <t>全都有（北京）商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</si>
  <si>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黄酒; 葡萄酒; 食用酒精; 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朗姆酒; 伏特加酒; 利口酒</t>
    </r>
  </si>
  <si>
    <t>沉品香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</si>
  <si>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沉香醇木源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</si>
  <si>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威士忌;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茴香酒（利口酒）; 米酒; 青稞酒; 梨酒; 黄酒; 开胃酒; 白酒</t>
    </r>
  </si>
  <si>
    <t>万世人极</t>
  </si>
  <si>
    <t>河南省武小七品牌管理有限公司</t>
  </si>
  <si>
    <r>
      <t xml:space="preserve">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</t>
    </r>
  </si>
  <si>
    <r>
      <t>水</t>
    </r>
    <r>
      <rPr>
        <sz val="11"/>
        <color theme="1"/>
        <rFont val="ＭＳ Ｐゴシック"/>
        <family val="3"/>
        <charset val="134"/>
        <scheme val="minor"/>
      </rPr>
      <t>桥乡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</si>
  <si>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向峰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</si>
  <si>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青稞酒;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杜松子酒;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</si>
  <si>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诚</t>
    </r>
    <r>
      <rPr>
        <sz val="11"/>
        <color theme="1"/>
        <rFont val="ＭＳ Ｐゴシック"/>
        <family val="3"/>
        <charset val="128"/>
        <scheme val="minor"/>
      </rPr>
      <t>美万德福</t>
    </r>
  </si>
  <si>
    <r>
      <t>万德福量</t>
    </r>
    <r>
      <rPr>
        <sz val="11"/>
        <color theme="1"/>
        <rFont val="ＭＳ Ｐゴシック"/>
        <family val="3"/>
        <charset val="134"/>
        <scheme val="minor"/>
      </rPr>
      <t>贩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</si>
  <si>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葡萄酒; 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果酒; 白酒</t>
    </r>
  </si>
  <si>
    <r>
      <t>里敬</t>
    </r>
    <r>
      <rPr>
        <sz val="11"/>
        <color theme="1"/>
        <rFont val="ＭＳ Ｐゴシック"/>
        <family val="3"/>
        <charset val="134"/>
        <scheme val="minor"/>
      </rPr>
      <t>记</t>
    </r>
  </si>
  <si>
    <t>伍宏黎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</si>
  <si>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葡萄酒; 白酒; 果酒（含酒精）; 米酒;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</si>
  <si>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庞</t>
    </r>
    <r>
      <rPr>
        <sz val="11"/>
        <color theme="1"/>
        <rFont val="ＭＳ Ｐゴシック"/>
        <family val="3"/>
        <charset val="128"/>
        <scheme val="minor"/>
      </rPr>
      <t>泉虎泡泉</t>
    </r>
  </si>
  <si>
    <r>
      <t xml:space="preserve">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白干酒（中国白酒）; 葡萄酒; 食用酒精; 高粱酒;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</si>
  <si>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鸳鸯</t>
    </r>
    <r>
      <rPr>
        <sz val="11"/>
        <color theme="1"/>
        <rFont val="ＭＳ Ｐゴシック"/>
        <family val="3"/>
        <charset val="128"/>
        <scheme val="minor"/>
      </rPr>
      <t>坪</t>
    </r>
  </si>
  <si>
    <r>
      <t>通江</t>
    </r>
    <r>
      <rPr>
        <sz val="11"/>
        <color theme="1"/>
        <rFont val="ＭＳ Ｐゴシック"/>
        <family val="3"/>
        <charset val="134"/>
        <scheme val="minor"/>
      </rPr>
      <t>鸳鸯</t>
    </r>
    <r>
      <rPr>
        <sz val="11"/>
        <color theme="1"/>
        <rFont val="ＭＳ Ｐゴシック"/>
        <family val="3"/>
        <charset val="128"/>
        <scheme val="minor"/>
      </rPr>
      <t>坪生</t>
    </r>
    <r>
      <rPr>
        <sz val="11"/>
        <color theme="1"/>
        <rFont val="ＭＳ Ｐゴシック"/>
        <family val="3"/>
        <charset val="134"/>
        <scheme val="minor"/>
      </rPr>
      <t>态农业发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</si>
  <si>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果酒（含酒精）; 葡萄酒; 汽酒; 露酒; 高粱酒;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清酒; 米酒</t>
    </r>
  </si>
  <si>
    <t>云古奇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</si>
  <si>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州奇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</si>
  <si>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葡萄酒; 果酒（含酒精）; 威士忌; 黄酒</t>
    </r>
  </si>
  <si>
    <r>
      <t>聚好客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</si>
  <si>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 xml:space="preserve">白酒; 黄酒; 开胃酒; 米酒; 青稞酒;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</si>
  <si>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盈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好客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</si>
  <si>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开胃酒; 果酒（含酒精）; 白酒; 米酒;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</t>
    </r>
  </si>
  <si>
    <t>咖小咖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</si>
  <si>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甜酒;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清酒（日本米酒）</t>
    </r>
  </si>
  <si>
    <t>匠味臻</t>
  </si>
  <si>
    <r>
      <t>东</t>
    </r>
    <r>
      <rPr>
        <sz val="11"/>
        <color theme="1"/>
        <rFont val="ＭＳ Ｐゴシック"/>
        <family val="3"/>
        <charset val="128"/>
        <scheme val="minor"/>
      </rPr>
      <t>莞市琦鑫商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</si>
  <si>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葡萄酒;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</si>
  <si>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r>
      <t>驰维</t>
    </r>
    <r>
      <rPr>
        <sz val="11"/>
        <color theme="1"/>
        <rFont val="ＭＳ Ｐゴシック"/>
        <family val="3"/>
        <charset val="128"/>
        <scheme val="minor"/>
      </rPr>
      <t>特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</si>
  <si>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少佳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</si>
  <si>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米酒; 蒸煮提取物（利口酒和烈酒）; 白酒</t>
    </r>
  </si>
  <si>
    <t>MAYKERR</t>
  </si>
  <si>
    <r>
      <t>树</t>
    </r>
    <r>
      <rPr>
        <sz val="11"/>
        <color theme="1"/>
        <rFont val="ＭＳ Ｐゴシック"/>
        <family val="3"/>
        <charset val="128"/>
        <scheme val="minor"/>
      </rPr>
      <t>芽生物科技（广州）有限公司</t>
    </r>
  </si>
  <si>
    <r>
      <t>葡萄酒; 黄酒;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</si>
  <si>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曲上富</t>
    </r>
    <r>
      <rPr>
        <sz val="11"/>
        <color theme="1"/>
        <rFont val="ＭＳ Ｐゴシック"/>
        <family val="3"/>
        <charset val="134"/>
        <scheme val="minor"/>
      </rPr>
      <t>贵</t>
    </r>
  </si>
  <si>
    <t>高守峰</t>
  </si>
  <si>
    <r>
      <t>米酒; 果酒（含酒精）; 葡萄酒;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</si>
  <si>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热</t>
    </r>
    <r>
      <rPr>
        <sz val="11"/>
        <color theme="1"/>
        <rFont val="ＭＳ Ｐゴシック"/>
        <family val="3"/>
        <charset val="128"/>
        <scheme val="minor"/>
      </rPr>
      <t>神</t>
    </r>
  </si>
  <si>
    <r>
      <t>徐明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</si>
  <si>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苹果酒;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</si>
  <si>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金台宏基</t>
  </si>
  <si>
    <r>
      <t>保定天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</si>
  <si>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清酒（日本米酒）; 米酒;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</si>
  <si>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r>
      <t>鑫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康蒂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</si>
  <si>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森堡酒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</si>
  <si>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威士忌</t>
    </r>
  </si>
  <si>
    <r>
      <t>珞</t>
    </r>
    <r>
      <rPr>
        <sz val="11"/>
        <color theme="1"/>
        <rFont val="ＭＳ Ｐゴシック"/>
        <family val="3"/>
        <charset val="129"/>
        <scheme val="minor"/>
      </rPr>
      <t>喻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</si>
  <si>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州玉沽商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</si>
  <si>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朗姆酒; 含酒精的气泡水; 酸酒（低等葡萄酒）;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</si>
  <si>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革金</t>
  </si>
  <si>
    <r>
      <t>上海旨禹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</si>
  <si>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威士忌; 天然汽酒; 露酒; 烈酒;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开胃酒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</si>
  <si>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亭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</si>
  <si>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梁平大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白酒有限公司</t>
    </r>
  </si>
  <si>
    <r>
      <t xml:space="preserve">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果酒; 黄酒; 利口酒; 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</t>
    </r>
  </si>
  <si>
    <t>冀玉厚望</t>
  </si>
  <si>
    <r>
      <t>河北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卡</t>
    </r>
    <r>
      <rPr>
        <sz val="11"/>
        <color theme="1"/>
        <rFont val="ＭＳ Ｐゴシック"/>
        <family val="3"/>
        <charset val="134"/>
        <scheme val="minor"/>
      </rPr>
      <t>纤维</t>
    </r>
    <r>
      <rPr>
        <sz val="11"/>
        <color theme="1"/>
        <rFont val="ＭＳ Ｐゴシック"/>
        <family val="3"/>
        <charset val="128"/>
        <scheme val="minor"/>
      </rPr>
      <t>制造有限公司</t>
    </r>
  </si>
  <si>
    <r>
      <t>葡萄酒; 果酒（含酒精）;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含酒精蛋奶酒</t>
    </r>
  </si>
  <si>
    <t>雅禄荷</t>
  </si>
  <si>
    <r>
      <t>内蒙古醉老宁珹酒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</si>
  <si>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青稞酒; 白酒; 果酒; 开胃酒;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黄酒</t>
    </r>
  </si>
  <si>
    <t>悠意</t>
  </si>
  <si>
    <t>江婷婷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</si>
  <si>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葡萄酒; 白酒; 开胃酒; 果酒; 威士忌; 黄酒</t>
    </r>
  </si>
  <si>
    <t>TANLEMEI</t>
  </si>
  <si>
    <r>
      <t>河南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寿之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养生食品有限公司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</si>
  <si>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青稞酒; 葡萄酒; 黄酒; 烈酒; 白酒; 开胃酒</t>
    </r>
  </si>
  <si>
    <t>德隆悦生活</t>
  </si>
  <si>
    <t>黄云珍</t>
  </si>
  <si>
    <r>
      <t xml:space="preserve">米酒; 果酒（含酒精）; 朗姆酒;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青稞酒</t>
    </r>
  </si>
  <si>
    <r>
      <t>今杯</t>
    </r>
    <r>
      <rPr>
        <sz val="11"/>
        <color theme="1"/>
        <rFont val="ＭＳ Ｐゴシック"/>
        <family val="3"/>
        <charset val="134"/>
        <scheme val="minor"/>
      </rPr>
      <t>满</t>
    </r>
  </si>
  <si>
    <t>王桂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</si>
  <si>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</si>
  <si>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卿开</t>
    </r>
    <r>
      <rPr>
        <sz val="11"/>
        <color theme="1"/>
        <rFont val="ＭＳ Ｐゴシック"/>
        <family val="3"/>
        <charset val="129"/>
        <scheme val="minor"/>
      </rPr>
      <t>怀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</si>
  <si>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</si>
  <si>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赴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芳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</si>
  <si>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</si>
  <si>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宴山塘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</si>
  <si>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州虎投</t>
    </r>
    <r>
      <rPr>
        <sz val="11"/>
        <color theme="1"/>
        <rFont val="ＭＳ Ｐゴシック"/>
        <family val="3"/>
        <charset val="134"/>
        <scheme val="minor"/>
      </rPr>
      <t>资产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</si>
  <si>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食用酒精; 清酒（日本米酒）; 利口酒;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</si>
  <si>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欢</t>
    </r>
    <r>
      <rPr>
        <sz val="11"/>
        <color theme="1"/>
        <rFont val="ＭＳ Ｐゴシック"/>
        <family val="3"/>
        <charset val="128"/>
        <scheme val="minor"/>
      </rPr>
      <t>喜</t>
    </r>
    <r>
      <rPr>
        <sz val="11"/>
        <color theme="1"/>
        <rFont val="ＭＳ Ｐゴシック"/>
        <family val="3"/>
        <charset val="134"/>
        <scheme val="minor"/>
      </rPr>
      <t>纸鸢</t>
    </r>
    <r>
      <rPr>
        <sz val="11"/>
        <color theme="1"/>
        <rFont val="ＭＳ Ｐゴシック"/>
        <family val="3"/>
        <charset val="128"/>
        <scheme val="minor"/>
      </rPr>
      <t xml:space="preserve"> MERRY KITE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</si>
  <si>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锋</t>
    </r>
    <r>
      <rPr>
        <sz val="11"/>
        <color theme="1"/>
        <rFont val="ＭＳ Ｐゴシック"/>
        <family val="3"/>
        <charset val="128"/>
        <scheme val="minor"/>
      </rPr>
      <t>芒智造科技有限公司</t>
    </r>
  </si>
  <si>
    <r>
      <t>果酒;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青稞酒;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</si>
  <si>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妍汐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</si>
  <si>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开存</t>
    </r>
  </si>
  <si>
    <r>
      <t>米酒; 白酒; 梅酒;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甜酒; 清酒; 黄酒;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</si>
  <si>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特莱茵(杭州)科技有限公司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</si>
  <si>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不起泡葡萄酒;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起泡白葡萄酒;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</si>
  <si>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种谷山</t>
  </si>
  <si>
    <r>
      <t>李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国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</si>
  <si>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青稞酒;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黄酒;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米酒</t>
    </r>
  </si>
  <si>
    <t>翰章百草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</si>
  <si>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州董程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</si>
  <si>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</si>
  <si>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r>
      <t>承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帝</t>
    </r>
  </si>
  <si>
    <r>
      <t>汽酒; 烈酒;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清酒（日本米酒）; 威士忌; 白酒</t>
    </r>
  </si>
  <si>
    <t>温迪森 GUNTER WINDISCH</t>
  </si>
  <si>
    <r>
      <t>温迪森（上海）酒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</si>
  <si>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餐后酒（利口酒和烈酒）;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食用酒精; 葡萄汽酒;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</si>
  <si>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裕品仕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</si>
  <si>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</t>
    </r>
  </si>
  <si>
    <t>鼎福令</t>
  </si>
  <si>
    <t>陈兰</t>
  </si>
  <si>
    <r>
      <t xml:space="preserve">开胃酒; 烈酒;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白干酒（中国白酒）; 米酒;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高粱酒; 黄酒</t>
    </r>
  </si>
  <si>
    <t>信御行</t>
  </si>
  <si>
    <r>
      <t>深圳市万佳利商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</si>
  <si>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</si>
  <si>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围</t>
    </r>
    <r>
      <rPr>
        <sz val="11"/>
        <color theme="1"/>
        <rFont val="ＭＳ Ｐゴシック"/>
        <family val="3"/>
        <charset val="128"/>
        <scheme val="minor"/>
      </rPr>
      <t>屋女人</t>
    </r>
  </si>
  <si>
    <t>李雄******************</t>
  </si>
  <si>
    <r>
      <t>米酒;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</si>
  <si>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晟泉佳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</si>
  <si>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贾晓</t>
    </r>
    <r>
      <rPr>
        <sz val="11"/>
        <color theme="1"/>
        <rFont val="ＭＳ Ｐゴシック"/>
        <family val="3"/>
        <charset val="128"/>
        <scheme val="minor"/>
      </rPr>
      <t>旭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</si>
  <si>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露酒; 高粱酒;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</si>
  <si>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t>江仙公</t>
  </si>
  <si>
    <r>
      <t>朱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</si>
  <si>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餐后酒（利口酒和烈酒）;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</si>
  <si>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呈德</t>
  </si>
  <si>
    <r>
      <t>郑</t>
    </r>
    <r>
      <rPr>
        <sz val="11"/>
        <color theme="1"/>
        <rFont val="ＭＳ Ｐゴシック"/>
        <family val="3"/>
        <charset val="128"/>
        <scheme val="minor"/>
      </rPr>
      <t>磊磊</t>
    </r>
  </si>
  <si>
    <r>
      <t xml:space="preserve">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威士忌; 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</si>
  <si>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r>
      <t>榆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院</t>
    </r>
  </si>
  <si>
    <t>陶子翰</t>
  </si>
  <si>
    <r>
      <t xml:space="preserve">梅酒; 黄酒; 清酒;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白酒; 米酒; 露酒</t>
    </r>
  </si>
  <si>
    <r>
      <t>彭清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</si>
  <si>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>天津立达成物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</si>
  <si>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青稞酒; 黄酒;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汽酒; 清酒（日本米酒）</t>
    </r>
  </si>
  <si>
    <t>粤旨</t>
  </si>
  <si>
    <r>
      <t>杨</t>
    </r>
    <r>
      <rPr>
        <sz val="11"/>
        <color theme="1"/>
        <rFont val="ＭＳ Ｐゴシック"/>
        <family val="3"/>
        <charset val="128"/>
        <scheme val="minor"/>
      </rPr>
      <t>志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</si>
  <si>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清酒（日本米酒）;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</si>
  <si>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焦陂地</t>
    </r>
    <r>
      <rPr>
        <sz val="11"/>
        <color theme="1"/>
        <rFont val="ＭＳ Ｐゴシック"/>
        <family val="3"/>
        <charset val="134"/>
        <scheme val="minor"/>
      </rPr>
      <t>库</t>
    </r>
  </si>
  <si>
    <r>
      <t>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烈酒;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</si>
  <si>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绿</t>
    </r>
    <r>
      <rPr>
        <sz val="11"/>
        <color theme="1"/>
        <rFont val="ＭＳ Ｐゴシック"/>
        <family val="3"/>
        <charset val="128"/>
        <scheme val="minor"/>
      </rPr>
      <t>蜂</t>
    </r>
    <r>
      <rPr>
        <sz val="11"/>
        <color theme="1"/>
        <rFont val="ＭＳ Ｐゴシック"/>
        <family val="3"/>
        <charset val="134"/>
        <scheme val="minor"/>
      </rPr>
      <t>语</t>
    </r>
  </si>
  <si>
    <r>
      <t>包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岚创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</si>
  <si>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食用酒精; 蜂蜜酒;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</si>
  <si>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鹿康冠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</si>
  <si>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清酒（日本米酒）;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黄酒</t>
    </r>
  </si>
  <si>
    <r>
      <t>玉川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液</t>
    </r>
  </si>
  <si>
    <r>
      <t>中国</t>
    </r>
    <r>
      <rPr>
        <sz val="11"/>
        <color theme="1"/>
        <rFont val="ＭＳ Ｐゴシック"/>
        <family val="3"/>
        <charset val="134"/>
        <scheme val="minor"/>
      </rPr>
      <t>婵</t>
    </r>
    <r>
      <rPr>
        <sz val="11"/>
        <color theme="1"/>
        <rFont val="ＭＳ Ｐゴシック"/>
        <family val="3"/>
        <charset val="128"/>
        <scheme val="minor"/>
      </rPr>
      <t>礼酒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控股有限公司</t>
    </r>
  </si>
  <si>
    <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五加皮酒（中国混合烈酒）; 果酒; 白干酒（中国白酒）</t>
    </r>
  </si>
  <si>
    <t>云港旺家味</t>
  </si>
  <si>
    <r>
      <t xml:space="preserve">葡萄酒; 米酒;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高粱酒;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</si>
  <si>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金韵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彩</t>
    </r>
  </si>
  <si>
    <r>
      <t>浙江悦享醇臻科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</si>
  <si>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甜果酒;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米酒; 白酒; 葡萄酒</t>
    </r>
  </si>
  <si>
    <r>
      <t>好</t>
    </r>
    <r>
      <rPr>
        <sz val="11"/>
        <color theme="1"/>
        <rFont val="ＭＳ Ｐゴシック"/>
        <family val="3"/>
        <charset val="134"/>
        <scheme val="minor"/>
      </rPr>
      <t>酝</t>
    </r>
    <r>
      <rPr>
        <sz val="11"/>
        <color theme="1"/>
        <rFont val="ＭＳ Ｐゴシック"/>
        <family val="3"/>
        <charset val="128"/>
        <scheme val="minor"/>
      </rPr>
      <t>天成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</si>
  <si>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果酒（含酒精）;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</si>
  <si>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引健</t>
  </si>
  <si>
    <r>
      <t xml:space="preserve">威士忌; 清酒（日本米酒）;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</si>
  <si>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斟</t>
    </r>
    <r>
      <rPr>
        <sz val="11"/>
        <color theme="1"/>
        <rFont val="ＭＳ Ｐゴシック"/>
        <family val="3"/>
        <charset val="134"/>
        <scheme val="minor"/>
      </rPr>
      <t>闲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</si>
  <si>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清酒（日本米酒）</t>
    </r>
  </si>
  <si>
    <t>YIKOUBAISUI</t>
  </si>
  <si>
    <r>
      <t>上海中尖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</si>
  <si>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果酒（含酒精）; 葡萄酒; 威士忌; 白酒;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</si>
  <si>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VAST LUCKY</t>
  </si>
  <si>
    <r>
      <t>沏</t>
    </r>
    <r>
      <rPr>
        <sz val="11"/>
        <color theme="1"/>
        <rFont val="ＭＳ Ｐゴシック"/>
        <family val="3"/>
        <charset val="128"/>
        <scheme val="minor"/>
      </rPr>
      <t>杯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（上海）餐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</si>
  <si>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甜酒;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果酒; 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</t>
    </r>
  </si>
  <si>
    <t>晟泉坊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</si>
  <si>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高粱酒;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露酒</t>
    </r>
  </si>
  <si>
    <t>商界少年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</si>
  <si>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商界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新科技集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</si>
  <si>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含酒精的气泡水;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</si>
  <si>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稻明月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</si>
  <si>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清酒（日本米酒）; 果酒（含酒精）</t>
    </r>
  </si>
  <si>
    <t>巍疆</t>
  </si>
  <si>
    <r>
      <t>新疆拙道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</si>
  <si>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开胃酒;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</si>
  <si>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FIDO FIORE</t>
  </si>
  <si>
    <r>
      <t>上海</t>
    </r>
    <r>
      <rPr>
        <sz val="11"/>
        <color theme="1"/>
        <rFont val="ＭＳ Ｐゴシック"/>
        <family val="3"/>
        <charset val="134"/>
        <scheme val="minor"/>
      </rPr>
      <t>圆</t>
    </r>
    <r>
      <rPr>
        <sz val="11"/>
        <color theme="1"/>
        <rFont val="ＭＳ Ｐゴシック"/>
        <family val="3"/>
        <charset val="128"/>
        <scheme val="minor"/>
      </rPr>
      <t>容企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</si>
  <si>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葡萄酒</t>
    </r>
  </si>
  <si>
    <r>
      <t>蕊</t>
    </r>
    <r>
      <rPr>
        <sz val="11"/>
        <color theme="1"/>
        <rFont val="ＭＳ Ｐゴシック"/>
        <family val="3"/>
        <charset val="134"/>
        <scheme val="minor"/>
      </rPr>
      <t>实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</si>
  <si>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南佳昌参茸花茶叶有限公司</t>
    </r>
  </si>
  <si>
    <r>
      <t xml:space="preserve">米酒; 开胃酒; 葡萄酒; 佐餐酒; 白酒; 清酒（日本米酒）; 青稞酒;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</si>
  <si>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裕酩关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</si>
  <si>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</t>
    </r>
  </si>
  <si>
    <r>
      <t>初</t>
    </r>
    <r>
      <rPr>
        <sz val="11"/>
        <color theme="1"/>
        <rFont val="ＭＳ Ｐゴシック"/>
        <family val="3"/>
        <charset val="134"/>
        <scheme val="minor"/>
      </rPr>
      <t>识</t>
    </r>
    <r>
      <rPr>
        <sz val="11"/>
        <color theme="1"/>
        <rFont val="ＭＳ Ｐゴシック"/>
        <family val="3"/>
        <charset val="128"/>
        <scheme val="minor"/>
      </rPr>
      <t>念</t>
    </r>
  </si>
  <si>
    <r>
      <t>卜清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</si>
  <si>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</t>
    </r>
  </si>
  <si>
    <t>酒城醉侠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</si>
  <si>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渐见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</si>
  <si>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苹果酒;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黄酒</t>
    </r>
  </si>
  <si>
    <t>醇源巷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</si>
  <si>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葡萄酒; 米酒; 威士忌;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</si>
  <si>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GENTRY 君都</t>
  </si>
  <si>
    <r>
      <t>上海君都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</si>
  <si>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薄荷酒; 葡萄酒; 白酒; 果酒（含酒精）; 开胃酒;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</si>
  <si>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兰赋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</si>
  <si>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东顺</t>
    </r>
    <r>
      <rPr>
        <sz val="11"/>
        <color theme="1"/>
        <rFont val="ＭＳ Ｐゴシック"/>
        <family val="3"/>
        <charset val="128"/>
        <scheme val="minor"/>
      </rPr>
      <t>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</si>
  <si>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食用酒精;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葡萄酒</t>
    </r>
  </si>
  <si>
    <r>
      <t>迦富</t>
    </r>
    <r>
      <rPr>
        <sz val="11"/>
        <color theme="1"/>
        <rFont val="ＭＳ Ｐゴシック"/>
        <family val="3"/>
        <charset val="134"/>
        <scheme val="minor"/>
      </rPr>
      <t>荟</t>
    </r>
    <r>
      <rPr>
        <sz val="11"/>
        <color theme="1"/>
        <rFont val="ＭＳ Ｐゴシック"/>
        <family val="3"/>
        <charset val="128"/>
        <scheme val="minor"/>
      </rPr>
      <t>源</t>
    </r>
  </si>
  <si>
    <r>
      <t>王俊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</si>
  <si>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威士忌; 葡萄酒;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青稞酒; 黄酒; 果酒（含酒精）</t>
    </r>
  </si>
  <si>
    <r>
      <t>黑流</t>
    </r>
    <r>
      <rPr>
        <sz val="11"/>
        <color theme="1"/>
        <rFont val="ＭＳ Ｐゴシック"/>
        <family val="3"/>
        <charset val="134"/>
        <scheme val="minor"/>
      </rPr>
      <t>兽</t>
    </r>
  </si>
  <si>
    <r>
      <t>黄山水工茶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</si>
  <si>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</si>
  <si>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酣朴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</si>
  <si>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州酣朴酒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</si>
  <si>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葡萄酒; 米酒;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</si>
  <si>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拙良造</t>
  </si>
  <si>
    <r>
      <t>杭州余杭区</t>
    </r>
    <r>
      <rPr>
        <sz val="11"/>
        <color theme="1"/>
        <rFont val="ＭＳ Ｐゴシック"/>
        <family val="3"/>
        <charset val="134"/>
        <scheme val="minor"/>
      </rPr>
      <t>鸬鸟镇</t>
    </r>
    <r>
      <rPr>
        <sz val="11"/>
        <color theme="1"/>
        <rFont val="ＭＳ Ｐゴシック"/>
        <family val="3"/>
        <charset val="128"/>
        <scheme val="minor"/>
      </rPr>
      <t>野</t>
    </r>
    <r>
      <rPr>
        <sz val="11"/>
        <color theme="1"/>
        <rFont val="ＭＳ Ｐゴシック"/>
        <family val="3"/>
        <charset val="134"/>
        <scheme val="minor"/>
      </rPr>
      <t>酿酿</t>
    </r>
    <r>
      <rPr>
        <sz val="11"/>
        <color theme="1"/>
        <rFont val="ＭＳ Ｐゴシック"/>
        <family val="3"/>
        <charset val="128"/>
        <scheme val="minor"/>
      </rPr>
      <t>酒坊(个体工商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</si>
  <si>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苹果酒; 梨酒; 清酒; 黄酒; 餐后酒（利口酒和烈酒）; 葡萄酒; 白酒</t>
    </r>
  </si>
  <si>
    <t>李春江</t>
  </si>
  <si>
    <r>
      <t>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白酒</t>
    </r>
  </si>
  <si>
    <r>
      <t>黔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天</t>
    </r>
  </si>
  <si>
    <r>
      <t>闵</t>
    </r>
    <r>
      <rPr>
        <sz val="11"/>
        <color theme="1"/>
        <rFont val="ＭＳ Ｐゴシック"/>
        <family val="3"/>
        <charset val="128"/>
        <scheme val="minor"/>
      </rPr>
      <t>自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</si>
  <si>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黄酒; 开胃酒;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清酒（日本米酒）; 白酒</t>
    </r>
  </si>
  <si>
    <t>御无双福</t>
  </si>
  <si>
    <r>
      <t>亳州市皓海文化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</si>
  <si>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米酒; 威士忌; 果酒（含酒精）;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青稞酒; 黄酒</t>
    </r>
  </si>
  <si>
    <r>
      <t>滇</t>
    </r>
    <r>
      <rPr>
        <sz val="11"/>
        <color theme="1"/>
        <rFont val="ＭＳ Ｐゴシック"/>
        <family val="3"/>
        <charset val="134"/>
        <scheme val="minor"/>
      </rPr>
      <t>鸿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</si>
  <si>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召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</si>
  <si>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</si>
  <si>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归</t>
    </r>
    <r>
      <rPr>
        <sz val="11"/>
        <color theme="1"/>
        <rFont val="ＭＳ Ｐゴシック"/>
        <family val="3"/>
        <charset val="128"/>
        <scheme val="minor"/>
      </rPr>
      <t>樽</t>
    </r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</si>
  <si>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市楼</t>
    </r>
    <r>
      <rPr>
        <sz val="11"/>
        <color theme="1"/>
        <rFont val="ＭＳ Ｐゴシック"/>
        <family val="3"/>
        <charset val="134"/>
        <scheme val="minor"/>
      </rPr>
      <t>阁</t>
    </r>
    <r>
      <rPr>
        <sz val="11"/>
        <color theme="1"/>
        <rFont val="ＭＳ Ｐゴシック"/>
        <family val="3"/>
        <charset val="128"/>
        <scheme val="minor"/>
      </rPr>
      <t>听雨酒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</si>
  <si>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利口酒; 葡萄酒; 黄酒; 汽酒; 青稞酒;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</si>
  <si>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浙江藏美食品科技有限公司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</si>
  <si>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</t>
    </r>
  </si>
  <si>
    <t>逐梦燕园</t>
  </si>
  <si>
    <r>
      <t>新疆西域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信息科技有限公司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</si>
  <si>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露酒;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白酒</t>
    </r>
  </si>
  <si>
    <t>九窖花</t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</si>
  <si>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米酒; 果酒（含酒精）;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</si>
  <si>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港之梦</t>
  </si>
  <si>
    <r>
      <t>盐</t>
    </r>
    <r>
      <rPr>
        <sz val="11"/>
        <color theme="1"/>
        <rFont val="ＭＳ Ｐゴシック"/>
        <family val="3"/>
        <charset val="128"/>
        <scheme val="minor"/>
      </rPr>
      <t>城市紫</t>
    </r>
    <r>
      <rPr>
        <sz val="11"/>
        <color theme="1"/>
        <rFont val="ＭＳ Ｐゴシック"/>
        <family val="3"/>
        <charset val="134"/>
        <scheme val="minor"/>
      </rPr>
      <t>屿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</si>
  <si>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白酒;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</si>
  <si>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金丰格</t>
  </si>
  <si>
    <r>
      <t>广州市佰禾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</si>
  <si>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t>朱潭</t>
  </si>
  <si>
    <r>
      <t xml:space="preserve">果酒;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</si>
  <si>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珺璟</t>
    </r>
    <r>
      <rPr>
        <sz val="11"/>
        <color theme="1"/>
        <rFont val="ＭＳ Ｐゴシック"/>
        <family val="3"/>
        <charset val="134"/>
        <scheme val="minor"/>
      </rPr>
      <t>晔</t>
    </r>
  </si>
  <si>
    <r>
      <t>沁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（上海）信息技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</si>
  <si>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葡萄酒;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</si>
  <si>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踏漠歌</t>
  </si>
  <si>
    <r>
      <t>上高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精品名烟名酒土特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</si>
  <si>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白酒; 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</si>
  <si>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r>
      <t>醉</t>
    </r>
    <r>
      <rPr>
        <sz val="11"/>
        <color theme="1"/>
        <rFont val="ＭＳ Ｐゴシック"/>
        <family val="3"/>
        <charset val="134"/>
        <scheme val="minor"/>
      </rPr>
      <t>绅</t>
    </r>
    <r>
      <rPr>
        <sz val="11"/>
        <color theme="1"/>
        <rFont val="ＭＳ Ｐゴシック"/>
        <family val="3"/>
        <charset val="128"/>
        <scheme val="minor"/>
      </rPr>
      <t>克</t>
    </r>
  </si>
  <si>
    <r>
      <t>徐州正达双</t>
    </r>
    <r>
      <rPr>
        <sz val="11"/>
        <color theme="1"/>
        <rFont val="ＭＳ Ｐゴシック"/>
        <family val="3"/>
        <charset val="134"/>
        <scheme val="minor"/>
      </rPr>
      <t>龙进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</si>
  <si>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甜果酒; 米酒; 青稞酒; 白酒; 黄酒; 果酒（含酒精）;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汽酒; 开胃酒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</si>
  <si>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起</t>
    </r>
    <r>
      <rPr>
        <sz val="11"/>
        <color theme="1"/>
        <rFont val="ＭＳ Ｐゴシック"/>
        <family val="3"/>
        <charset val="134"/>
        <scheme val="minor"/>
      </rPr>
      <t>沧澜</t>
    </r>
  </si>
  <si>
    <t>黄煜初</t>
  </si>
  <si>
    <r>
      <t>食用酒精;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米酒;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</si>
  <si>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匠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</si>
  <si>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白干酒（中国白酒）; 白酒; 高粱酒; 开胃酒;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烈酒; 米酒; 黄酒</t>
    </r>
  </si>
  <si>
    <t>鼎侠</t>
  </si>
  <si>
    <r>
      <t>贵</t>
    </r>
    <r>
      <rPr>
        <sz val="11"/>
        <color theme="1"/>
        <rFont val="ＭＳ Ｐゴシック"/>
        <family val="3"/>
        <charset val="128"/>
        <scheme val="minor"/>
      </rPr>
      <t>阳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高</t>
    </r>
    <r>
      <rPr>
        <sz val="11"/>
        <color theme="1"/>
        <rFont val="ＭＳ Ｐゴシック"/>
        <family val="3"/>
        <charset val="134"/>
        <scheme val="minor"/>
      </rPr>
      <t>辉</t>
    </r>
    <r>
      <rPr>
        <sz val="11"/>
        <color theme="1"/>
        <rFont val="ＭＳ Ｐゴシック"/>
        <family val="3"/>
        <charset val="128"/>
        <scheme val="minor"/>
      </rPr>
      <t>物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</si>
  <si>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清酒（日本米酒）; 黄酒; 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</t>
    </r>
  </si>
  <si>
    <t>六嗞味</t>
  </si>
  <si>
    <t>杭州崇奈品牌策划有限公司</t>
  </si>
  <si>
    <r>
      <t>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白葡萄酒; 葡萄酒; 白酒;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利口酒;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加烈葡萄酒;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</si>
  <si>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家阿叔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</si>
  <si>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甜酒; 米酒; 黄酒; 食用酒精;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</si>
  <si>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省湖南衡阳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商会</t>
    </r>
  </si>
  <si>
    <r>
      <t>果酒（含酒精）; 伏特加酒;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清酒; 葡萄酒</t>
    </r>
  </si>
  <si>
    <r>
      <t>闻</t>
    </r>
    <r>
      <rPr>
        <sz val="11"/>
        <color theme="1"/>
        <rFont val="ＭＳ Ｐゴシック"/>
        <family val="3"/>
        <charset val="128"/>
        <scheme val="minor"/>
      </rPr>
      <t>榜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</si>
  <si>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果酒; 白酒; 葡萄酒; 开胃酒</t>
    </r>
  </si>
  <si>
    <r>
      <t>昔情</t>
    </r>
    <r>
      <rPr>
        <sz val="11"/>
        <color theme="1"/>
        <rFont val="ＭＳ Ｐゴシック"/>
        <family val="3"/>
        <charset val="134"/>
        <scheme val="minor"/>
      </rPr>
      <t>难</t>
    </r>
    <r>
      <rPr>
        <sz val="11"/>
        <color theme="1"/>
        <rFont val="ＭＳ Ｐゴシック"/>
        <family val="3"/>
        <charset val="128"/>
        <scheme val="minor"/>
      </rPr>
      <t>追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</si>
  <si>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</si>
  <si>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梨酒; 米酒;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</si>
  <si>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阁凤凤</t>
    </r>
    <r>
      <rPr>
        <sz val="11"/>
        <color theme="1"/>
        <rFont val="ＭＳ Ｐゴシック"/>
        <family val="3"/>
        <charset val="128"/>
        <scheme val="minor"/>
      </rPr>
      <t>牌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</si>
  <si>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勇斌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</si>
  <si>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葡萄酒;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</si>
  <si>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曼曼</t>
    </r>
    <r>
      <rPr>
        <sz val="11"/>
        <color theme="1"/>
        <rFont val="ＭＳ Ｐゴシック"/>
        <family val="3"/>
        <charset val="134"/>
        <scheme val="minor"/>
      </rPr>
      <t>说</t>
    </r>
  </si>
  <si>
    <r>
      <t>曼</t>
    </r>
    <r>
      <rPr>
        <sz val="11"/>
        <color theme="1"/>
        <rFont val="ＭＳ Ｐゴシック"/>
        <family val="3"/>
        <charset val="134"/>
        <scheme val="minor"/>
      </rPr>
      <t>兹</t>
    </r>
    <r>
      <rPr>
        <sz val="11"/>
        <color theme="1"/>
        <rFont val="ＭＳ Ｐゴシック"/>
        <family val="3"/>
        <charset val="128"/>
        <scheme val="minor"/>
      </rPr>
      <t>食品科技（无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</si>
  <si>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白酒</t>
    </r>
  </si>
  <si>
    <r>
      <t>嘉懿</t>
    </r>
    <r>
      <rPr>
        <sz val="11"/>
        <color theme="1"/>
        <rFont val="ＭＳ Ｐゴシック"/>
        <family val="3"/>
        <charset val="134"/>
        <scheme val="minor"/>
      </rPr>
      <t>泽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</si>
  <si>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</si>
  <si>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裕品盛世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</si>
  <si>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果酒（含酒精）; 葡萄酒; 清酒（日本米酒）</t>
    </r>
  </si>
  <si>
    <t>曲小恬</t>
  </si>
  <si>
    <t>王仕</t>
  </si>
  <si>
    <r>
      <t>食用酒精; 果酒（含酒精）;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</si>
  <si>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咁多力</t>
  </si>
  <si>
    <r>
      <t>汽酒; 开胃酒; 果酒（含酒精）; 甜果酒;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白酒; 青稞酒;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</si>
  <si>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怡</t>
    </r>
    <r>
      <rPr>
        <sz val="11"/>
        <color theme="1"/>
        <rFont val="ＭＳ Ｐゴシック"/>
        <family val="3"/>
        <charset val="134"/>
        <scheme val="minor"/>
      </rPr>
      <t>录</t>
    </r>
    <r>
      <rPr>
        <sz val="11"/>
        <color theme="1"/>
        <rFont val="ＭＳ Ｐゴシック"/>
        <family val="3"/>
        <charset val="128"/>
        <scheme val="minor"/>
      </rPr>
      <t>河</t>
    </r>
  </si>
  <si>
    <r>
      <t>内蒙古喜</t>
    </r>
    <r>
      <rPr>
        <sz val="11"/>
        <color theme="1"/>
        <rFont val="ＭＳ Ｐゴシック"/>
        <family val="3"/>
        <charset val="134"/>
        <scheme val="minor"/>
      </rPr>
      <t>鸿缘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</si>
  <si>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开胃酒; 葡萄酒;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</si>
  <si>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四禧羊</t>
  </si>
  <si>
    <r>
      <t>河南</t>
    </r>
    <r>
      <rPr>
        <sz val="11"/>
        <color theme="1"/>
        <rFont val="ＭＳ Ｐゴシック"/>
        <family val="3"/>
        <charset val="134"/>
        <scheme val="minor"/>
      </rPr>
      <t>贝爱</t>
    </r>
    <r>
      <rPr>
        <sz val="11"/>
        <color theme="1"/>
        <rFont val="ＭＳ Ｐゴシック"/>
        <family val="3"/>
        <charset val="128"/>
        <scheme val="minor"/>
      </rPr>
      <t>佳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</si>
  <si>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开胃酒; 葡萄酒; 威士忌;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</si>
  <si>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GFD</t>
  </si>
  <si>
    <r>
      <t>许</t>
    </r>
    <r>
      <rPr>
        <sz val="11"/>
        <color theme="1"/>
        <rFont val="ＭＳ Ｐゴシック"/>
        <family val="3"/>
        <charset val="129"/>
        <scheme val="minor"/>
      </rPr>
      <t>喻</t>
    </r>
    <r>
      <rPr>
        <sz val="11"/>
        <color theme="1"/>
        <rFont val="ＭＳ Ｐゴシック"/>
        <family val="3"/>
        <charset val="128"/>
        <scheme val="minor"/>
      </rPr>
      <t>婷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</si>
  <si>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</si>
  <si>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r>
      <t>芾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</si>
  <si>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开胃酒;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薄荷酒; 果酒（含酒精）; 葡萄酒</t>
    </r>
  </si>
  <si>
    <t>喜田·酉食</t>
  </si>
  <si>
    <r>
      <t>广州天河喜田酉食文化工作室（个体工商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</si>
  <si>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清酒（日本米酒）;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</si>
  <si>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SUBE</t>
  </si>
  <si>
    <r>
      <t>物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天宝（上海）商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</si>
  <si>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</si>
  <si>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r>
      <t>传</t>
    </r>
    <r>
      <rPr>
        <sz val="11"/>
        <color theme="1"/>
        <rFont val="ＭＳ Ｐゴシック"/>
        <family val="3"/>
        <charset val="128"/>
        <scheme val="minor"/>
      </rPr>
      <t>悟</t>
    </r>
  </si>
  <si>
    <t>张帅鹏</t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</si>
  <si>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威士忌;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米酒; 清酒</t>
    </r>
  </si>
  <si>
    <t>秦古情</t>
  </si>
  <si>
    <r>
      <t>弋江区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勇百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店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</si>
  <si>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食用酒精; 葡萄酒;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</si>
  <si>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蒙泉尚佳</t>
  </si>
  <si>
    <r>
      <t>张</t>
    </r>
    <r>
      <rPr>
        <sz val="11"/>
        <color theme="1"/>
        <rFont val="ＭＳ Ｐゴシック"/>
        <family val="3"/>
        <charset val="128"/>
        <scheme val="minor"/>
      </rPr>
      <t>清清</t>
    </r>
  </si>
  <si>
    <r>
      <t>白酒; 清酒; 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烈酒; 果酒（含酒精）; 利口酒; 黄酒; 威士忌; 开胃酒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</si>
  <si>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谭</t>
    </r>
    <r>
      <rPr>
        <sz val="11"/>
        <color theme="1"/>
        <rFont val="ＭＳ Ｐゴシック"/>
        <family val="3"/>
        <charset val="128"/>
        <scheme val="minor"/>
      </rPr>
      <t>玖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</si>
  <si>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白酒; 白干酒（中国白酒）; 烈酒</t>
    </r>
  </si>
  <si>
    <r>
      <t>优</t>
    </r>
    <r>
      <rPr>
        <sz val="11"/>
        <color theme="1"/>
        <rFont val="ＭＳ Ｐゴシック"/>
        <family val="3"/>
        <charset val="128"/>
        <scheme val="minor"/>
      </rPr>
      <t>美地云酒庄</t>
    </r>
  </si>
  <si>
    <r>
      <t>无</t>
    </r>
    <r>
      <rPr>
        <sz val="11"/>
        <color theme="1"/>
        <rFont val="ＭＳ Ｐゴシック"/>
        <family val="3"/>
        <charset val="134"/>
        <scheme val="minor"/>
      </rPr>
      <t>锡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美地物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网科技有限公司</t>
    </r>
  </si>
  <si>
    <r>
      <t xml:space="preserve">白葡萄酒; 烈酒; 高粱酒;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黄酒; 白酒; 果酒; 米酒; 清酒</t>
    </r>
  </si>
  <si>
    <t>永康街</t>
  </si>
  <si>
    <t>刘欣</t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</si>
  <si>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白干酒（中国白酒）; 威士忌; 白酒; 黄酒; 草莓酒; 蜂蜜酒</t>
    </r>
  </si>
  <si>
    <r>
      <t>干露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峰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思</t>
    </r>
  </si>
  <si>
    <r>
      <t>维纳</t>
    </r>
    <r>
      <rPr>
        <sz val="11"/>
        <color theme="1"/>
        <rFont val="ＭＳ Ｐゴシック"/>
        <family val="3"/>
        <charset val="128"/>
        <scheme val="minor"/>
      </rPr>
      <t>康佳阿拖拉公司</t>
    </r>
  </si>
  <si>
    <r>
      <t xml:space="preserve">起泡葡萄酒; 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制好的葡萄酒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果酒（含酒精）; 葡萄酒</t>
    </r>
  </si>
  <si>
    <r>
      <t>醉前</t>
    </r>
    <r>
      <rPr>
        <sz val="11"/>
        <color theme="1"/>
        <rFont val="ＭＳ Ｐゴシック"/>
        <family val="3"/>
        <charset val="134"/>
        <scheme val="minor"/>
      </rPr>
      <t>铭</t>
    </r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</si>
  <si>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市醉韵酒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</si>
  <si>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清酒（日本米酒）;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</si>
  <si>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衍行</t>
  </si>
  <si>
    <t>白利群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</si>
  <si>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</si>
  <si>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宾见</t>
  </si>
  <si>
    <r>
      <t>深圳市心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品包装有限公司</t>
    </r>
  </si>
  <si>
    <r>
      <t>梅酒; 高粱酒; 白葡萄酒;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葡萄酒; 米酒; 果酒（含酒精）;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</si>
  <si>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SUBESUBE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</si>
  <si>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</si>
  <si>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酒世凰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</si>
  <si>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</si>
  <si>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帝粱辰</t>
  </si>
  <si>
    <r>
      <t>武穴市峰光宁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</si>
  <si>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烈酒; 威士忌; 果酒</t>
    </r>
  </si>
  <si>
    <r>
      <t>鹤员</t>
    </r>
    <r>
      <rPr>
        <sz val="11"/>
        <color theme="1"/>
        <rFont val="ＭＳ Ｐゴシック"/>
        <family val="3"/>
        <charset val="128"/>
        <scheme val="minor"/>
      </rPr>
      <t>外</t>
    </r>
  </si>
  <si>
    <r>
      <t>钱</t>
    </r>
    <r>
      <rPr>
        <sz val="11"/>
        <color theme="1"/>
        <rFont val="ＭＳ Ｐゴシック"/>
        <family val="3"/>
        <charset val="128"/>
        <scheme val="minor"/>
      </rPr>
      <t>雅芬</t>
    </r>
  </si>
  <si>
    <r>
      <t>清酒;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</t>
    </r>
  </si>
  <si>
    <t>明司川</t>
  </si>
  <si>
    <r>
      <t>轩</t>
    </r>
    <r>
      <rPr>
        <sz val="11"/>
        <color theme="1"/>
        <rFont val="ＭＳ Ｐゴシック"/>
        <family val="3"/>
        <charset val="128"/>
        <scheme val="minor"/>
      </rPr>
      <t>昕明（上海）品牌管理有限公司</t>
    </r>
  </si>
  <si>
    <r>
      <t xml:space="preserve">开胃酒; 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</si>
  <si>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凰酩将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</si>
  <si>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</si>
  <si>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大运</t>
    </r>
    <r>
      <rPr>
        <sz val="11"/>
        <color theme="1"/>
        <rFont val="ＭＳ Ｐゴシック"/>
        <family val="3"/>
        <charset val="134"/>
        <scheme val="minor"/>
      </rPr>
      <t>赐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</si>
  <si>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</si>
  <si>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畅</t>
    </r>
    <r>
      <rPr>
        <sz val="11"/>
        <color theme="1"/>
        <rFont val="ＭＳ Ｐゴシック"/>
        <family val="3"/>
        <charset val="128"/>
        <scheme val="minor"/>
      </rPr>
      <t>培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严选</t>
    </r>
  </si>
  <si>
    <r>
      <t>深圳市通</t>
    </r>
    <r>
      <rPr>
        <sz val="11"/>
        <color theme="1"/>
        <rFont val="ＭＳ Ｐゴシック"/>
        <family val="3"/>
        <charset val="134"/>
        <scheme val="minor"/>
      </rPr>
      <t>畅</t>
    </r>
    <r>
      <rPr>
        <sz val="11"/>
        <color theme="1"/>
        <rFont val="ＭＳ Ｐゴシック"/>
        <family val="3"/>
        <charset val="128"/>
        <scheme val="minor"/>
      </rPr>
      <t>美食品有限公司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</si>
  <si>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麦芽威士忌; 伏特加酒; 干型苹果酒</t>
    </r>
  </si>
  <si>
    <r>
      <t>金运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彩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</si>
  <si>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甜果酒;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</si>
  <si>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广州喝喝洛喝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</si>
  <si>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开胃酒; 清酒;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</si>
  <si>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逸翁品知</t>
  </si>
  <si>
    <r>
      <t>四川天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地酒商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</si>
  <si>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葡萄酒; 伏特加酒;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</si>
  <si>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t>粱有余</t>
  </si>
  <si>
    <t>崔桂平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</si>
  <si>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</si>
  <si>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北京沐景装</t>
    </r>
    <r>
      <rPr>
        <sz val="11"/>
        <color theme="1"/>
        <rFont val="ＭＳ Ｐゴシック"/>
        <family val="3"/>
        <charset val="134"/>
        <scheme val="minor"/>
      </rPr>
      <t>饰设计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</si>
  <si>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食用酒精;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露酒;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</si>
  <si>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聚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汇</t>
    </r>
  </si>
  <si>
    <r>
      <t>吉林省聚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汇电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</si>
  <si>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</si>
  <si>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拾山拾海</t>
  </si>
  <si>
    <r>
      <t>余姚市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小妹食品有限公司</t>
    </r>
  </si>
  <si>
    <r>
      <t xml:space="preserve">青梅酒;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清酒;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</si>
  <si>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t>波比特</t>
  </si>
  <si>
    <r>
      <t>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</si>
  <si>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ROSEFULL 露</t>
    </r>
    <r>
      <rPr>
        <sz val="11"/>
        <color theme="1"/>
        <rFont val="ＭＳ Ｐゴシック"/>
        <family val="3"/>
        <charset val="134"/>
        <scheme val="minor"/>
      </rPr>
      <t>丝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</si>
  <si>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云南</t>
    </r>
    <r>
      <rPr>
        <sz val="11"/>
        <color theme="1"/>
        <rFont val="ＭＳ Ｐゴシック"/>
        <family val="3"/>
        <charset val="134"/>
        <scheme val="minor"/>
      </rPr>
      <t>腾</t>
    </r>
    <r>
      <rPr>
        <sz val="11"/>
        <color theme="1"/>
        <rFont val="ＭＳ Ｐゴシック"/>
        <family val="3"/>
        <charset val="128"/>
        <scheme val="minor"/>
      </rPr>
      <t>冲露</t>
    </r>
    <r>
      <rPr>
        <sz val="11"/>
        <color theme="1"/>
        <rFont val="ＭＳ Ｐゴシック"/>
        <family val="3"/>
        <charset val="134"/>
        <scheme val="minor"/>
      </rPr>
      <t>丝</t>
    </r>
    <r>
      <rPr>
        <sz val="11"/>
        <color theme="1"/>
        <rFont val="ＭＳ Ｐゴシック"/>
        <family val="3"/>
        <charset val="128"/>
        <scheme val="minor"/>
      </rPr>
      <t>福生物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</si>
  <si>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威士忌; 苦味酒;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含酒精的气泡水;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</si>
  <si>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山立</t>
    </r>
    <r>
      <rPr>
        <sz val="11"/>
        <color theme="1"/>
        <rFont val="ＭＳ Ｐゴシック"/>
        <family val="3"/>
        <charset val="134"/>
        <scheme val="minor"/>
      </rPr>
      <t>鹰</t>
    </r>
  </si>
  <si>
    <r>
      <t>曹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梅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</si>
  <si>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葡萄酒; 果酒（含酒精）; 伏特加酒; 朗姆酒; 烈酒; 威士忌; 青稞酒</t>
    </r>
  </si>
  <si>
    <t>禾响宿</t>
  </si>
  <si>
    <t>宿延宝******************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</si>
  <si>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</si>
  <si>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JASONTATU</t>
  </si>
  <si>
    <r>
      <t>潍</t>
    </r>
    <r>
      <rPr>
        <sz val="11"/>
        <color theme="1"/>
        <rFont val="ＭＳ Ｐゴシック"/>
        <family val="3"/>
        <charset val="128"/>
        <scheme val="minor"/>
      </rPr>
      <t>坊米悦美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</si>
  <si>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 xml:space="preserve">葡萄酒; 伏特加酒; 杜松子酒; 利口酒; 清酒（日本米酒）;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</t>
    </r>
  </si>
  <si>
    <t>五和美美</t>
  </si>
  <si>
    <r>
      <t>山西振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五和医养堂股份有限公司</t>
    </r>
  </si>
  <si>
    <r>
      <t>开胃酒;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</si>
  <si>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泉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</si>
  <si>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秦皇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金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</si>
  <si>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高粱酒; 清酒</t>
    </r>
  </si>
  <si>
    <t>晋小度</t>
  </si>
  <si>
    <r>
      <t>陈</t>
    </r>
    <r>
      <rPr>
        <sz val="11"/>
        <color theme="1"/>
        <rFont val="ＭＳ Ｐゴシック"/>
        <family val="3"/>
        <charset val="128"/>
        <scheme val="minor"/>
      </rPr>
      <t>重阳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</si>
  <si>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黄酒</t>
    </r>
  </si>
  <si>
    <t>迪奥滕</t>
  </si>
  <si>
    <t>四川川酒股份有限公司</t>
  </si>
  <si>
    <r>
      <t xml:space="preserve">米酒; 清酒; 白酒; 威士忌;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烈酒; 开胃酒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</si>
  <si>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洋梦 多</t>
    </r>
    <r>
      <rPr>
        <sz val="11"/>
        <color theme="1"/>
        <rFont val="ＭＳ Ｐゴシック"/>
        <family val="3"/>
        <charset val="134"/>
        <scheme val="minor"/>
      </rPr>
      <t>举</t>
    </r>
    <r>
      <rPr>
        <sz val="11"/>
        <color theme="1"/>
        <rFont val="ＭＳ Ｐゴシック"/>
        <family val="3"/>
        <charset val="128"/>
        <scheme val="minor"/>
      </rPr>
      <t>杯少</t>
    </r>
    <r>
      <rPr>
        <sz val="11"/>
        <color theme="1"/>
        <rFont val="ＭＳ Ｐゴシック"/>
        <family val="3"/>
        <charset val="134"/>
        <scheme val="minor"/>
      </rPr>
      <t>皱</t>
    </r>
    <r>
      <rPr>
        <sz val="11"/>
        <color theme="1"/>
        <rFont val="ＭＳ Ｐゴシック"/>
        <family val="3"/>
        <charset val="128"/>
        <scheme val="minor"/>
      </rPr>
      <t>眉</t>
    </r>
  </si>
  <si>
    <r>
      <t>宿迁市洋河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三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</si>
  <si>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苹果酒;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食用酒精; 黄酒</t>
    </r>
  </si>
  <si>
    <t>海美仕</t>
  </si>
  <si>
    <r>
      <t>万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青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（北京）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境科技有限公司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</si>
  <si>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用烈酒;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烈酒; 甜酒;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草本型利口酒;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苦味酒;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白酒; 含酒精蛋奶酒;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</t>
    </r>
  </si>
  <si>
    <r>
      <t>文王</t>
    </r>
    <r>
      <rPr>
        <sz val="11"/>
        <color theme="1"/>
        <rFont val="ＭＳ Ｐゴシック"/>
        <family val="3"/>
        <charset val="134"/>
        <scheme val="minor"/>
      </rPr>
      <t>贡</t>
    </r>
    <r>
      <rPr>
        <sz val="11"/>
        <color theme="1"/>
        <rFont val="ＭＳ Ｐゴシック"/>
        <family val="3"/>
        <charset val="128"/>
        <scheme val="minor"/>
      </rPr>
      <t>奉天下</t>
    </r>
  </si>
  <si>
    <r>
      <t>安徽文王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酒股份有限公司</t>
    </r>
  </si>
  <si>
    <r>
      <t>白酒;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烈酒</t>
    </r>
  </si>
  <si>
    <t>秫源御康</t>
  </si>
  <si>
    <r>
      <t>河南酒圣酒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</si>
  <si>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</t>
    </r>
  </si>
  <si>
    <r>
      <t>尧</t>
    </r>
    <r>
      <rPr>
        <sz val="11"/>
        <color theme="1"/>
        <rFont val="ＭＳ Ｐゴシック"/>
        <family val="3"/>
        <charset val="128"/>
        <scheme val="minor"/>
      </rPr>
      <t>堂神</t>
    </r>
    <r>
      <rPr>
        <sz val="11"/>
        <color theme="1"/>
        <rFont val="ＭＳ Ｐゴシック"/>
        <family val="3"/>
        <charset val="134"/>
        <scheme val="minor"/>
      </rPr>
      <t>农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</si>
  <si>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苏东腾</t>
    </r>
    <r>
      <rPr>
        <sz val="11"/>
        <color theme="1"/>
        <rFont val="ＭＳ Ｐゴシック"/>
        <family val="3"/>
        <charset val="128"/>
        <scheme val="minor"/>
      </rPr>
      <t>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</si>
  <si>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薄荷酒; 苹果酒; 清酒（日本米酒）; 威士忌; 白酒;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</si>
  <si>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老哥情</t>
  </si>
  <si>
    <r>
      <t>赵长</t>
    </r>
    <r>
      <rPr>
        <sz val="11"/>
        <color theme="1"/>
        <rFont val="ＭＳ Ｐゴシック"/>
        <family val="3"/>
        <charset val="128"/>
        <scheme val="minor"/>
      </rPr>
      <t>江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</si>
  <si>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青稞酒; 葡萄酒; 果酒（含酒精）</t>
    </r>
  </si>
  <si>
    <r>
      <t>果</t>
    </r>
    <r>
      <rPr>
        <sz val="11"/>
        <color theme="1"/>
        <rFont val="ＭＳ Ｐゴシック"/>
        <family val="3"/>
        <charset val="134"/>
        <scheme val="minor"/>
      </rPr>
      <t>岚</t>
    </r>
    <r>
      <rPr>
        <sz val="11"/>
        <color theme="1"/>
        <rFont val="ＭＳ Ｐゴシック"/>
        <family val="3"/>
        <charset val="128"/>
        <scheme val="minor"/>
      </rPr>
      <t>子</t>
    </r>
  </si>
  <si>
    <t>王勤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</si>
  <si>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黄酒;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烈酒; 开胃酒</t>
    </r>
  </si>
  <si>
    <t>洪州李渡</t>
  </si>
  <si>
    <r>
      <t>江西李渡酒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</si>
  <si>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威士忌; 果酒（含酒精）; 米酒</t>
    </r>
  </si>
  <si>
    <r>
      <t>长连</t>
    </r>
    <r>
      <rPr>
        <sz val="11"/>
        <color theme="1"/>
        <rFont val="ＭＳ Ｐゴシック"/>
        <family val="3"/>
        <charset val="128"/>
        <scheme val="minor"/>
      </rPr>
      <t>格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</si>
  <si>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志成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</si>
  <si>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</t>
    </r>
  </si>
  <si>
    <t>鹿阳王</t>
  </si>
  <si>
    <r>
      <t>毛嘉</t>
    </r>
    <r>
      <rPr>
        <sz val="11"/>
        <color theme="1"/>
        <rFont val="ＭＳ Ｐゴシック"/>
        <family val="3"/>
        <charset val="134"/>
        <scheme val="minor"/>
      </rPr>
      <t>仪</t>
    </r>
  </si>
  <si>
    <r>
      <t>葡萄酒;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</si>
  <si>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泉子里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</si>
  <si>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江省小泉外酒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</si>
  <si>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食用酒精; 葡萄酒; 烈酒</t>
    </r>
  </si>
  <si>
    <t>三随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</si>
  <si>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州三随酒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</si>
  <si>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葡萄酒; 伏特加酒; 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</t>
    </r>
  </si>
  <si>
    <r>
      <t>梅小</t>
    </r>
    <r>
      <rPr>
        <sz val="11"/>
        <color theme="1"/>
        <rFont val="ＭＳ Ｐゴシック"/>
        <family val="3"/>
        <charset val="134"/>
        <scheme val="minor"/>
      </rPr>
      <t>畅</t>
    </r>
  </si>
  <si>
    <r>
      <t>黄土</t>
    </r>
    <r>
      <rPr>
        <sz val="11"/>
        <color theme="1"/>
        <rFont val="ＭＳ Ｐゴシック"/>
        <family val="3"/>
        <charset val="134"/>
        <scheme val="minor"/>
      </rPr>
      <t>连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</si>
  <si>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米酒; 威士忌; 黄酒; 果酒（含酒精）</t>
    </r>
  </si>
  <si>
    <r>
      <t>吗哒</t>
    </r>
    <r>
      <rPr>
        <sz val="11"/>
        <color theme="1"/>
        <rFont val="ＭＳ Ｐゴシック"/>
        <family val="3"/>
        <charset val="128"/>
        <scheme val="minor"/>
      </rPr>
      <t>嘴</t>
    </r>
  </si>
  <si>
    <r>
      <t>潍</t>
    </r>
    <r>
      <rPr>
        <sz val="11"/>
        <color theme="1"/>
        <rFont val="ＭＳ Ｐゴシック"/>
        <family val="3"/>
        <charset val="128"/>
        <scheme val="minor"/>
      </rPr>
      <t>坊弘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</si>
  <si>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利口酒; 蒸煮提取物（利口酒和烈酒）;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</si>
  <si>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倍养道</t>
  </si>
  <si>
    <r>
      <t xml:space="preserve">米酒; 葡萄酒; 高粱酒;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</si>
  <si>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坡</t>
    </r>
    <r>
      <rPr>
        <sz val="11"/>
        <color theme="1"/>
        <rFont val="ＭＳ Ｐゴシック"/>
        <family val="3"/>
        <charset val="134"/>
        <scheme val="minor"/>
      </rPr>
      <t>勋</t>
    </r>
  </si>
  <si>
    <t>李佳佳</t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</si>
  <si>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果酒（含酒精）</t>
    </r>
  </si>
  <si>
    <r>
      <t>领</t>
    </r>
    <r>
      <rPr>
        <sz val="11"/>
        <color theme="1"/>
        <rFont val="ＭＳ Ｐゴシック"/>
        <family val="3"/>
        <charset val="128"/>
        <scheme val="minor"/>
      </rPr>
      <t>弟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</si>
  <si>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州企成科技有限公司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</si>
  <si>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黄酒;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米酒</t>
    </r>
  </si>
  <si>
    <t>秦兵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</si>
  <si>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西秦兵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</si>
  <si>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白酒; 果酒（含酒精）; 蒸煮提取物（利口酒和烈酒）</t>
    </r>
  </si>
  <si>
    <t>雅醉乾坤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</si>
  <si>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</si>
  <si>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八方益援</t>
  </si>
  <si>
    <r>
      <t>四川聚和来商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</si>
  <si>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食用酒精;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威士忌; 果酒（含酒精）</t>
    </r>
  </si>
  <si>
    <t>梁公子熹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</si>
  <si>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镇酱</t>
    </r>
    <r>
      <rPr>
        <sz val="11"/>
        <color theme="1"/>
        <rFont val="ＭＳ Ｐゴシック"/>
        <family val="3"/>
        <charset val="128"/>
        <scheme val="minor"/>
      </rPr>
      <t>酒盟酒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</si>
  <si>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</si>
  <si>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子悦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</si>
  <si>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雪</t>
    </r>
  </si>
  <si>
    <r>
      <t>果酒（含酒精）; 葡萄酒; 白酒; 青稞酒; 食用酒精;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</si>
  <si>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妃雪</t>
  </si>
  <si>
    <r>
      <t>济</t>
    </r>
    <r>
      <rPr>
        <sz val="11"/>
        <color theme="1"/>
        <rFont val="ＭＳ Ｐゴシック"/>
        <family val="3"/>
        <charset val="128"/>
        <scheme val="minor"/>
      </rPr>
      <t>南云行天下酒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</si>
  <si>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</si>
  <si>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途念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</si>
  <si>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州敬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</si>
  <si>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</t>
    </r>
  </si>
  <si>
    <r>
      <t>贺</t>
    </r>
    <r>
      <rPr>
        <sz val="11"/>
        <color theme="1"/>
        <rFont val="ＭＳ Ｐゴシック"/>
        <family val="3"/>
        <charset val="128"/>
        <scheme val="minor"/>
      </rPr>
      <t>高</t>
    </r>
  </si>
  <si>
    <r>
      <t xml:space="preserve">白酒; 高粱酒; 甜酒; 威士忌;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烈酒</t>
    </r>
  </si>
  <si>
    <r>
      <t>文王鹿</t>
    </r>
    <r>
      <rPr>
        <sz val="11"/>
        <color theme="1"/>
        <rFont val="ＭＳ Ｐゴシック"/>
        <family val="3"/>
        <charset val="134"/>
        <scheme val="minor"/>
      </rPr>
      <t>鸣</t>
    </r>
    <r>
      <rPr>
        <sz val="11"/>
        <color theme="1"/>
        <rFont val="ＭＳ Ｐゴシック"/>
        <family val="3"/>
        <charset val="128"/>
        <scheme val="minor"/>
      </rPr>
      <t>宴</t>
    </r>
  </si>
  <si>
    <r>
      <t>清酒;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</t>
    </r>
  </si>
  <si>
    <t>傅五吉</t>
  </si>
  <si>
    <t>傅思恒</t>
  </si>
  <si>
    <r>
      <t>葡萄酒; 威士忌; 米酒; 苹果酒;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</si>
  <si>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徒步天涯</t>
  </si>
  <si>
    <r>
      <t>杭州</t>
    </r>
    <r>
      <rPr>
        <sz val="11"/>
        <color theme="1"/>
        <rFont val="ＭＳ Ｐゴシック"/>
        <family val="3"/>
        <charset val="134"/>
        <scheme val="minor"/>
      </rPr>
      <t>猎鹰</t>
    </r>
    <r>
      <rPr>
        <sz val="11"/>
        <color theme="1"/>
        <rFont val="ＭＳ Ｐゴシック"/>
        <family val="3"/>
        <charset val="128"/>
        <scheme val="minor"/>
      </rPr>
      <t>部落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</si>
  <si>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白干酒（中国白酒）; 烈酒; 清酒（日本米酒）; 黄酒;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米酒</t>
    </r>
  </si>
  <si>
    <r>
      <t>青林</t>
    </r>
    <r>
      <rPr>
        <sz val="11"/>
        <color theme="1"/>
        <rFont val="ＭＳ Ｐゴシック"/>
        <family val="3"/>
        <charset val="134"/>
        <scheme val="minor"/>
      </rPr>
      <t>谜</t>
    </r>
  </si>
  <si>
    <r>
      <t>宜都市青林康养文化旅游开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</si>
  <si>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伏特加酒; 开胃酒; 葡萄酒; 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</si>
  <si>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吴地</t>
    </r>
    <r>
      <rPr>
        <sz val="11"/>
        <color theme="1"/>
        <rFont val="ＭＳ Ｐゴシック"/>
        <family val="3"/>
        <charset val="134"/>
        <scheme val="minor"/>
      </rPr>
      <t>寻</t>
    </r>
    <r>
      <rPr>
        <sz val="11"/>
        <color theme="1"/>
        <rFont val="ＭＳ Ｐゴシック"/>
        <family val="3"/>
        <charset val="128"/>
        <scheme val="minor"/>
      </rPr>
      <t>耕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</si>
  <si>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州市吴中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</si>
  <si>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果酒(含酒精);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清酒(日本米酒); 白酒; 食用酒精; 汽酒; 青稞酒; 米酒;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</si>
  <si>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左享右享</t>
  </si>
  <si>
    <r>
      <t>北京中悦久品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</si>
  <si>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伏特加酒; 白酒; 威士忌; 果酒; 烈酒;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</si>
  <si>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乾露竹</t>
  </si>
  <si>
    <r>
      <t>汾阳市酒香四溢商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</si>
  <si>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利口酒; 开胃酒;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黄酒; 米酒; 烈酒; 白酒; 果酒</t>
    </r>
  </si>
  <si>
    <t>雪山松鼠</t>
  </si>
  <si>
    <r>
      <t>王</t>
    </r>
    <r>
      <rPr>
        <sz val="11"/>
        <color theme="1"/>
        <rFont val="ＭＳ Ｐゴシック"/>
        <family val="3"/>
        <charset val="134"/>
        <scheme val="minor"/>
      </rPr>
      <t>兴东</t>
    </r>
  </si>
  <si>
    <r>
      <t xml:space="preserve">威士忌;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</si>
  <si>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漫山河</t>
  </si>
  <si>
    <t>北京都元生物科学研究院</t>
  </si>
  <si>
    <r>
      <t xml:space="preserve">青梅酒;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草莓酒;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果酒</t>
    </r>
  </si>
  <si>
    <t>柳海</t>
  </si>
  <si>
    <r>
      <t>四川酒</t>
    </r>
    <r>
      <rPr>
        <sz val="11"/>
        <color theme="1"/>
        <rFont val="ＭＳ Ｐゴシック"/>
        <family val="3"/>
        <charset val="134"/>
        <scheme val="minor"/>
      </rPr>
      <t>链</t>
    </r>
    <r>
      <rPr>
        <sz val="11"/>
        <color theme="1"/>
        <rFont val="ＭＳ Ｐゴシック"/>
        <family val="3"/>
        <charset val="128"/>
        <scheme val="minor"/>
      </rPr>
      <t>品牌管理有限公司</t>
    </r>
  </si>
  <si>
    <r>
      <t>伏特加酒; 露酒; 葡萄酒; 果酒（含酒精）;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</si>
  <si>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古今午宴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</si>
  <si>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岐岭酒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</si>
  <si>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开胃酒</t>
    </r>
  </si>
  <si>
    <t>淮二十</t>
  </si>
  <si>
    <r>
      <t>林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玲</t>
    </r>
  </si>
  <si>
    <r>
      <t>葡萄酒; 威士忌; 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开胃酒</t>
    </r>
  </si>
  <si>
    <r>
      <t>满乡陈</t>
    </r>
    <r>
      <rPr>
        <sz val="11"/>
        <color theme="1"/>
        <rFont val="ＭＳ Ｐゴシック"/>
        <family val="3"/>
        <charset val="128"/>
        <scheme val="minor"/>
      </rPr>
      <t>氏</t>
    </r>
  </si>
  <si>
    <t>吉林省惠格格食品有限公司</t>
  </si>
  <si>
    <r>
      <t xml:space="preserve">葡萄酒;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汽酒; 白酒;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</si>
  <si>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畔田湾</t>
  </si>
  <si>
    <r>
      <t>江西畔田湾餐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文化管理有限公司</t>
    </r>
  </si>
  <si>
    <r>
      <t>威士忌; 清酒（日本米酒）;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</si>
  <si>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言</t>
    </r>
    <r>
      <rPr>
        <sz val="11"/>
        <color theme="1"/>
        <rFont val="ＭＳ Ｐゴシック"/>
        <family val="3"/>
        <charset val="134"/>
        <scheme val="minor"/>
      </rPr>
      <t>续</t>
    </r>
  </si>
  <si>
    <r>
      <t>李振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</si>
  <si>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黄酒; 白酒; 青稞酒;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</si>
  <si>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昊</t>
    </r>
    <r>
      <rPr>
        <sz val="11"/>
        <color theme="1"/>
        <rFont val="ＭＳ Ｐゴシック"/>
        <family val="3"/>
        <charset val="129"/>
        <scheme val="minor"/>
      </rPr>
      <t>昋</t>
    </r>
  </si>
  <si>
    <r>
      <t>韩</t>
    </r>
    <r>
      <rPr>
        <sz val="11"/>
        <color theme="1"/>
        <rFont val="ＭＳ Ｐゴシック"/>
        <family val="3"/>
        <charset val="128"/>
        <scheme val="minor"/>
      </rPr>
      <t>玉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</si>
  <si>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威士忌;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</si>
  <si>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中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恒液</t>
    </r>
  </si>
  <si>
    <r>
      <t>孟</t>
    </r>
    <r>
      <rPr>
        <sz val="11"/>
        <color theme="1"/>
        <rFont val="ＭＳ Ｐゴシック"/>
        <family val="3"/>
        <charset val="134"/>
        <scheme val="minor"/>
      </rPr>
      <t>庆刚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</si>
  <si>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米酒; 葡萄酒;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果酒（含酒精）; 白酒</t>
    </r>
  </si>
  <si>
    <r>
      <t>极光大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</si>
  <si>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北京十方界酒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</si>
  <si>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梨酒; 黄酒; 白酒; 葡萄酒</t>
    </r>
  </si>
  <si>
    <t>晋水川</t>
  </si>
  <si>
    <r>
      <t>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葡萄酒; 黄酒;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</si>
  <si>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滴酉楼</t>
  </si>
  <si>
    <t>栗三星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</si>
  <si>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清酒（日本米酒）; 黄酒</t>
    </r>
  </si>
  <si>
    <t>冰器城</t>
  </si>
  <si>
    <r>
      <t>刘</t>
    </r>
    <r>
      <rPr>
        <sz val="11"/>
        <color theme="1"/>
        <rFont val="ＭＳ Ｐゴシック"/>
        <family val="3"/>
        <charset val="134"/>
        <scheme val="minor"/>
      </rPr>
      <t>红军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</si>
  <si>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黄酒; 利口酒;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</si>
  <si>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湘奇</t>
    </r>
    <r>
      <rPr>
        <sz val="11"/>
        <color theme="1"/>
        <rFont val="ＭＳ Ｐゴシック"/>
        <family val="3"/>
        <charset val="134"/>
        <scheme val="minor"/>
      </rPr>
      <t>红</t>
    </r>
  </si>
  <si>
    <t>刘雪峰</t>
  </si>
  <si>
    <r>
      <t>白酒; 果酒;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清酒（日本米酒）;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</si>
  <si>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选</t>
    </r>
    <r>
      <rPr>
        <sz val="11"/>
        <color theme="1"/>
        <rFont val="ＭＳ Ｐゴシック"/>
        <family val="3"/>
        <charset val="128"/>
        <scheme val="minor"/>
      </rPr>
      <t>成</t>
    </r>
  </si>
  <si>
    <r>
      <t>山西淳厚酒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</si>
  <si>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汽酒; 果酒;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</t>
    </r>
  </si>
  <si>
    <t>孟浩</t>
  </si>
  <si>
    <t>郭孟浩</t>
  </si>
  <si>
    <t>果酒（含酒精）; 米酒; 青梅酒; 果酒; 黄酒; 白酒; 五加皮酒（中国混合烈酒）; 清酒; 葡萄酒; 白干酒（中国白酒）</t>
  </si>
  <si>
    <t>蚩尤王子</t>
  </si>
  <si>
    <r>
      <t>湖南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夕新材料科技有限公司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</si>
  <si>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果酒;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</t>
    </r>
  </si>
  <si>
    <t>圃天下</t>
  </si>
  <si>
    <r>
      <t>四川中科</t>
    </r>
    <r>
      <rPr>
        <sz val="11"/>
        <color theme="1"/>
        <rFont val="ＭＳ Ｐゴシック"/>
        <family val="3"/>
        <charset val="134"/>
        <scheme val="minor"/>
      </rPr>
      <t>华软</t>
    </r>
    <r>
      <rPr>
        <sz val="11"/>
        <color theme="1"/>
        <rFont val="ＭＳ Ｐゴシック"/>
        <family val="3"/>
        <charset val="128"/>
        <scheme val="minor"/>
      </rPr>
      <t>信息技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</si>
  <si>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汽酒; 黄酒; 白酒; 甜果酒; 米酒; 露酒; 梅酒; 高粱酒; 蜂蜜酒; 葡萄酒</t>
  </si>
  <si>
    <t>望岳玖谷</t>
  </si>
  <si>
    <t>侯敏</t>
  </si>
  <si>
    <r>
      <t>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含酒精的气泡水;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</si>
  <si>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匠小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</si>
  <si>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黄酒; 食用酒精; 米酒</t>
    </r>
  </si>
  <si>
    <t>袁九坊</t>
  </si>
  <si>
    <r>
      <t>巫山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孝鑫白酒坊(个体工商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)</t>
    </r>
  </si>
  <si>
    <r>
      <t>高粱酒;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</si>
  <si>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乾福景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</si>
  <si>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黄酒; 葡萄酒; 威士忌</t>
    </r>
  </si>
  <si>
    <t>奔芝</t>
  </si>
  <si>
    <t>金随元</t>
  </si>
  <si>
    <r>
      <t>威士忌; 米酒; 甜酒; 高粱酒;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白酒; 葡萄酒;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</si>
  <si>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汇</t>
    </r>
    <r>
      <rPr>
        <sz val="11"/>
        <color theme="1"/>
        <rFont val="ＭＳ Ｐゴシック"/>
        <family val="3"/>
        <charset val="128"/>
        <scheme val="minor"/>
      </rPr>
      <t>新一味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</si>
  <si>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未来伙伴科技有限公司</t>
    </r>
  </si>
  <si>
    <r>
      <t xml:space="preserve">葡萄酒; 果酒; 露酒; 白酒; 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</t>
    </r>
  </si>
  <si>
    <t>地球村</t>
  </si>
  <si>
    <r>
      <t>张</t>
    </r>
    <r>
      <rPr>
        <sz val="11"/>
        <color theme="1"/>
        <rFont val="ＭＳ Ｐゴシック"/>
        <family val="3"/>
        <charset val="128"/>
        <scheme val="minor"/>
      </rPr>
      <t>德福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</si>
  <si>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米酒; 伏特加酒; 葡萄酒</t>
    </r>
  </si>
  <si>
    <t>楚馥</t>
  </si>
  <si>
    <r>
      <t>夏佳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</si>
  <si>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 xml:space="preserve">黄酒; 白酒; 开胃酒; 葡萄酒;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</si>
  <si>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颐</t>
    </r>
    <r>
      <rPr>
        <sz val="11"/>
        <color theme="1"/>
        <rFont val="ＭＳ Ｐゴシック"/>
        <family val="3"/>
        <charset val="128"/>
        <scheme val="minor"/>
      </rPr>
      <t>安众德</t>
    </r>
  </si>
  <si>
    <t>西南众康(四川)医学研究院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</si>
  <si>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威士忌</t>
    </r>
  </si>
  <si>
    <t>悦佰春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</si>
  <si>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峡山春酒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</si>
  <si>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食用酒精;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烈酒;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</si>
  <si>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李渡唐洪州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</si>
  <si>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利口酒;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</si>
  <si>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t>董仁道</t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</si>
  <si>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西域食品有限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</si>
  <si>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高粱酒; 烈酒;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白干酒（中国白酒）;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黄酒</t>
    </r>
  </si>
  <si>
    <t>亘天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</si>
  <si>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威士忌; 葡萄酒; 米酒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</si>
  <si>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34"/>
        <scheme val="minor"/>
      </rPr>
      <t>顺</t>
    </r>
  </si>
  <si>
    <t>田超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</si>
  <si>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食用酒精;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</si>
  <si>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杭州舟枕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</si>
  <si>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汽酒; 清酒</t>
    </r>
  </si>
  <si>
    <t>猴星</t>
  </si>
  <si>
    <t>于洪涛</t>
  </si>
  <si>
    <r>
      <t xml:space="preserve">蜂蜜酒; 葡萄酒; 米酒; 果酒;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白酒</t>
    </r>
  </si>
  <si>
    <t>福州五洋立方食品有限公司</t>
  </si>
  <si>
    <r>
      <t>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清酒（日本米酒）; 露酒;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甜果酒;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</si>
  <si>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硬掌柜</t>
  </si>
  <si>
    <r>
      <t>马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</si>
  <si>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咖啡利口酒; 白酒; 烈酒;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水果汽酒; 果酒; 黄酒</t>
    </r>
  </si>
  <si>
    <t>源地升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</si>
  <si>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黄酒; 葡萄酒; 青稞酒;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</si>
  <si>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PAYRICK</t>
  </si>
  <si>
    <r>
      <t>冯</t>
    </r>
    <r>
      <rPr>
        <sz val="11"/>
        <color theme="1"/>
        <rFont val="ＭＳ Ｐゴシック"/>
        <family val="3"/>
        <charset val="128"/>
        <scheme val="minor"/>
      </rPr>
      <t>海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</si>
  <si>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葡萄酒; 黄酒; 开胃酒;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</si>
  <si>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宴一品</t>
  </si>
  <si>
    <r>
      <t xml:space="preserve">黄酒; 食用酒精; 烈酒; 清酒; 葡萄酒;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</si>
  <si>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YOSINFO</t>
  </si>
  <si>
    <r>
      <t>江西勇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富科技有限公司</t>
    </r>
  </si>
  <si>
    <r>
      <t>葡萄酒;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</si>
  <si>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果酒（含酒精）; 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</si>
  <si>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八石崖</t>
  </si>
  <si>
    <r>
      <t>霍山富众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</si>
  <si>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白酒;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米酒; 青稞酒;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</t>
    </r>
  </si>
  <si>
    <t>直上酒天</t>
  </si>
  <si>
    <r>
      <t>安徽国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</si>
  <si>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米酒</t>
    </r>
  </si>
  <si>
    <t>寄陶</t>
  </si>
  <si>
    <r>
      <t>北京四九城酒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</si>
  <si>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果酒（含酒精）;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薄荷酒;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黄酒</t>
    </r>
  </si>
  <si>
    <t>咖炉里</t>
  </si>
  <si>
    <r>
      <t>河南一鼎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</si>
  <si>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利口酒;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黄酒</t>
    </r>
  </si>
  <si>
    <r>
      <t>湘</t>
    </r>
    <r>
      <rPr>
        <sz val="11"/>
        <color theme="1"/>
        <rFont val="ＭＳ Ｐゴシック"/>
        <family val="3"/>
        <charset val="134"/>
        <scheme val="minor"/>
      </rPr>
      <t>轩</t>
    </r>
  </si>
  <si>
    <r>
      <t xml:space="preserve">葡萄酒; 高粱酒;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</si>
  <si>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果酒（含酒精）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</si>
  <si>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三包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</si>
  <si>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</si>
  <si>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</si>
  <si>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北京博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通生物科技有限公司</t>
    </r>
  </si>
  <si>
    <r>
      <t xml:space="preserve">伏特加酒;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威士忌; 酸酒（低等葡萄酒）; 薄荷酒</t>
    </r>
  </si>
  <si>
    <t>醴瓿藏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</si>
  <si>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葡萄酒; 黄酒; 米酒; 伏特加酒;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</si>
  <si>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荷菱醉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</si>
  <si>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荷菱醉酒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</si>
  <si>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</si>
  <si>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VODKIN 沃德金</t>
  </si>
  <si>
    <r>
      <t>威士忌; 米酒;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露酒; 伏特加酒; 葡萄酒; 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</si>
  <si>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上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档</t>
    </r>
  </si>
  <si>
    <r>
      <t>青海供</t>
    </r>
    <r>
      <rPr>
        <sz val="11"/>
        <color theme="1"/>
        <rFont val="ＭＳ Ｐゴシック"/>
        <family val="3"/>
        <charset val="134"/>
        <scheme val="minor"/>
      </rPr>
      <t>销辉</t>
    </r>
    <r>
      <rPr>
        <sz val="11"/>
        <color theme="1"/>
        <rFont val="ＭＳ Ｐゴシック"/>
        <family val="3"/>
        <charset val="128"/>
        <scheme val="minor"/>
      </rPr>
      <t>恒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</si>
  <si>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果酒; 白葡萄酒; 葡萄酒; 青稞酒;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</si>
  <si>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唐小米极光</t>
  </si>
  <si>
    <r>
      <t>四川唐小米酒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</si>
  <si>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白干酒（中国白酒）;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</si>
  <si>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朴</t>
    </r>
    <r>
      <rPr>
        <sz val="11"/>
        <color theme="1"/>
        <rFont val="ＭＳ Ｐゴシック"/>
        <family val="3"/>
        <charset val="134"/>
        <scheme val="minor"/>
      </rPr>
      <t>雾</t>
    </r>
  </si>
  <si>
    <r>
      <t>松溪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白木春茶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</si>
  <si>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白酒;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</si>
  <si>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九</t>
    </r>
    <r>
      <rPr>
        <sz val="11"/>
        <color theme="1"/>
        <rFont val="ＭＳ Ｐゴシック"/>
        <family val="3"/>
        <charset val="134"/>
        <scheme val="minor"/>
      </rPr>
      <t>贤赏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</si>
  <si>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时</t>
    </r>
    <r>
      <rPr>
        <sz val="11"/>
        <color theme="1"/>
        <rFont val="ＭＳ Ｐゴシック"/>
        <family val="3"/>
        <charset val="128"/>
        <scheme val="minor"/>
      </rPr>
      <t>和年丰商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</si>
  <si>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开胃酒; 露酒;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果酒; 利口酒</t>
    </r>
  </si>
  <si>
    <r>
      <t>石</t>
    </r>
    <r>
      <rPr>
        <sz val="11"/>
        <color theme="1"/>
        <rFont val="ＭＳ Ｐゴシック"/>
        <family val="3"/>
        <charset val="134"/>
        <scheme val="minor"/>
      </rPr>
      <t>闾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</si>
  <si>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泰安市</t>
    </r>
    <r>
      <rPr>
        <sz val="11"/>
        <color theme="1"/>
        <rFont val="ＭＳ Ｐゴシック"/>
        <family val="3"/>
        <charset val="134"/>
        <scheme val="minor"/>
      </rPr>
      <t>齐鲁</t>
    </r>
    <r>
      <rPr>
        <sz val="11"/>
        <color theme="1"/>
        <rFont val="ＭＳ Ｐゴシック"/>
        <family val="3"/>
        <charset val="128"/>
        <scheme val="minor"/>
      </rPr>
      <t>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</si>
  <si>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黄酒; 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食用酒精</t>
    </r>
  </si>
  <si>
    <t>文王一品宴</t>
  </si>
  <si>
    <r>
      <t xml:space="preserve">食用酒精; 清酒;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烈酒; 果酒</t>
    </r>
  </si>
  <si>
    <r>
      <t>茗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梓</t>
    </r>
  </si>
  <si>
    <r>
      <t>茂名市致</t>
    </r>
    <r>
      <rPr>
        <sz val="11"/>
        <color theme="1"/>
        <rFont val="ＭＳ Ｐゴシック"/>
        <family val="3"/>
        <charset val="134"/>
        <scheme val="minor"/>
      </rPr>
      <t>汇农业发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</si>
  <si>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</si>
  <si>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李渡洪州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</si>
  <si>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威士忌; 利口酒; 葡萄酒; 黄酒; 米酒</t>
    </r>
  </si>
  <si>
    <r>
      <t>铭</t>
    </r>
    <r>
      <rPr>
        <sz val="11"/>
        <color theme="1"/>
        <rFont val="ＭＳ Ｐゴシック"/>
        <family val="3"/>
        <charset val="128"/>
        <scheme val="minor"/>
      </rPr>
      <t>廷古</t>
    </r>
    <r>
      <rPr>
        <sz val="11"/>
        <color theme="1"/>
        <rFont val="ＭＳ Ｐゴシック"/>
        <family val="3"/>
        <charset val="134"/>
        <scheme val="minor"/>
      </rPr>
      <t>镇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</si>
  <si>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州国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黔茅酒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</si>
  <si>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汽酒; 果酒（含酒精）; 葡萄酒; 白酒;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</si>
  <si>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诺缇</t>
    </r>
    <r>
      <rPr>
        <sz val="11"/>
        <color theme="1"/>
        <rFont val="ＭＳ Ｐゴシック"/>
        <family val="3"/>
        <charset val="128"/>
        <scheme val="minor"/>
      </rPr>
      <t>瓦</t>
    </r>
  </si>
  <si>
    <r>
      <t>林志</t>
    </r>
    <r>
      <rPr>
        <sz val="11"/>
        <color theme="1"/>
        <rFont val="ＭＳ Ｐゴシック"/>
        <family val="3"/>
        <charset val="134"/>
        <scheme val="minor"/>
      </rPr>
      <t>伦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</si>
  <si>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甜酒; 白酒; 威士忌; 高粱酒; 葡萄酒; 果酒（含酒精）;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</si>
  <si>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延州臻萃</t>
  </si>
  <si>
    <r>
      <t>延安市宝塔区梓瑶商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</si>
  <si>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清酒; 葡萄酒; 威士忌;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</si>
  <si>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t>快悠</t>
  </si>
  <si>
    <r>
      <t>白酒;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</si>
  <si>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r>
      <t>邯</t>
    </r>
    <r>
      <rPr>
        <sz val="11"/>
        <color theme="1"/>
        <rFont val="ＭＳ Ｐゴシック"/>
        <family val="3"/>
        <charset val="134"/>
        <scheme val="minor"/>
      </rPr>
      <t>玺</t>
    </r>
  </si>
  <si>
    <r>
      <t>河北回</t>
    </r>
    <r>
      <rPr>
        <sz val="11"/>
        <color theme="1"/>
        <rFont val="ＭＳ Ｐゴシック"/>
        <family val="3"/>
        <charset val="134"/>
        <scheme val="minor"/>
      </rPr>
      <t>车</t>
    </r>
    <r>
      <rPr>
        <sz val="11"/>
        <color theme="1"/>
        <rFont val="ＭＳ Ｐゴシック"/>
        <family val="3"/>
        <charset val="128"/>
        <scheme val="minor"/>
      </rPr>
      <t>巷酒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</si>
  <si>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葡萄酒; 米酒;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</t>
    </r>
  </si>
  <si>
    <t>甘田御水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</si>
  <si>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青稞酒;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</si>
  <si>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欢</t>
    </r>
    <r>
      <rPr>
        <sz val="11"/>
        <color theme="1"/>
        <rFont val="ＭＳ Ｐゴシック"/>
        <family val="3"/>
        <charset val="128"/>
        <scheme val="minor"/>
      </rPr>
      <t>无</t>
    </r>
    <r>
      <rPr>
        <sz val="11"/>
        <color theme="1"/>
        <rFont val="ＭＳ Ｐゴシック"/>
        <family val="3"/>
        <charset val="134"/>
        <scheme val="minor"/>
      </rPr>
      <t>忧</t>
    </r>
  </si>
  <si>
    <t>北京市宝昌酒厂</t>
  </si>
  <si>
    <r>
      <t xml:space="preserve">果酒（含酒精）; 苹果酒;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伏特加酒; 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</si>
  <si>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望岳君和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</si>
  <si>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含酒精的气泡水;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</si>
  <si>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小可</t>
    </r>
  </si>
  <si>
    <r>
      <t>杨继</t>
    </r>
    <r>
      <rPr>
        <sz val="11"/>
        <color theme="1"/>
        <rFont val="ＭＳ Ｐゴシック"/>
        <family val="3"/>
        <charset val="128"/>
        <scheme val="minor"/>
      </rPr>
      <t>平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</si>
  <si>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白酒; 米酒; 伏特加酒;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</t>
    </r>
  </si>
  <si>
    <t>FALT SO GAOD</t>
  </si>
  <si>
    <r>
      <t>上海艾塔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</si>
  <si>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</si>
  <si>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尚上吉</t>
  </si>
  <si>
    <t>刘洋</t>
  </si>
  <si>
    <r>
      <t xml:space="preserve">威士忌;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果酒</t>
    </r>
  </si>
  <si>
    <t>两海一江</t>
  </si>
  <si>
    <r>
      <t>上海米澳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</si>
  <si>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</si>
  <si>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源粉</t>
    </r>
    <r>
      <rPr>
        <sz val="11"/>
        <color theme="1"/>
        <rFont val="ＭＳ Ｐゴシック"/>
        <family val="3"/>
        <charset val="134"/>
        <scheme val="minor"/>
      </rPr>
      <t>飘</t>
    </r>
    <r>
      <rPr>
        <sz val="11"/>
        <color theme="1"/>
        <rFont val="ＭＳ Ｐゴシック"/>
        <family val="3"/>
        <charset val="128"/>
        <scheme val="minor"/>
      </rPr>
      <t>香</t>
    </r>
  </si>
  <si>
    <r>
      <t>河源市</t>
    </r>
    <r>
      <rPr>
        <sz val="11"/>
        <color theme="1"/>
        <rFont val="ＭＳ Ｐゴシック"/>
        <family val="3"/>
        <charset val="134"/>
        <scheme val="minor"/>
      </rPr>
      <t>铁</t>
    </r>
    <r>
      <rPr>
        <sz val="11"/>
        <color theme="1"/>
        <rFont val="ＭＳ Ｐゴシック"/>
        <family val="3"/>
        <charset val="128"/>
        <scheme val="minor"/>
      </rPr>
      <t>新投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</si>
  <si>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甜酒;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</si>
  <si>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中金</t>
    </r>
    <r>
      <rPr>
        <sz val="11"/>
        <color theme="1"/>
        <rFont val="ＭＳ Ｐゴシック"/>
        <family val="3"/>
        <charset val="134"/>
        <scheme val="minor"/>
      </rPr>
      <t>证团队</t>
    </r>
  </si>
  <si>
    <r>
      <t>中金</t>
    </r>
    <r>
      <rPr>
        <sz val="11"/>
        <color theme="1"/>
        <rFont val="ＭＳ Ｐゴシック"/>
        <family val="3"/>
        <charset val="134"/>
        <scheme val="minor"/>
      </rPr>
      <t>证</t>
    </r>
    <r>
      <rPr>
        <sz val="11"/>
        <color theme="1"/>
        <rFont val="ＭＳ Ｐゴシック"/>
        <family val="3"/>
        <charset val="128"/>
        <scheme val="minor"/>
      </rPr>
      <t>（云南）商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征信集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</si>
  <si>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果酒（含酒精）; 葡萄酒; 青梅酒; 威士忌; 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</si>
  <si>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t>漫久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</si>
  <si>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青梅酒; 米酒; 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草莓酒</t>
    </r>
  </si>
  <si>
    <r>
      <t>菲</t>
    </r>
    <r>
      <rPr>
        <sz val="11"/>
        <color theme="1"/>
        <rFont val="ＭＳ Ｐゴシック"/>
        <family val="3"/>
        <charset val="134"/>
        <scheme val="minor"/>
      </rPr>
      <t>丝</t>
    </r>
    <r>
      <rPr>
        <sz val="11"/>
        <color theme="1"/>
        <rFont val="ＭＳ Ｐゴシック"/>
        <family val="3"/>
        <charset val="128"/>
        <scheme val="minor"/>
      </rPr>
      <t>雅</t>
    </r>
  </si>
  <si>
    <r>
      <t>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白酒; 甜酒; 米酒; 高粱酒;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</si>
  <si>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路多格</t>
  </si>
  <si>
    <r>
      <t>高粱酒; 米酒;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甜酒; 果酒（含酒精）; 烈酒</t>
    </r>
  </si>
  <si>
    <t>京小度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</si>
  <si>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果酒（含酒精）; 食用酒精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</si>
  <si>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品莱</t>
    </r>
  </si>
  <si>
    <r>
      <t>柴旭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</si>
  <si>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白酒; 葡萄酒; 黄酒; 米酒; 果酒（含酒精）;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</si>
  <si>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漠之王</t>
  </si>
  <si>
    <t>胡友生</t>
  </si>
  <si>
    <r>
      <t>米酒; 汽酒;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</si>
  <si>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柔八方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</si>
  <si>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白酒; 青稞酒; 葡萄酒</t>
    </r>
  </si>
  <si>
    <t>卿恒</t>
  </si>
  <si>
    <r>
      <t>江西富硒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牧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</si>
  <si>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白酒; 高粱酒; 威士忌;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</si>
  <si>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内蒙古自治区酒</t>
    </r>
    <r>
      <rPr>
        <sz val="11"/>
        <color theme="1"/>
        <rFont val="ＭＳ Ｐゴシック"/>
        <family val="3"/>
        <charset val="134"/>
        <scheme val="minor"/>
      </rPr>
      <t>业协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</si>
  <si>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 xml:space="preserve">白干酒（中国白酒）; 黄酒; 不起泡葡萄酒;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米酒</t>
    </r>
  </si>
  <si>
    <t>敦寰</t>
  </si>
  <si>
    <r>
      <t>成都佑</t>
    </r>
    <r>
      <rPr>
        <sz val="11"/>
        <color theme="1"/>
        <rFont val="ＭＳ Ｐゴシック"/>
        <family val="3"/>
        <charset val="134"/>
        <scheme val="minor"/>
      </rPr>
      <t>铁</t>
    </r>
    <r>
      <rPr>
        <sz val="11"/>
        <color theme="1"/>
        <rFont val="ＭＳ Ｐゴシック"/>
        <family val="3"/>
        <charset val="128"/>
        <scheme val="minor"/>
      </rPr>
      <t>机</t>
    </r>
    <r>
      <rPr>
        <sz val="11"/>
        <color theme="1"/>
        <rFont val="ＭＳ Ｐゴシック"/>
        <family val="3"/>
        <charset val="134"/>
        <scheme val="minor"/>
      </rPr>
      <t>电设备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</si>
  <si>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食用酒精;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</si>
  <si>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世曼</t>
    </r>
  </si>
  <si>
    <r>
      <t>广州炳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汽</t>
    </r>
    <r>
      <rPr>
        <sz val="11"/>
        <color theme="1"/>
        <rFont val="ＭＳ Ｐゴシック"/>
        <family val="3"/>
        <charset val="134"/>
        <scheme val="minor"/>
      </rPr>
      <t>车</t>
    </r>
    <r>
      <rPr>
        <sz val="11"/>
        <color theme="1"/>
        <rFont val="ＭＳ Ｐゴシック"/>
        <family val="3"/>
        <charset val="128"/>
        <scheme val="minor"/>
      </rPr>
      <t>零部件有限公司</t>
    </r>
  </si>
  <si>
    <r>
      <t xml:space="preserve">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果酒（含酒精）; 威士忌</t>
    </r>
  </si>
  <si>
    <r>
      <t>相泉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</si>
  <si>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建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</si>
  <si>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苦味酒; 葡萄酒;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</si>
  <si>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毅然堂</t>
  </si>
  <si>
    <r>
      <t>毅然堂医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科技（江西）有限公司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</si>
  <si>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米酒; 汽酒; 白酒; 果酒（含酒精）; 开胃酒</t>
    </r>
  </si>
  <si>
    <r>
      <t>情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天涯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</si>
  <si>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州五惠酒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</si>
  <si>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</si>
  <si>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学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程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</si>
  <si>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州友昌酒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</si>
  <si>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薄荷酒;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开胃酒; 清酒（日本米酒）; 食用酒精</t>
    </r>
  </si>
  <si>
    <t>ROVER WIN</t>
  </si>
  <si>
    <r>
      <t>中山市中科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境科学研究有限公司</t>
    </r>
  </si>
  <si>
    <r>
      <t xml:space="preserve">葡萄酒; 米酒; 果酒; 威士忌;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甜酒</t>
    </r>
  </si>
  <si>
    <r>
      <t>龙滨</t>
    </r>
    <r>
      <rPr>
        <sz val="11"/>
        <color theme="1"/>
        <rFont val="ＭＳ Ｐゴシック"/>
        <family val="3"/>
        <charset val="128"/>
        <scheme val="minor"/>
      </rPr>
      <t>御</t>
    </r>
    <r>
      <rPr>
        <sz val="11"/>
        <color theme="1"/>
        <rFont val="ＭＳ Ｐゴシック"/>
        <family val="3"/>
        <charset val="134"/>
        <scheme val="minor"/>
      </rPr>
      <t>酿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</si>
  <si>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德英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</si>
  <si>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白干酒（中国白酒）;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刺五加酒;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</si>
  <si>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翊盟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</si>
  <si>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州同恒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信息咨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</si>
  <si>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白干酒（中国白酒）;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</si>
  <si>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晟莨</t>
  </si>
  <si>
    <r>
      <t>白干酒（中国白酒）;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威士忌; 葡萄酒</t>
    </r>
  </si>
  <si>
    <t>俏平人</t>
  </si>
  <si>
    <r>
      <t>安徽本山本草中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</si>
  <si>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黄酒; 果酒; 露酒; 白酒; 食用酒精;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</si>
  <si>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源粉臻香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</si>
  <si>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甜酒</t>
    </r>
  </si>
  <si>
    <r>
      <t>徐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</si>
  <si>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 xml:space="preserve">白酒;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</si>
  <si>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蕲</t>
    </r>
    <r>
      <rPr>
        <sz val="11"/>
        <color theme="1"/>
        <rFont val="ＭＳ Ｐゴシック"/>
        <family val="3"/>
        <charset val="128"/>
        <scheme val="minor"/>
      </rPr>
      <t>醍</t>
    </r>
  </si>
  <si>
    <r>
      <t>湖北</t>
    </r>
    <r>
      <rPr>
        <sz val="11"/>
        <color theme="1"/>
        <rFont val="ＭＳ Ｐゴシック"/>
        <family val="3"/>
        <charset val="134"/>
        <scheme val="minor"/>
      </rPr>
      <t>蕲</t>
    </r>
    <r>
      <rPr>
        <sz val="11"/>
        <color theme="1"/>
        <rFont val="ＭＳ Ｐゴシック"/>
        <family val="3"/>
        <charset val="128"/>
        <scheme val="minor"/>
      </rPr>
      <t>花异草养生有限公司</t>
    </r>
  </si>
  <si>
    <r>
      <t>蝮蛇酒;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</si>
  <si>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本色日</t>
    </r>
    <r>
      <rPr>
        <sz val="11"/>
        <color theme="1"/>
        <rFont val="ＭＳ Ｐゴシック"/>
        <family val="3"/>
        <charset val="134"/>
        <scheme val="minor"/>
      </rPr>
      <t>记</t>
    </r>
  </si>
  <si>
    <r>
      <t>北京本色日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</si>
  <si>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米酒; 果酒; 葡萄酒</t>
    </r>
  </si>
  <si>
    <t>裕青台</t>
  </si>
  <si>
    <r>
      <t>黄成</t>
    </r>
    <r>
      <rPr>
        <sz val="11"/>
        <color theme="1"/>
        <rFont val="ＭＳ Ｐゴシック"/>
        <family val="3"/>
        <charset val="134"/>
        <scheme val="minor"/>
      </rPr>
      <t>锦</t>
    </r>
  </si>
  <si>
    <r>
      <t>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烈酒;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</t>
    </r>
  </si>
  <si>
    <r>
      <t>乾青</t>
    </r>
    <r>
      <rPr>
        <sz val="11"/>
        <color theme="1"/>
        <rFont val="ＭＳ Ｐゴシック"/>
        <family val="3"/>
        <charset val="134"/>
        <scheme val="minor"/>
      </rPr>
      <t>宫龙</t>
    </r>
  </si>
  <si>
    <r>
      <t>河北氿秒批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</si>
  <si>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米酒;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</si>
  <si>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花花公主徽坊</t>
  </si>
  <si>
    <r>
      <t>包</t>
    </r>
    <r>
      <rPr>
        <sz val="11"/>
        <color theme="1"/>
        <rFont val="ＭＳ Ｐゴシック"/>
        <family val="3"/>
        <charset val="134"/>
        <scheme val="minor"/>
      </rPr>
      <t>贤</t>
    </r>
    <r>
      <rPr>
        <sz val="11"/>
        <color theme="1"/>
        <rFont val="ＭＳ Ｐゴシック"/>
        <family val="3"/>
        <charset val="128"/>
        <scheme val="minor"/>
      </rPr>
      <t>妹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</si>
  <si>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</t>
    </r>
  </si>
  <si>
    <r>
      <t>合</t>
    </r>
    <r>
      <rPr>
        <sz val="11"/>
        <color theme="1"/>
        <rFont val="ＭＳ Ｐゴシック"/>
        <family val="3"/>
        <charset val="134"/>
        <scheme val="minor"/>
      </rPr>
      <t>欢莲</t>
    </r>
  </si>
  <si>
    <r>
      <t>保酩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（江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</si>
  <si>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朗姆酒; 清酒; 伏特加酒; 葡萄酒</t>
    </r>
  </si>
  <si>
    <r>
      <t>莲</t>
    </r>
    <r>
      <rPr>
        <sz val="11"/>
        <color theme="1"/>
        <rFont val="ＭＳ Ｐゴシック"/>
        <family val="3"/>
        <charset val="128"/>
        <scheme val="minor"/>
      </rPr>
      <t>遇白</t>
    </r>
  </si>
  <si>
    <r>
      <t>伏特加酒; 果酒; 葡萄酒; 清酒; 白酒;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</si>
  <si>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高菁</t>
  </si>
  <si>
    <r>
      <t>威士忌; 果酒; 伏特加酒; 白酒;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</t>
    </r>
  </si>
  <si>
    <t>首卿</t>
  </si>
  <si>
    <r>
      <t>张</t>
    </r>
    <r>
      <rPr>
        <sz val="11"/>
        <color theme="1"/>
        <rFont val="ＭＳ Ｐゴシック"/>
        <family val="3"/>
        <charset val="128"/>
        <scheme val="minor"/>
      </rPr>
      <t>向鑫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</si>
  <si>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果酒（含酒精）;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</si>
  <si>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首九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</si>
  <si>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清酒（日本米酒）;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</si>
  <si>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孔雀棠</t>
  </si>
  <si>
    <t>刘健</t>
  </si>
  <si>
    <r>
      <t xml:space="preserve">开胃酒; 高粱酒;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米酒</t>
    </r>
  </si>
  <si>
    <t>知行三晋</t>
  </si>
  <si>
    <r>
      <t>山西本草石尚文化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</si>
  <si>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果酒; 米酒; 葡萄酒; 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烈酒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</si>
  <si>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万川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</si>
  <si>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勤嵩</t>
    </r>
  </si>
  <si>
    <r>
      <t>开胃酒; 果酒;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</t>
    </r>
  </si>
  <si>
    <t>ONCE HIDDEN</t>
  </si>
  <si>
    <t>杯必取葡萄酒有限公司</t>
  </si>
  <si>
    <r>
      <t xml:space="preserve">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朗姆酒; 伏特加酒; 尼瓦（以甘蔗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</t>
    </r>
  </si>
  <si>
    <t>鹿养能</t>
  </si>
  <si>
    <r>
      <t>吴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芳</t>
    </r>
  </si>
  <si>
    <r>
      <t xml:space="preserve">开胃酒; 米酒; 青稞酒; 黄酒; 白酒; 汽酒;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</si>
  <si>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江媳</t>
    </r>
    <r>
      <rPr>
        <sz val="11"/>
        <color theme="1"/>
        <rFont val="ＭＳ Ｐゴシック"/>
        <family val="3"/>
        <charset val="134"/>
        <scheme val="minor"/>
      </rPr>
      <t>妇</t>
    </r>
  </si>
  <si>
    <t>王素平</t>
  </si>
  <si>
    <r>
      <t>葡萄酒; 米酒; 梅酒; 白酒; 蜂蜜酒;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</si>
  <si>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r>
      <t>罗</t>
    </r>
    <r>
      <rPr>
        <sz val="11"/>
        <color theme="1"/>
        <rFont val="ＭＳ Ｐゴシック"/>
        <family val="3"/>
        <charset val="128"/>
        <scheme val="minor"/>
      </rPr>
      <t>生堂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</si>
  <si>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连</t>
    </r>
    <r>
      <rPr>
        <sz val="11"/>
        <color theme="1"/>
        <rFont val="ＭＳ Ｐゴシック"/>
        <family val="3"/>
        <charset val="128"/>
        <scheme val="minor"/>
      </rPr>
      <t>富智森生物科技有限公司</t>
    </r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</si>
  <si>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茴香酒（利口酒）</t>
    </r>
  </si>
  <si>
    <r>
      <t>英豪水</t>
    </r>
    <r>
      <rPr>
        <sz val="11"/>
        <color theme="1"/>
        <rFont val="ＭＳ Ｐゴシック"/>
        <family val="3"/>
        <charset val="134"/>
        <scheme val="minor"/>
      </rPr>
      <t>浒</t>
    </r>
  </si>
  <si>
    <t>王小敏</t>
  </si>
  <si>
    <r>
      <t xml:space="preserve">食用酒精; 白酒; 露酒; 青稞酒;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烈酒; 葡萄酒; 黄酒</t>
    </r>
  </si>
  <si>
    <r>
      <t>鹿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二担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</si>
  <si>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固阳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大地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丰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民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</si>
  <si>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清酒（日本米酒）; 白酒;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</si>
  <si>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境山境水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</si>
  <si>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州境水品牌运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</si>
  <si>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葡萄酒;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</si>
  <si>
    <t>翰聚</t>
  </si>
  <si>
    <r>
      <t>内蒙古翰聚律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事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所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</si>
  <si>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米酒; 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果酒; 佐餐酒; 白酒</t>
    </r>
  </si>
  <si>
    <r>
      <t>赉</t>
    </r>
    <r>
      <rPr>
        <sz val="11"/>
        <color theme="1"/>
        <rFont val="ＭＳ Ｐゴシック"/>
        <family val="3"/>
        <charset val="128"/>
        <scheme val="minor"/>
      </rPr>
      <t>特酣</t>
    </r>
  </si>
  <si>
    <r>
      <t>扎</t>
    </r>
    <r>
      <rPr>
        <sz val="11"/>
        <color theme="1"/>
        <rFont val="ＭＳ Ｐゴシック"/>
        <family val="3"/>
        <charset val="134"/>
        <scheme val="minor"/>
      </rPr>
      <t>赉</t>
    </r>
    <r>
      <rPr>
        <sz val="11"/>
        <color theme="1"/>
        <rFont val="ＭＳ Ｐゴシック"/>
        <family val="3"/>
        <charset val="128"/>
        <scheme val="minor"/>
      </rPr>
      <t>特旗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</si>
  <si>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葡萄酒; 米酒;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</si>
  <si>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坡眷</t>
    </r>
  </si>
  <si>
    <r>
      <t>谷士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</si>
  <si>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</t>
    </r>
  </si>
  <si>
    <t>洋之粮</t>
  </si>
  <si>
    <r>
      <t>宿迁市茅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洋尾酒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</si>
  <si>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甜果酒; 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</si>
  <si>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云甘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</si>
  <si>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>汤兴</t>
    </r>
    <r>
      <rPr>
        <sz val="11"/>
        <color theme="1"/>
        <rFont val="ＭＳ Ｐゴシック"/>
        <family val="3"/>
        <charset val="128"/>
        <scheme val="minor"/>
      </rPr>
      <t>有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</si>
  <si>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高粱酒;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甘蔗制烈酒; 甘蔗汁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朗姆酒; 果酒</t>
    </r>
  </si>
  <si>
    <t>桶丹</t>
  </si>
  <si>
    <r>
      <t>广西</t>
    </r>
    <r>
      <rPr>
        <sz val="11"/>
        <color theme="1"/>
        <rFont val="ＭＳ Ｐゴシック"/>
        <family val="3"/>
        <charset val="134"/>
        <scheme val="minor"/>
      </rPr>
      <t>时间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</si>
  <si>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苹果酒;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开胃酒</t>
    </r>
  </si>
  <si>
    <r>
      <t>大今</t>
    </r>
    <r>
      <rPr>
        <sz val="11"/>
        <color theme="1"/>
        <rFont val="ＭＳ Ｐゴシック"/>
        <family val="3"/>
        <charset val="134"/>
        <scheme val="minor"/>
      </rPr>
      <t>华钢</t>
    </r>
  </si>
  <si>
    <t>武花珍</t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</si>
  <si>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威士忌;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</t>
    </r>
  </si>
  <si>
    <r>
      <t>醉美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红</t>
    </r>
  </si>
  <si>
    <t>李仲成</t>
  </si>
  <si>
    <r>
      <t>葡萄酒; 果酒（含酒精）; 白酒; 蜂蜜酒; 开胃酒; 威士忌;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米酒</t>
    </r>
  </si>
  <si>
    <r>
      <t>德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源麟州印象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</si>
  <si>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平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</si>
  <si>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</si>
  <si>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条阳仙</t>
  </si>
  <si>
    <t>李阳******************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</si>
  <si>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葡萄酒; 清酒（日本米酒）; 白酒;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</t>
    </r>
  </si>
  <si>
    <t>佰富德</t>
  </si>
  <si>
    <r>
      <t>泉州君品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</si>
  <si>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</si>
  <si>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钰鳯</t>
    </r>
    <r>
      <rPr>
        <sz val="11"/>
        <color theme="1"/>
        <rFont val="ＭＳ Ｐゴシック"/>
        <family val="3"/>
        <charset val="128"/>
        <scheme val="minor"/>
      </rPr>
      <t>会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</si>
  <si>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>鹤</t>
    </r>
    <r>
      <rPr>
        <sz val="11"/>
        <color theme="1"/>
        <rFont val="ＭＳ Ｐゴシック"/>
        <family val="3"/>
        <charset val="128"/>
        <scheme val="minor"/>
      </rPr>
      <t>壁欣</t>
    </r>
    <r>
      <rPr>
        <sz val="11"/>
        <color theme="1"/>
        <rFont val="ＭＳ Ｐゴシック"/>
        <family val="3"/>
        <charset val="134"/>
        <scheme val="minor"/>
      </rPr>
      <t>爱电动车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</si>
  <si>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黄酒</t>
    </r>
  </si>
  <si>
    <t>乾康本源</t>
  </si>
  <si>
    <t>王技</t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</si>
  <si>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米酒; 果酒; 黄酒; 白酒; 葡萄酒; 威士忌</t>
    </r>
  </si>
  <si>
    <r>
      <t>贡</t>
    </r>
    <r>
      <rPr>
        <sz val="11"/>
        <color theme="1"/>
        <rFont val="ＭＳ Ｐゴシック"/>
        <family val="3"/>
        <charset val="128"/>
        <scheme val="minor"/>
      </rPr>
      <t>玖</t>
    </r>
  </si>
  <si>
    <r>
      <t>北京行健弘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</si>
  <si>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汽酒;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</si>
  <si>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卟</t>
    </r>
    <r>
      <rPr>
        <sz val="11"/>
        <color theme="1"/>
        <rFont val="ＭＳ Ｐゴシック"/>
        <family val="3"/>
        <charset val="129"/>
        <scheme val="minor"/>
      </rPr>
      <t>咚</t>
    </r>
  </si>
  <si>
    <r>
      <t>代</t>
    </r>
    <r>
      <rPr>
        <sz val="11"/>
        <color theme="1"/>
        <rFont val="ＭＳ Ｐゴシック"/>
        <family val="3"/>
        <charset val="134"/>
        <scheme val="minor"/>
      </rPr>
      <t>应</t>
    </r>
    <r>
      <rPr>
        <sz val="11"/>
        <color theme="1"/>
        <rFont val="ＭＳ Ｐゴシック"/>
        <family val="3"/>
        <charset val="128"/>
        <scheme val="minor"/>
      </rPr>
      <t>平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</si>
  <si>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米酒; 白酒; 威士忌</t>
    </r>
  </si>
  <si>
    <t>渝阳洞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</si>
  <si>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倪氏洞藏酒</t>
    </r>
    <r>
      <rPr>
        <sz val="11"/>
        <color theme="1"/>
        <rFont val="ＭＳ Ｐゴシック"/>
        <family val="3"/>
        <charset val="134"/>
        <scheme val="minor"/>
      </rPr>
      <t>业经营</t>
    </r>
    <r>
      <rPr>
        <sz val="11"/>
        <color theme="1"/>
        <rFont val="ＭＳ Ｐゴシック"/>
        <family val="3"/>
        <charset val="128"/>
        <scheme val="minor"/>
      </rPr>
      <t>部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</si>
  <si>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餐后酒（利口酒和烈酒）</t>
    </r>
  </si>
  <si>
    <r>
      <t>权</t>
    </r>
    <r>
      <rPr>
        <sz val="11"/>
        <color theme="1"/>
        <rFont val="ＭＳ Ｐゴシック"/>
        <family val="3"/>
        <charset val="128"/>
        <scheme val="minor"/>
      </rPr>
      <t>九洲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</si>
  <si>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</si>
  <si>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一江</t>
    </r>
    <r>
      <rPr>
        <sz val="11"/>
        <color theme="1"/>
        <rFont val="ＭＳ Ｐゴシック"/>
        <family val="3"/>
        <charset val="134"/>
        <scheme val="minor"/>
      </rPr>
      <t>临</t>
    </r>
  </si>
  <si>
    <r>
      <t>平阳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名</t>
    </r>
    <r>
      <rPr>
        <sz val="11"/>
        <color theme="1"/>
        <rFont val="ＭＳ Ｐゴシック"/>
        <family val="3"/>
        <charset val="134"/>
        <scheme val="minor"/>
      </rPr>
      <t>轮</t>
    </r>
    <r>
      <rPr>
        <sz val="11"/>
        <color theme="1"/>
        <rFont val="ＭＳ Ｐゴシック"/>
        <family val="3"/>
        <charset val="128"/>
        <scheme val="minor"/>
      </rPr>
      <t>城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</si>
  <si>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果酒;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白酒</t>
    </r>
  </si>
  <si>
    <t>古穿今匠</t>
  </si>
  <si>
    <r>
      <t>河南</t>
    </r>
    <r>
      <rPr>
        <sz val="11"/>
        <color theme="1"/>
        <rFont val="ＭＳ Ｐゴシック"/>
        <family val="3"/>
        <charset val="134"/>
        <scheme val="minor"/>
      </rPr>
      <t>华尔</t>
    </r>
    <r>
      <rPr>
        <sz val="11"/>
        <color theme="1"/>
        <rFont val="ＭＳ Ｐゴシック"/>
        <family val="3"/>
        <charset val="128"/>
        <scheme val="minor"/>
      </rPr>
      <t>嘉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</si>
  <si>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葡萄酒; 果酒; 白酒; 开胃酒;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梨酒; 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</si>
  <si>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台世原 TSY</t>
  </si>
  <si>
    <r>
      <t>刘高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</si>
  <si>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蒸煮提取物（利口酒和烈酒）; 食用酒精</t>
    </r>
  </si>
  <si>
    <t>四坪大海的酒</t>
  </si>
  <si>
    <t>林德波******************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</si>
  <si>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</si>
  <si>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菲</t>
    </r>
    <r>
      <rPr>
        <sz val="11"/>
        <color theme="1"/>
        <rFont val="ＭＳ Ｐゴシック"/>
        <family val="3"/>
        <charset val="134"/>
        <scheme val="minor"/>
      </rPr>
      <t>丽</t>
    </r>
  </si>
  <si>
    <t>徐州融泰家具有限公司</t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</si>
  <si>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葡萄酒; 黄酒;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</si>
  <si>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富双神</t>
  </si>
  <si>
    <t>莫凌之</t>
  </si>
  <si>
    <r>
      <t xml:space="preserve">威士忌;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</si>
  <si>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瓦屋里</t>
  </si>
  <si>
    <t>伍生</t>
  </si>
  <si>
    <r>
      <t xml:space="preserve">白酒; 汽酒;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果酒;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</si>
  <si>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岳阳玉松食品有限公司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</si>
  <si>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</si>
  <si>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晋醉天下</t>
  </si>
  <si>
    <r>
      <t>胡小</t>
    </r>
    <r>
      <rPr>
        <sz val="11"/>
        <color theme="1"/>
        <rFont val="ＭＳ Ｐゴシック"/>
        <family val="3"/>
        <charset val="134"/>
        <scheme val="minor"/>
      </rPr>
      <t>丽</t>
    </r>
  </si>
  <si>
    <r>
      <t>清酒; 白酒; 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露酒;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</si>
  <si>
    <t>好客旺清</t>
  </si>
  <si>
    <t>李建</t>
  </si>
  <si>
    <r>
      <t>葡萄酒; 黄酒; 白酒;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清酒</t>
    </r>
  </si>
  <si>
    <r>
      <t>二黑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奇</t>
    </r>
  </si>
  <si>
    <r>
      <t>山西奥圣生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</si>
  <si>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烈酒; 甜果酒;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蜂蜜酒; 白酒</t>
    </r>
  </si>
  <si>
    <r>
      <t>众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拓格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</si>
  <si>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宁合嘉</t>
    </r>
    <r>
      <rPr>
        <sz val="11"/>
        <color theme="1"/>
        <rFont val="ＭＳ Ｐゴシック"/>
        <family val="3"/>
        <charset val="134"/>
        <scheme val="minor"/>
      </rPr>
      <t>赢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</si>
  <si>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蜂蜜酒; 葡萄酒; 威士忌; 黄酒; 汽酒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</si>
  <si>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赤壁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</si>
  <si>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立楠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</si>
  <si>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葡萄酒; 清酒（日本米酒）; 威士忌; 果酒</t>
    </r>
  </si>
  <si>
    <r>
      <t>壶</t>
    </r>
    <r>
      <rPr>
        <sz val="11"/>
        <color theme="1"/>
        <rFont val="ＭＳ Ｐゴシック"/>
        <family val="3"/>
        <charset val="128"/>
        <scheme val="minor"/>
      </rPr>
      <t>之悦</t>
    </r>
  </si>
  <si>
    <r>
      <t>袁</t>
    </r>
    <r>
      <rPr>
        <sz val="11"/>
        <color theme="1"/>
        <rFont val="ＭＳ Ｐゴシック"/>
        <family val="3"/>
        <charset val="134"/>
        <scheme val="minor"/>
      </rPr>
      <t>细华</t>
    </r>
  </si>
  <si>
    <r>
      <t>青稞酒; 食用酒精; 果酒（含酒精）;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</si>
  <si>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徽</t>
    </r>
    <r>
      <rPr>
        <sz val="11"/>
        <color theme="1"/>
        <rFont val="ＭＳ Ｐゴシック"/>
        <family val="3"/>
        <charset val="134"/>
        <scheme val="minor"/>
      </rPr>
      <t>诗</t>
    </r>
  </si>
  <si>
    <r>
      <t>卢</t>
    </r>
    <r>
      <rPr>
        <sz val="11"/>
        <color theme="1"/>
        <rFont val="ＭＳ Ｐゴシック"/>
        <family val="3"/>
        <charset val="128"/>
        <scheme val="minor"/>
      </rPr>
      <t>俊霞</t>
    </r>
  </si>
  <si>
    <r>
      <t>伏特加酒;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烈酒; 清酒（日本米酒）;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葡萄酒; 汽酒</t>
    </r>
  </si>
  <si>
    <r>
      <t>晋阳</t>
    </r>
    <r>
      <rPr>
        <sz val="11"/>
        <color theme="1"/>
        <rFont val="ＭＳ Ｐゴシック"/>
        <family val="3"/>
        <charset val="134"/>
        <scheme val="minor"/>
      </rPr>
      <t>贤</t>
    </r>
  </si>
  <si>
    <t>霍乃喜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</si>
  <si>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露酒</t>
    </r>
  </si>
  <si>
    <t>陶之彩陶藏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</si>
  <si>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金梦香酒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</si>
  <si>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t>甜果酒; 黄酒; 白酒; 蒸煮提取物（利口酒和烈酒）; 露酒; 果酒（含酒精）; 果酒; 白干酒（中国白酒）; 米酒; 高粱酒</t>
  </si>
  <si>
    <r>
      <t>老</t>
    </r>
    <r>
      <rPr>
        <sz val="11"/>
        <color theme="1"/>
        <rFont val="ＭＳ Ｐゴシック"/>
        <family val="3"/>
        <charset val="134"/>
        <scheme val="minor"/>
      </rPr>
      <t>韩</t>
    </r>
    <r>
      <rPr>
        <sz val="11"/>
        <color theme="1"/>
        <rFont val="ＭＳ Ｐゴシック"/>
        <family val="3"/>
        <charset val="128"/>
        <scheme val="minor"/>
      </rPr>
      <t>酒来</t>
    </r>
    <r>
      <rPr>
        <sz val="11"/>
        <color theme="1"/>
        <rFont val="ＭＳ Ｐゴシック"/>
        <family val="3"/>
        <charset val="134"/>
        <scheme val="minor"/>
      </rPr>
      <t>贺</t>
    </r>
  </si>
  <si>
    <r>
      <t>建昌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老</t>
    </r>
    <r>
      <rPr>
        <sz val="11"/>
        <color theme="1"/>
        <rFont val="ＭＳ Ｐゴシック"/>
        <family val="3"/>
        <charset val="134"/>
        <scheme val="minor"/>
      </rPr>
      <t>韩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</si>
  <si>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高粱酒;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开胃酒</t>
    </r>
  </si>
  <si>
    <r>
      <t>鹿生源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鹿</t>
    </r>
  </si>
  <si>
    <r>
      <t>广西灵山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鹿生源鹿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</si>
  <si>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黄酒; 白酒; 苦味酒;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五加皮酒（中国混合烈酒）;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米酒; 烈酒; 开胃酒</t>
    </r>
  </si>
  <si>
    <r>
      <t>汇</t>
    </r>
    <r>
      <rPr>
        <sz val="11"/>
        <color theme="1"/>
        <rFont val="ＭＳ Ｐゴシック"/>
        <family val="3"/>
        <charset val="128"/>
        <scheme val="minor"/>
      </rPr>
      <t>聚小</t>
    </r>
    <r>
      <rPr>
        <sz val="11"/>
        <color theme="1"/>
        <rFont val="ＭＳ Ｐゴシック"/>
        <family val="3"/>
        <charset val="134"/>
        <scheme val="minor"/>
      </rPr>
      <t>艺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</si>
  <si>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聚七兄弟酒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</si>
  <si>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威士忌;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</si>
  <si>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金</t>
    </r>
    <r>
      <rPr>
        <sz val="11"/>
        <color theme="1"/>
        <rFont val="ＭＳ Ｐゴシック"/>
        <family val="3"/>
        <charset val="134"/>
        <scheme val="minor"/>
      </rPr>
      <t>辉铭见</t>
    </r>
    <r>
      <rPr>
        <sz val="11"/>
        <color theme="1"/>
        <rFont val="ＭＳ Ｐゴシック"/>
        <family val="3"/>
        <charset val="128"/>
        <scheme val="minor"/>
      </rPr>
      <t>酒如面</t>
    </r>
  </si>
  <si>
    <t>林春雄</t>
  </si>
  <si>
    <r>
      <t>米酒;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白葡萄酒; 甜酒; 白酒</t>
    </r>
  </si>
  <si>
    <t>允晟</t>
  </si>
  <si>
    <r>
      <t>武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思学酒厂</t>
    </r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</si>
  <si>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高粱酒; 青稞酒; 白干酒（中国白酒）; 白葡萄酒</t>
    </r>
  </si>
  <si>
    <t>巴蜀金花</t>
  </si>
  <si>
    <t>董武学</t>
  </si>
  <si>
    <r>
      <t xml:space="preserve">米酒;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利口酒;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甜酒;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</si>
  <si>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三才第</t>
  </si>
  <si>
    <t>潘霍喜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</si>
  <si>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葡萄酒; 开胃酒; 高粱酒; 黄酒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</si>
  <si>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留侯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</si>
  <si>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六益堂生物科技有限公司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</si>
  <si>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露酒;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</si>
  <si>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t>寰泰</t>
  </si>
  <si>
    <t>宁波寰泰复合材料有限公司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</si>
  <si>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</si>
  <si>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海</t>
    </r>
    <r>
      <rPr>
        <sz val="11"/>
        <color theme="1"/>
        <rFont val="ＭＳ Ｐゴシック"/>
        <family val="3"/>
        <charset val="134"/>
        <scheme val="minor"/>
      </rPr>
      <t>刚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</si>
  <si>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夫格商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</si>
  <si>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利口酒; 汽酒; 高粱酒; 果酒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</si>
  <si>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大拿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</si>
  <si>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文涛</t>
    </r>
  </si>
  <si>
    <r>
      <t>白酒; 黄酒;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蜂蜜酒;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</si>
  <si>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山瑜</t>
  </si>
  <si>
    <r>
      <t>烟台吉斯波</t>
    </r>
    <r>
      <rPr>
        <sz val="11"/>
        <color theme="1"/>
        <rFont val="ＭＳ Ｐゴシック"/>
        <family val="3"/>
        <charset val="134"/>
        <scheme val="minor"/>
      </rPr>
      <t>尔酿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</si>
  <si>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朗姆酒; 杜松子酒;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果酒; 威士忌; 清酒; 汽酒; 黄酒; 伏特加酒; 米酒; 白酒</t>
    </r>
  </si>
  <si>
    <t>三典香</t>
  </si>
  <si>
    <t>何宇航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</si>
  <si>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白酒; 苹果酒;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餐后酒（利口酒和烈酒）</t>
    </r>
  </si>
  <si>
    <t>帕尼哲</t>
  </si>
  <si>
    <r>
      <t>开封市祥符区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深服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</si>
  <si>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食用酒精;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</si>
  <si>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轩</t>
    </r>
    <r>
      <rPr>
        <sz val="11"/>
        <color theme="1"/>
        <rFont val="ＭＳ Ｐゴシック"/>
        <family val="3"/>
        <charset val="128"/>
        <scheme val="minor"/>
      </rPr>
      <t>卡斯</t>
    </r>
  </si>
  <si>
    <r>
      <t>康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菊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</si>
  <si>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利口酒; 朗姆酒; 汽酒; 伏特加酒;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</si>
  <si>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HENVYXS</t>
  </si>
  <si>
    <r>
      <t>张</t>
    </r>
    <r>
      <rPr>
        <sz val="11"/>
        <color theme="1"/>
        <rFont val="ＭＳ Ｐゴシック"/>
        <family val="3"/>
        <charset val="128"/>
        <scheme val="minor"/>
      </rPr>
      <t>广堂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</si>
  <si>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威士忌; 伏特加酒; 黄酒; 烈酒;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米酒</t>
    </r>
  </si>
  <si>
    <t>七缸山</t>
  </si>
  <si>
    <r>
      <t>谭</t>
    </r>
    <r>
      <rPr>
        <sz val="11"/>
        <color theme="1"/>
        <rFont val="ＭＳ Ｐゴシック"/>
        <family val="3"/>
        <charset val="128"/>
        <scheme val="minor"/>
      </rPr>
      <t>千礼</t>
    </r>
  </si>
  <si>
    <r>
      <t>清酒; 开胃酒;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</si>
  <si>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夫</t>
    </r>
    <r>
      <rPr>
        <sz val="11"/>
        <color theme="1"/>
        <rFont val="ＭＳ Ｐゴシック"/>
        <family val="3"/>
        <charset val="134"/>
        <scheme val="minor"/>
      </rPr>
      <t>为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</si>
  <si>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亮亮******************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</si>
  <si>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青稞酒;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</t>
    </r>
  </si>
  <si>
    <t>麦可酷</t>
  </si>
  <si>
    <r>
      <t>佛山市南海太康制冷</t>
    </r>
    <r>
      <rPr>
        <sz val="11"/>
        <color theme="1"/>
        <rFont val="ＭＳ Ｐゴシック"/>
        <family val="3"/>
        <charset val="134"/>
        <scheme val="minor"/>
      </rPr>
      <t>设备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</si>
  <si>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米酒; 伏特加酒;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</si>
  <si>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彼得·蒂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</si>
  <si>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永池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</si>
  <si>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麦芽威士忌;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伏特加酒; 混合威士忌酒; 威士忌</t>
    </r>
  </si>
  <si>
    <t>梅小恋</t>
  </si>
  <si>
    <t>易景金</t>
  </si>
  <si>
    <r>
      <t>威士忌; 米酒; 果酒（含酒精）; 清酒（日本米酒）; 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</si>
  <si>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昭代</t>
  </si>
  <si>
    <t>北京中医世家医学研究院</t>
  </si>
  <si>
    <r>
      <t>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食用酒精</t>
    </r>
  </si>
  <si>
    <r>
      <t>珠峰米</t>
    </r>
    <r>
      <rPr>
        <sz val="11"/>
        <color theme="1"/>
        <rFont val="ＭＳ Ｐゴシック"/>
        <family val="3"/>
        <charset val="129"/>
        <scheme val="minor"/>
      </rPr>
      <t>朵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</si>
  <si>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藏</t>
    </r>
    <r>
      <rPr>
        <sz val="11"/>
        <color theme="1"/>
        <rFont val="ＭＳ Ｐゴシック"/>
        <family val="3"/>
        <charset val="134"/>
        <scheme val="minor"/>
      </rPr>
      <t>鲁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</si>
  <si>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清酒</t>
    </r>
  </si>
  <si>
    <r>
      <t>越上</t>
    </r>
    <r>
      <rPr>
        <sz val="11"/>
        <color theme="1"/>
        <rFont val="ＭＳ Ｐゴシック"/>
        <family val="3"/>
        <charset val="134"/>
        <scheme val="minor"/>
      </rPr>
      <t>壶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</si>
  <si>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秀帮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</si>
  <si>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米酒; 葡萄酒</t>
    </r>
  </si>
  <si>
    <r>
      <t>汾阳市善源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</si>
  <si>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</si>
  <si>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煮酒伯</t>
  </si>
  <si>
    <t>杜春燕</t>
  </si>
  <si>
    <r>
      <t xml:space="preserve">果酒（含酒精）; 开胃酒; 烈酒; 威士忌;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黄酒</t>
    </r>
  </si>
  <si>
    <t>MONEYMONEYBEAR</t>
  </si>
  <si>
    <r>
      <t>康斯坦利集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控股有限公司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</si>
  <si>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葡萄酒</t>
    </r>
  </si>
  <si>
    <t>蔓卡索</t>
  </si>
  <si>
    <r>
      <t>杭州文商酒客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</si>
  <si>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清酒（日本米酒）;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利口酒; 朗姆酒; 伏特加酒; 白酒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</si>
  <si>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太公</t>
    </r>
  </si>
  <si>
    <r>
      <t>李晚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</si>
  <si>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白干酒（中国白酒）; 米酒; 果酒（含酒精）; 黄酒;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</t>
    </r>
  </si>
  <si>
    <t>沉古</t>
  </si>
  <si>
    <t>林冬玲</t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</si>
  <si>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 xml:space="preserve">甜酒;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利口酒; 葡萄酒; 清酒（日本米酒）</t>
    </r>
  </si>
  <si>
    <t>横河大山</t>
  </si>
  <si>
    <r>
      <t>慈溪虹梅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梅种植有限公司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</si>
  <si>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白酒; 黄酒</t>
    </r>
  </si>
  <si>
    <r>
      <t>心越</t>
    </r>
    <r>
      <rPr>
        <sz val="11"/>
        <color theme="1"/>
        <rFont val="ＭＳ Ｐゴシック"/>
        <family val="3"/>
        <charset val="134"/>
        <scheme val="minor"/>
      </rPr>
      <t>线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</si>
  <si>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忠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</si>
  <si>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</si>
  <si>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依承世家</t>
  </si>
  <si>
    <t>武商控股（深圳）有限公司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</si>
  <si>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白酒; 高粱酒; 米酒</t>
    </r>
  </si>
  <si>
    <r>
      <t>烨</t>
    </r>
    <r>
      <rPr>
        <sz val="11"/>
        <color theme="1"/>
        <rFont val="ＭＳ Ｐゴシック"/>
        <family val="3"/>
        <charset val="128"/>
        <scheme val="minor"/>
      </rPr>
      <t>扁</t>
    </r>
    <r>
      <rPr>
        <sz val="11"/>
        <color theme="1"/>
        <rFont val="ＭＳ Ｐゴシック"/>
        <family val="3"/>
        <charset val="134"/>
        <scheme val="minor"/>
      </rPr>
      <t>鹊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</si>
  <si>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志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</si>
  <si>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葡萄酒; 果酒（含酒精）; 开胃酒; 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白酒</t>
    </r>
  </si>
  <si>
    <r>
      <t>汇</t>
    </r>
    <r>
      <rPr>
        <sz val="11"/>
        <color theme="1"/>
        <rFont val="ＭＳ Ｐゴシック"/>
        <family val="3"/>
        <charset val="128"/>
        <scheme val="minor"/>
      </rPr>
      <t>瑶台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</si>
  <si>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食用酒精; 白酒; 果酒（含酒精）</t>
    </r>
  </si>
  <si>
    <t>甘小滋 CORSMLOCEE</t>
  </si>
  <si>
    <r>
      <t>李昂</t>
    </r>
    <r>
      <rPr>
        <sz val="11"/>
        <color theme="1"/>
        <rFont val="ＭＳ Ｐゴシック"/>
        <family val="3"/>
        <charset val="134"/>
        <scheme val="minor"/>
      </rPr>
      <t>扬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</si>
  <si>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威士忌; 白酒; 梅酒;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黄酒; 果酒（含酒精）</t>
    </r>
  </si>
  <si>
    <r>
      <t>为</t>
    </r>
    <r>
      <rPr>
        <sz val="11"/>
        <color theme="1"/>
        <rFont val="ＭＳ Ｐゴシック"/>
        <family val="3"/>
        <charset val="128"/>
        <scheme val="minor"/>
      </rPr>
      <t>莱之美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</si>
  <si>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莱之美品牌管理有限公司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</si>
  <si>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米酒</t>
    </r>
  </si>
  <si>
    <r>
      <t>郝江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</si>
  <si>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东济</t>
    </r>
    <r>
      <rPr>
        <sz val="11"/>
        <color theme="1"/>
        <rFont val="ＭＳ Ｐゴシック"/>
        <family val="3"/>
        <charset val="128"/>
        <scheme val="minor"/>
      </rPr>
      <t>名食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</si>
  <si>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薄荷酒;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黄酒; 苹果酒;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</si>
  <si>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温伯雪</t>
  </si>
  <si>
    <t>梅海清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</si>
  <si>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</si>
  <si>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香港</t>
    </r>
    <r>
      <rPr>
        <sz val="11"/>
        <color theme="1"/>
        <rFont val="ＭＳ Ｐゴシック"/>
        <family val="3"/>
        <charset val="134"/>
        <scheme val="minor"/>
      </rPr>
      <t>电视</t>
    </r>
    <r>
      <rPr>
        <sz val="11"/>
        <color theme="1"/>
        <rFont val="ＭＳ Ｐゴシック"/>
        <family val="3"/>
        <charset val="128"/>
        <scheme val="minor"/>
      </rPr>
      <t>台有限公司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</si>
  <si>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伏特加酒;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清酒; 米酒; 青稞酒; 汽酒</t>
    </r>
  </si>
  <si>
    <t>六尺向养</t>
  </si>
  <si>
    <t>桐城市文都健康管理有限公司</t>
  </si>
  <si>
    <r>
      <t>蒸煮提取物（利口酒和烈酒）; 白酒;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以朗姆酒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</si>
  <si>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誉味佳</t>
  </si>
  <si>
    <t>高雷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</si>
  <si>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高粱酒;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</t>
    </r>
  </si>
  <si>
    <r>
      <t>东发</t>
    </r>
    <r>
      <rPr>
        <sz val="11"/>
        <color theme="1"/>
        <rFont val="ＭＳ Ｐゴシック"/>
        <family val="3"/>
        <charset val="128"/>
        <scheme val="minor"/>
      </rPr>
      <t>源</t>
    </r>
  </si>
  <si>
    <t>中鹿生物（吉林）有限公司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</si>
  <si>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利口酒; 米酒;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</si>
  <si>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季品特秘</t>
  </si>
  <si>
    <r>
      <t>朱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</si>
  <si>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米酒; 果酒;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</si>
  <si>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扁</t>
    </r>
    <r>
      <rPr>
        <sz val="11"/>
        <color theme="1"/>
        <rFont val="ＭＳ Ｐゴシック"/>
        <family val="3"/>
        <charset val="134"/>
        <scheme val="minor"/>
      </rPr>
      <t>鹊</t>
    </r>
    <r>
      <rPr>
        <sz val="11"/>
        <color theme="1"/>
        <rFont val="ＭＳ Ｐゴシック"/>
        <family val="3"/>
        <charset val="128"/>
        <scheme val="minor"/>
      </rPr>
      <t>的秘密</t>
    </r>
  </si>
  <si>
    <t>宋祥</t>
  </si>
  <si>
    <r>
      <t>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果酒（含酒精）</t>
    </r>
  </si>
  <si>
    <r>
      <t>佳醇盛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 xml:space="preserve"> JIANIANGSHENGCHUANG</t>
    </r>
  </si>
  <si>
    <r>
      <t>广州市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盛物</t>
    </r>
    <r>
      <rPr>
        <sz val="11"/>
        <color theme="1"/>
        <rFont val="ＭＳ Ｐゴシック"/>
        <family val="3"/>
        <charset val="134"/>
        <scheme val="minor"/>
      </rPr>
      <t>业经营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</si>
  <si>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</si>
  <si>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苍农</t>
    </r>
    <r>
      <rPr>
        <sz val="11"/>
        <color theme="1"/>
        <rFont val="ＭＳ Ｐゴシック"/>
        <family val="3"/>
        <charset val="128"/>
        <scheme val="minor"/>
      </rPr>
      <t>道</t>
    </r>
  </si>
  <si>
    <t>李名</t>
  </si>
  <si>
    <r>
      <t>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白酒; 黄酒; 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</si>
  <si>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龙滨馆</t>
    </r>
    <r>
      <rPr>
        <sz val="11"/>
        <color theme="1"/>
        <rFont val="ＭＳ Ｐゴシック"/>
        <family val="3"/>
        <charset val="128"/>
        <scheme val="minor"/>
      </rPr>
      <t>藏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</si>
  <si>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刺五加酒;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米酒;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</si>
  <si>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御笋山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</si>
  <si>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西美溢添通达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</si>
  <si>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烈酒; 白酒; 果酒（含酒精）</t>
    </r>
  </si>
  <si>
    <r>
      <t>芈</t>
    </r>
    <r>
      <rPr>
        <sz val="11"/>
        <color theme="1"/>
        <rFont val="ＭＳ Ｐゴシック"/>
        <family val="3"/>
        <charset val="128"/>
        <scheme val="minor"/>
      </rPr>
      <t>奇</t>
    </r>
  </si>
  <si>
    <r>
      <t>广州市</t>
    </r>
    <r>
      <rPr>
        <sz val="11"/>
        <color theme="1"/>
        <rFont val="ＭＳ Ｐゴシック"/>
        <family val="3"/>
        <charset val="134"/>
        <scheme val="minor"/>
      </rPr>
      <t>芈</t>
    </r>
    <r>
      <rPr>
        <sz val="11"/>
        <color theme="1"/>
        <rFont val="ＭＳ Ｐゴシック"/>
        <family val="3"/>
        <charset val="128"/>
        <scheme val="minor"/>
      </rPr>
      <t>奇食品科技有限公司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</si>
  <si>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清酒; 黄酒; 烈酒; 汽酒;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</si>
  <si>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犹江云露</t>
  </si>
  <si>
    <t>刘世浪</t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</si>
  <si>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</si>
  <si>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仙翁</t>
    </r>
  </si>
  <si>
    <r>
      <t>刘建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</si>
  <si>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开胃酒; 烈酒; 高粱酒; 果酒（含酒精）;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白干酒（中国白酒）</t>
    </r>
  </si>
  <si>
    <t>小方良</t>
  </si>
  <si>
    <r>
      <t>保定京城酒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</si>
  <si>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果酒（含酒精）; 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青稞酒</t>
    </r>
  </si>
  <si>
    <r>
      <t>佰琅</t>
    </r>
    <r>
      <rPr>
        <sz val="11"/>
        <color theme="1"/>
        <rFont val="ＭＳ Ｐゴシック"/>
        <family val="3"/>
        <charset val="134"/>
        <scheme val="minor"/>
      </rPr>
      <t>轩</t>
    </r>
  </si>
  <si>
    <r>
      <t>上海佰琅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</si>
  <si>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伏特加酒;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杜松子酒; 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朗姆酒; 青稞酒;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</si>
  <si>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中溥</t>
  </si>
  <si>
    <r>
      <t>刘智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</si>
  <si>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白干酒（中国白酒）; 开胃酒;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</t>
    </r>
  </si>
  <si>
    <r>
      <t>养</t>
    </r>
    <r>
      <rPr>
        <sz val="11"/>
        <color theme="1"/>
        <rFont val="ＭＳ Ｐゴシック"/>
        <family val="3"/>
        <charset val="134"/>
        <scheme val="minor"/>
      </rPr>
      <t>动</t>
    </r>
    <r>
      <rPr>
        <sz val="11"/>
        <color theme="1"/>
        <rFont val="ＭＳ Ｐゴシック"/>
        <family val="3"/>
        <charset val="128"/>
        <scheme val="minor"/>
      </rPr>
      <t>力</t>
    </r>
  </si>
  <si>
    <r>
      <t>王相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</si>
  <si>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</si>
  <si>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班</t>
    </r>
    <r>
      <rPr>
        <sz val="11"/>
        <color theme="1"/>
        <rFont val="ＭＳ Ｐゴシック"/>
        <family val="3"/>
        <charset val="134"/>
        <scheme val="minor"/>
      </rPr>
      <t>丛</t>
    </r>
  </si>
  <si>
    <r>
      <t>广州班山茶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</si>
  <si>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米酒;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</si>
  <si>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惟凡</t>
  </si>
  <si>
    <t>李妍</t>
  </si>
  <si>
    <r>
      <t>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食用酒精; 白酒; 果酒（含酒精）; 汽酒; 黄酒; 葡萄酒</t>
    </r>
  </si>
  <si>
    <t>晋之旅</t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</si>
  <si>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露酒;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果酒（含酒精）; 伏特加酒</t>
    </r>
  </si>
  <si>
    <r>
      <t>裕吉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</si>
  <si>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桐</t>
    </r>
    <r>
      <rPr>
        <sz val="11"/>
        <color theme="1"/>
        <rFont val="ＭＳ Ｐゴシック"/>
        <family val="3"/>
        <charset val="134"/>
        <scheme val="minor"/>
      </rPr>
      <t>乡汇</t>
    </r>
    <r>
      <rPr>
        <sz val="11"/>
        <color theme="1"/>
        <rFont val="ＭＳ Ｐゴシック"/>
        <family val="3"/>
        <charset val="128"/>
        <scheme val="minor"/>
      </rPr>
      <t>邦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</si>
  <si>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青稞酒</t>
    </r>
  </si>
  <si>
    <r>
      <t>雁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扶</t>
    </r>
    <r>
      <rPr>
        <sz val="11"/>
        <color theme="1"/>
        <rFont val="ＭＳ Ｐゴシック"/>
        <family val="3"/>
        <charset val="134"/>
        <scheme val="minor"/>
      </rPr>
      <t>苏</t>
    </r>
  </si>
  <si>
    <r>
      <t>山西省代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扶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</si>
  <si>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青稞酒; 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清酒（日本米酒）</t>
    </r>
  </si>
  <si>
    <t>红鲲</t>
  </si>
  <si>
    <t>薛京京</t>
  </si>
  <si>
    <r>
      <t xml:space="preserve">黄酒; 果酒;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威士忌; 开胃酒</t>
    </r>
  </si>
  <si>
    <r>
      <t>晋之道玉</t>
    </r>
    <r>
      <rPr>
        <sz val="11"/>
        <color theme="1"/>
        <rFont val="ＭＳ Ｐゴシック"/>
        <family val="3"/>
        <charset val="134"/>
        <scheme val="minor"/>
      </rPr>
      <t>纷</t>
    </r>
  </si>
  <si>
    <r>
      <t>山西晋匠酒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</si>
  <si>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甘蔗制烈酒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</si>
  <si>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花匠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</si>
  <si>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清酒; 白酒; 高粱酒; 威士忌;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</si>
  <si>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宴羽</t>
  </si>
  <si>
    <t>王航航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</si>
  <si>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威士忌; 果酒; 白酒; 开胃酒; 黄酒</t>
    </r>
  </si>
  <si>
    <r>
      <t>毛成·酒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</si>
  <si>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威士忌; 葡萄酒; 白酒; 开胃酒; 黄酒;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</t>
    </r>
  </si>
  <si>
    <r>
      <t>上京</t>
    </r>
    <r>
      <rPr>
        <sz val="11"/>
        <color theme="1"/>
        <rFont val="ＭＳ Ｐゴシック"/>
        <family val="3"/>
        <charset val="134"/>
        <scheme val="minor"/>
      </rPr>
      <t>绿</t>
    </r>
  </si>
  <si>
    <r>
      <t>昆明鼎信管理咨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</si>
  <si>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烈酒;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露酒</t>
    </r>
  </si>
  <si>
    <t>八沐通</t>
  </si>
  <si>
    <t>李明涛</t>
  </si>
  <si>
    <r>
      <t xml:space="preserve">白酒; 高粱酒; 露酒; 黄酒;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刺五加酒; 葡萄酒; 果酒</t>
    </r>
  </si>
  <si>
    <t>新月暖城味道</t>
  </si>
  <si>
    <r>
      <t>内蒙古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空文化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</si>
  <si>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黄酒; 烈酒;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开胃酒;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</si>
  <si>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元气福星</t>
  </si>
  <si>
    <r>
      <t>杨</t>
    </r>
    <r>
      <rPr>
        <sz val="11"/>
        <color theme="1"/>
        <rFont val="ＭＳ Ｐゴシック"/>
        <family val="3"/>
        <charset val="128"/>
        <scheme val="minor"/>
      </rPr>
      <t>媛媛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</si>
  <si>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葡萄酒</t>
    </r>
  </si>
  <si>
    <r>
      <t>浔</t>
    </r>
    <r>
      <rPr>
        <sz val="11"/>
        <color theme="1"/>
        <rFont val="ＭＳ Ｐゴシック"/>
        <family val="3"/>
        <charset val="128"/>
        <scheme val="minor"/>
      </rPr>
      <t>上仙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</si>
  <si>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清酒（日本米酒）; 葡萄酒; 果酒</t>
    </r>
  </si>
  <si>
    <t>延美恩妮</t>
  </si>
  <si>
    <r>
      <t>岳阳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</si>
  <si>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白干酒（中国白酒）; 米酒;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格利酒（朝</t>
    </r>
    <r>
      <rPr>
        <sz val="11"/>
        <color theme="1"/>
        <rFont val="ＭＳ Ｐゴシック"/>
        <family val="3"/>
        <charset val="134"/>
        <scheme val="minor"/>
      </rPr>
      <t>鲜传统</t>
    </r>
    <r>
      <rPr>
        <sz val="11"/>
        <color theme="1"/>
        <rFont val="ＭＳ Ｐゴシック"/>
        <family val="3"/>
        <charset val="128"/>
        <scheme val="minor"/>
      </rPr>
      <t>米酒）; 甜果酒;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</si>
  <si>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桑田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</si>
  <si>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紫椹生</t>
    </r>
    <r>
      <rPr>
        <sz val="11"/>
        <color theme="1"/>
        <rFont val="ＭＳ Ｐゴシック"/>
        <family val="3"/>
        <charset val="134"/>
        <scheme val="minor"/>
      </rPr>
      <t>态</t>
    </r>
    <r>
      <rPr>
        <sz val="11"/>
        <color theme="1"/>
        <rFont val="ＭＳ Ｐゴシック"/>
        <family val="3"/>
        <charset val="128"/>
        <scheme val="minor"/>
      </rPr>
      <t>庄园有限公司</t>
    </r>
  </si>
  <si>
    <r>
      <t>果酒（含酒精）; 青稞酒; 黄酒; 清酒（日本米酒）; 白酒;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</si>
  <si>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矮山北之江</t>
  </si>
  <si>
    <r>
      <t>林</t>
    </r>
    <r>
      <rPr>
        <sz val="11"/>
        <color theme="1"/>
        <rFont val="ＭＳ Ｐゴシック"/>
        <family val="3"/>
        <charset val="134"/>
        <scheme val="minor"/>
      </rPr>
      <t>贵华</t>
    </r>
  </si>
  <si>
    <r>
      <t>果酒（含酒精）; 蜂蜜酒;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葡萄酒;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</si>
  <si>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熊猫安居帮</t>
  </si>
  <si>
    <t>深圳市熊猫安居帮科技有限公司</t>
  </si>
  <si>
    <r>
      <t xml:space="preserve">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</si>
  <si>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花苗清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</si>
  <si>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东华</t>
    </r>
    <r>
      <rPr>
        <sz val="11"/>
        <color theme="1"/>
        <rFont val="ＭＳ Ｐゴシック"/>
        <family val="3"/>
        <charset val="128"/>
        <scheme val="minor"/>
      </rPr>
      <t>禧濠江健康科技有限公司</t>
    </r>
  </si>
  <si>
    <r>
      <t>汽酒; 清酒; 米酒; 烈酒;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葡萄酒;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</si>
  <si>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r>
      <t>荣适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</si>
  <si>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t>金立平</t>
  </si>
  <si>
    <r>
      <t>米酒; 青稞酒; 果酒（含酒精）;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</si>
  <si>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京生小</t>
    </r>
    <r>
      <rPr>
        <sz val="11"/>
        <color theme="1"/>
        <rFont val="ＭＳ Ｐゴシック"/>
        <family val="3"/>
        <charset val="134"/>
        <scheme val="minor"/>
      </rPr>
      <t>坛</t>
    </r>
  </si>
  <si>
    <r>
      <t xml:space="preserve">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清酒（日本米酒）</t>
    </r>
  </si>
  <si>
    <r>
      <t>醺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的</t>
    </r>
    <r>
      <rPr>
        <sz val="11"/>
        <color theme="1"/>
        <rFont val="ＭＳ Ｐゴシック"/>
        <family val="3"/>
        <charset val="134"/>
        <scheme val="minor"/>
      </rPr>
      <t>约</t>
    </r>
    <r>
      <rPr>
        <sz val="11"/>
        <color theme="1"/>
        <rFont val="ＭＳ Ｐゴシック"/>
        <family val="3"/>
        <charset val="128"/>
        <scheme val="minor"/>
      </rPr>
      <t>定</t>
    </r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</si>
  <si>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</si>
  <si>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紫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>金</t>
    </r>
    <r>
      <rPr>
        <sz val="11"/>
        <color theme="1"/>
        <rFont val="ＭＳ Ｐゴシック"/>
        <family val="3"/>
        <charset val="134"/>
        <scheme val="minor"/>
      </rPr>
      <t>苏</t>
    </r>
  </si>
  <si>
    <r>
      <t>浙江狗</t>
    </r>
    <r>
      <rPr>
        <sz val="11"/>
        <color theme="1"/>
        <rFont val="ＭＳ Ｐゴシック"/>
        <family val="3"/>
        <charset val="134"/>
        <scheme val="minor"/>
      </rPr>
      <t>鱼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</si>
  <si>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清酒（日本米酒）;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</si>
  <si>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穿花</t>
    </r>
  </si>
  <si>
    <t>黄新</t>
  </si>
  <si>
    <r>
      <t>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薄荷酒;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</si>
  <si>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 xml:space="preserve">董 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根酒</t>
    </r>
    <r>
      <rPr>
        <sz val="11"/>
        <color theme="1"/>
        <rFont val="ＭＳ Ｐゴシック"/>
        <family val="3"/>
        <charset val="134"/>
        <scheme val="minor"/>
      </rPr>
      <t>质为</t>
    </r>
    <r>
      <rPr>
        <sz val="11"/>
        <color theme="1"/>
        <rFont val="ＭＳ Ｐゴシック"/>
        <family val="3"/>
        <charset val="128"/>
        <scheme val="minor"/>
      </rPr>
      <t>魂 董道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本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利及仁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</si>
  <si>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州董酒股份有限公司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</si>
  <si>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梨酒;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开胃酒; 米酒</t>
    </r>
  </si>
  <si>
    <t>赤悦坊</t>
  </si>
  <si>
    <r>
      <t>石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峰</t>
    </r>
  </si>
  <si>
    <r>
      <t>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威士忌; 伏特加酒;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</si>
  <si>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t>桐封泉</t>
  </si>
  <si>
    <r>
      <t>山西桐封泉酒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</si>
  <si>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食用酒精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</si>
  <si>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来会客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</si>
  <si>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梅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</si>
  <si>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柑香酒;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白酒; 伏特加酒; 威士忌</t>
    </r>
  </si>
  <si>
    <t>酉蕊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</si>
  <si>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酉新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副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</si>
  <si>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果酒; 威士忌;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青稞酒</t>
    </r>
  </si>
  <si>
    <t>市井十洲天地</t>
  </si>
  <si>
    <r>
      <t>泉州市十洲城文旅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</si>
  <si>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米酒;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白酒</t>
    </r>
  </si>
  <si>
    <t>青香逢</t>
  </si>
  <si>
    <t>王自升</t>
  </si>
  <si>
    <r>
      <t xml:space="preserve">开胃酒;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白酒; 葡萄酒; 威士忌;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</si>
  <si>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美</t>
    </r>
    <r>
      <rPr>
        <sz val="11"/>
        <color theme="1"/>
        <rFont val="ＭＳ Ｐゴシック"/>
        <family val="3"/>
        <charset val="134"/>
        <scheme val="minor"/>
      </rPr>
      <t>毕</t>
    </r>
    <r>
      <rPr>
        <sz val="11"/>
        <color theme="1"/>
        <rFont val="ＭＳ Ｐゴシック"/>
        <family val="3"/>
        <charset val="128"/>
        <scheme val="minor"/>
      </rPr>
      <t>姐 MAYBE AUNTY</t>
    </r>
  </si>
  <si>
    <r>
      <t>庆</t>
    </r>
    <r>
      <rPr>
        <sz val="11"/>
        <color theme="1"/>
        <rFont val="ＭＳ Ｐゴシック"/>
        <family val="3"/>
        <charset val="128"/>
        <scheme val="minor"/>
      </rPr>
      <t>丰富餐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管理（上海）有限公司</t>
    </r>
  </si>
  <si>
    <r>
      <t>青梅酒; 威士忌; 米酒; 清酒;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葡萄酒</t>
    </r>
  </si>
  <si>
    <r>
      <t>陈卫</t>
    </r>
    <r>
      <rPr>
        <sz val="11"/>
        <color theme="1"/>
        <rFont val="ＭＳ Ｐゴシック"/>
        <family val="3"/>
        <charset val="128"/>
        <scheme val="minor"/>
      </rPr>
      <t>忠</t>
    </r>
  </si>
  <si>
    <r>
      <t>赵兰</t>
    </r>
    <r>
      <rPr>
        <sz val="11"/>
        <color theme="1"/>
        <rFont val="ＭＳ Ｐゴシック"/>
        <family val="3"/>
        <charset val="128"/>
        <scheme val="minor"/>
      </rPr>
      <t>平******************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</si>
  <si>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</si>
  <si>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赤</t>
    </r>
    <r>
      <rPr>
        <sz val="11"/>
        <color theme="1"/>
        <rFont val="ＭＳ Ｐゴシック"/>
        <family val="3"/>
        <charset val="134"/>
        <scheme val="minor"/>
      </rPr>
      <t>腾</t>
    </r>
    <r>
      <rPr>
        <sz val="11"/>
        <color theme="1"/>
        <rFont val="ＭＳ Ｐゴシック"/>
        <family val="3"/>
        <charset val="128"/>
        <scheme val="minor"/>
      </rPr>
      <t xml:space="preserve"> 酒</t>
    </r>
  </si>
  <si>
    <r>
      <t>威士忌;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伏特加酒;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</si>
  <si>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咕集</t>
  </si>
  <si>
    <r>
      <t>果酒（含酒精）;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白酒</t>
    </r>
  </si>
  <si>
    <r>
      <t>盒</t>
    </r>
    <r>
      <rPr>
        <sz val="11"/>
        <color theme="1"/>
        <rFont val="ＭＳ Ｐゴシック"/>
        <family val="3"/>
        <charset val="134"/>
        <scheme val="minor"/>
      </rPr>
      <t>选</t>
    </r>
  </si>
  <si>
    <r>
      <t>方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敏</t>
    </r>
  </si>
  <si>
    <r>
      <t xml:space="preserve">米酒; 蒸煮提取物（利口酒和烈酒）; 蜂蜜酒; 开胃酒;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利口酒; 白酒; 葡萄酒</t>
    </r>
  </si>
  <si>
    <t>崟粒</t>
  </si>
  <si>
    <r>
      <t>杨</t>
    </r>
    <r>
      <rPr>
        <sz val="11"/>
        <color theme="1"/>
        <rFont val="ＭＳ Ｐゴシック"/>
        <family val="3"/>
        <charset val="128"/>
        <scheme val="minor"/>
      </rPr>
      <t>春忠******************</t>
    </r>
  </si>
  <si>
    <r>
      <t>果酒（含酒精）; 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开胃酒;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</t>
    </r>
  </si>
  <si>
    <t>IKAL.</t>
  </si>
  <si>
    <r>
      <t>深圳市塔科哥餐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</si>
  <si>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伏特加酒;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朗姆酒;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</si>
  <si>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湘昇</t>
    </r>
    <r>
      <rPr>
        <sz val="11"/>
        <color theme="1"/>
        <rFont val="ＭＳ Ｐゴシック"/>
        <family val="3"/>
        <charset val="134"/>
        <scheme val="minor"/>
      </rPr>
      <t>红润</t>
    </r>
  </si>
  <si>
    <r>
      <t>长</t>
    </r>
    <r>
      <rPr>
        <sz val="11"/>
        <color theme="1"/>
        <rFont val="ＭＳ Ｐゴシック"/>
        <family val="3"/>
        <charset val="128"/>
        <scheme val="minor"/>
      </rPr>
      <t>沙富盈酒</t>
    </r>
    <r>
      <rPr>
        <sz val="11"/>
        <color theme="1"/>
        <rFont val="ＭＳ Ｐゴシック"/>
        <family val="3"/>
        <charset val="134"/>
        <scheme val="minor"/>
      </rPr>
      <t>类贸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</si>
  <si>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伏特加酒; 开胃酒; 黄酒</t>
    </r>
  </si>
  <si>
    <t>元花匠</t>
  </si>
  <si>
    <r>
      <t>杨贝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</si>
  <si>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 xml:space="preserve">白酒; 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威士忌;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</t>
    </r>
  </si>
  <si>
    <t>夷夫山</t>
  </si>
  <si>
    <r>
      <t>刘</t>
    </r>
    <r>
      <rPr>
        <sz val="11"/>
        <color theme="1"/>
        <rFont val="ＭＳ Ｐゴシック"/>
        <family val="3"/>
        <charset val="134"/>
        <scheme val="minor"/>
      </rPr>
      <t>银锋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</si>
  <si>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高粱酒; 黄酒; 果酒;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</si>
  <si>
    <r>
      <t>华腾</t>
    </r>
    <r>
      <rPr>
        <sz val="11"/>
        <color theme="1"/>
        <rFont val="ＭＳ Ｐゴシック"/>
        <family val="3"/>
        <charset val="129"/>
        <scheme val="minor"/>
      </rPr>
      <t>胜</t>
    </r>
  </si>
  <si>
    <r>
      <t>华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美酒商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（北京）有限公司</t>
    </r>
  </si>
  <si>
    <r>
      <t>食用酒精; 果酒（含酒精）; 米酒;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利口酒;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</si>
  <si>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 xml:space="preserve">KM </t>
    </r>
    <r>
      <rPr>
        <sz val="11"/>
        <color theme="1"/>
        <rFont val="ＭＳ Ｐゴシック"/>
        <family val="3"/>
        <charset val="134"/>
        <scheme val="minor"/>
      </rPr>
      <t>宽贸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</si>
  <si>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宽贸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</si>
  <si>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</si>
  <si>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玉八香</t>
  </si>
  <si>
    <r>
      <t>广西玉投</t>
    </r>
    <r>
      <rPr>
        <sz val="11"/>
        <color theme="1"/>
        <rFont val="ＭＳ Ｐゴシック"/>
        <family val="3"/>
        <charset val="134"/>
        <scheme val="minor"/>
      </rPr>
      <t>资产</t>
    </r>
    <r>
      <rPr>
        <sz val="11"/>
        <color theme="1"/>
        <rFont val="ＭＳ Ｐゴシック"/>
        <family val="3"/>
        <charset val="128"/>
        <scheme val="minor"/>
      </rPr>
      <t>运</t>
    </r>
    <r>
      <rPr>
        <sz val="11"/>
        <color theme="1"/>
        <rFont val="ＭＳ Ｐゴシック"/>
        <family val="3"/>
        <charset val="134"/>
        <scheme val="minor"/>
      </rPr>
      <t>营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</si>
  <si>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清酒;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</t>
    </r>
  </si>
  <si>
    <t>征男儿</t>
  </si>
  <si>
    <t>周家勇</t>
  </si>
  <si>
    <r>
      <t xml:space="preserve">开胃酒; 清酒（日本米酒）; 白酒; 果酒; 黄酒;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</si>
  <si>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晋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昌福</t>
    </r>
  </si>
  <si>
    <r>
      <t>山西汾州府酒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</si>
  <si>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</t>
    </r>
  </si>
  <si>
    <t>惠投帝</t>
  </si>
  <si>
    <t>丁娄</t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</si>
  <si>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</t>
    </r>
  </si>
  <si>
    <t>奇功夫</t>
  </si>
  <si>
    <t>戚秋根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</si>
  <si>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</si>
  <si>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t>咪心</t>
  </si>
  <si>
    <r>
      <t>周</t>
    </r>
    <r>
      <rPr>
        <sz val="11"/>
        <color theme="1"/>
        <rFont val="ＭＳ Ｐゴシック"/>
        <family val="3"/>
        <charset val="134"/>
        <scheme val="minor"/>
      </rPr>
      <t>卫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</si>
  <si>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威士忌; 果酒;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</t>
    </r>
  </si>
  <si>
    <r>
      <t>酩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</si>
  <si>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深圳舍下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</si>
  <si>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米酒; 苦味酒; 威士忌;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汽酒</t>
    </r>
  </si>
  <si>
    <t>SUNSLOPE</t>
  </si>
  <si>
    <t>思我特（杭州）食品科技有限公司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</si>
  <si>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蜂蜜酒; 葡萄酒</t>
    </r>
  </si>
  <si>
    <t>DARK HARVEST</t>
  </si>
  <si>
    <r>
      <t>北京盈夜商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</si>
  <si>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杜松子酒;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</t>
    </r>
  </si>
  <si>
    <t>九哥小保姆</t>
  </si>
  <si>
    <r>
      <t>河南灵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佰禾生物科技有限公司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</si>
  <si>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朗姆酒;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果酒; 高粱酒</t>
    </r>
  </si>
  <si>
    <t>今臻健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</si>
  <si>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今德健科技有限公司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</si>
  <si>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餐后酒（利口酒和烈酒）; 果酒; 葡萄酒; 白酒; 黄酒; 清酒</t>
    </r>
  </si>
  <si>
    <r>
      <t>赚</t>
    </r>
    <r>
      <rPr>
        <sz val="11"/>
        <color theme="1"/>
        <rFont val="ＭＳ Ｐゴシック"/>
        <family val="3"/>
        <charset val="128"/>
        <scheme val="minor"/>
      </rPr>
      <t>养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</si>
  <si>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安徽楚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</si>
  <si>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葡萄酒; 果酒（含酒精）; 白酒; 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威士忌; 食用酒精</t>
    </r>
  </si>
  <si>
    <t>觥同醉</t>
  </si>
  <si>
    <r>
      <t>浙江觥同醉酒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</si>
  <si>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五加皮酒（中国混合烈酒）;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白酒; 开胃酒; 米酒; 清酒</t>
    </r>
  </si>
  <si>
    <r>
      <t>玉桂</t>
    </r>
    <r>
      <rPr>
        <sz val="11"/>
        <color theme="1"/>
        <rFont val="ＭＳ Ｐゴシック"/>
        <family val="3"/>
        <charset val="134"/>
        <scheme val="minor"/>
      </rPr>
      <t>鸟</t>
    </r>
  </si>
  <si>
    <r>
      <t>山西屠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酒健康文化有限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</si>
  <si>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开胃酒; 餐后酒（利口酒和烈酒）;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</si>
  <si>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阆贤</t>
    </r>
    <r>
      <rPr>
        <sz val="11"/>
        <color theme="1"/>
        <rFont val="ＭＳ Ｐゴシック"/>
        <family val="3"/>
        <charset val="128"/>
        <scheme val="minor"/>
      </rPr>
      <t>尚</t>
    </r>
  </si>
  <si>
    <r>
      <t>潮州市德米特生</t>
    </r>
    <r>
      <rPr>
        <sz val="11"/>
        <color theme="1"/>
        <rFont val="ＭＳ Ｐゴシック"/>
        <family val="3"/>
        <charset val="134"/>
        <scheme val="minor"/>
      </rPr>
      <t>态农业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</si>
  <si>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草本型利口酒; 蜂蜜酒; 黄酒; 茴香酒（利口酒）; 米酒; 果酒（含酒精）;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</si>
  <si>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珅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</si>
  <si>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</si>
  <si>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米能号</t>
  </si>
  <si>
    <r>
      <t>湖北</t>
    </r>
    <r>
      <rPr>
        <sz val="11"/>
        <color theme="1"/>
        <rFont val="ＭＳ Ｐゴシック"/>
        <family val="3"/>
        <charset val="134"/>
        <scheme val="minor"/>
      </rPr>
      <t>华键</t>
    </r>
    <r>
      <rPr>
        <sz val="11"/>
        <color theme="1"/>
        <rFont val="ＭＳ Ｐゴシック"/>
        <family val="3"/>
        <charset val="128"/>
        <scheme val="minor"/>
      </rPr>
      <t>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</si>
  <si>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</si>
  <si>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天悦城旺德福</t>
  </si>
  <si>
    <r>
      <t>海南精采生活商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</si>
  <si>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利口酒;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</si>
  <si>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江南</t>
    </r>
    <r>
      <rPr>
        <sz val="11"/>
        <color theme="1"/>
        <rFont val="ＭＳ Ｐゴシック"/>
        <family val="3"/>
        <charset val="134"/>
        <scheme val="minor"/>
      </rPr>
      <t>晓</t>
    </r>
  </si>
  <si>
    <r>
      <t>何瑜</t>
    </r>
    <r>
      <rPr>
        <sz val="11"/>
        <color theme="1"/>
        <rFont val="ＭＳ Ｐゴシック"/>
        <family val="3"/>
        <charset val="134"/>
        <scheme val="minor"/>
      </rPr>
      <t>轩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</si>
  <si>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</si>
  <si>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关穗</t>
    </r>
    <r>
      <rPr>
        <sz val="11"/>
        <color theme="1"/>
        <rFont val="ＭＳ Ｐゴシック"/>
        <family val="3"/>
        <charset val="134"/>
        <scheme val="minor"/>
      </rPr>
      <t>锦农业</t>
    </r>
    <r>
      <rPr>
        <sz val="11"/>
        <color theme="1"/>
        <rFont val="ＭＳ Ｐゴシック"/>
        <family val="3"/>
        <charset val="128"/>
        <scheme val="minor"/>
      </rPr>
      <t>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</si>
  <si>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果酒（含酒精）; 蒸煮提取物（利口酒和烈酒）; 黄酒; 白酒</t>
    </r>
  </si>
  <si>
    <t>蔡火爆</t>
  </si>
  <si>
    <r>
      <t>蔡定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</si>
  <si>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白干酒（中国白酒）;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蜂蜜酒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</si>
  <si>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春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</si>
  <si>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郭玉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</si>
  <si>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黄酒; 葡萄酒; 清酒（日本米酒）; 威士忌; 烈酒;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</si>
  <si>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r>
      <t>请</t>
    </r>
    <r>
      <rPr>
        <sz val="11"/>
        <color theme="1"/>
        <rFont val="ＭＳ Ｐゴシック"/>
        <family val="3"/>
        <charset val="128"/>
        <scheme val="minor"/>
      </rPr>
      <t>御第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</si>
  <si>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白酒; 黄酒; 利口酒; 威士忌; 青稞酒; 葡萄酒</t>
    </r>
  </si>
  <si>
    <r>
      <t>俺</t>
    </r>
    <r>
      <rPr>
        <sz val="11"/>
        <color theme="1"/>
        <rFont val="ＭＳ Ｐゴシック"/>
        <family val="3"/>
        <charset val="134"/>
        <scheme val="minor"/>
      </rPr>
      <t>侬</t>
    </r>
    <r>
      <rPr>
        <sz val="11"/>
        <color theme="1"/>
        <rFont val="ＭＳ Ｐゴシック"/>
        <family val="3"/>
        <charset val="128"/>
        <scheme val="minor"/>
      </rPr>
      <t>陵阳</t>
    </r>
  </si>
  <si>
    <r>
      <t>合肥徽福餐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</si>
  <si>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甜酒; 果酒;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利口酒</t>
    </r>
  </si>
  <si>
    <r>
      <t>果匠</t>
    </r>
    <r>
      <rPr>
        <sz val="11"/>
        <color theme="1"/>
        <rFont val="ＭＳ Ｐゴシック"/>
        <family val="3"/>
        <charset val="134"/>
        <scheme val="minor"/>
      </rPr>
      <t>记忆</t>
    </r>
  </si>
  <si>
    <r>
      <t>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葡萄酒; 威士忌;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</si>
  <si>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保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之梦</t>
    </r>
  </si>
  <si>
    <r>
      <t>李保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*****************X</t>
    </r>
  </si>
  <si>
    <r>
      <t>苹果酒; 蜂蜜酒;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</si>
  <si>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将</t>
    </r>
    <r>
      <rPr>
        <sz val="11"/>
        <color theme="1"/>
        <rFont val="ＭＳ Ｐゴシック"/>
        <family val="3"/>
        <charset val="134"/>
        <scheme val="minor"/>
      </rPr>
      <t>绩</t>
    </r>
  </si>
  <si>
    <t>黄才秋</t>
  </si>
  <si>
    <r>
      <t>果酒（含酒精）;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白酒; 黄酒; 葡萄酒; 青稞酒;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</si>
  <si>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朴悠</t>
  </si>
  <si>
    <r>
      <t>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</si>
  <si>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>郑缘</t>
    </r>
    <r>
      <rPr>
        <sz val="11"/>
        <color theme="1"/>
        <rFont val="ＭＳ Ｐゴシック"/>
        <family val="3"/>
        <charset val="128"/>
        <scheme val="minor"/>
      </rPr>
      <t>堂</t>
    </r>
  </si>
  <si>
    <r>
      <t>南京卓壮</t>
    </r>
    <r>
      <rPr>
        <sz val="11"/>
        <color theme="1"/>
        <rFont val="ＭＳ Ｐゴシック"/>
        <family val="3"/>
        <charset val="134"/>
        <scheme val="minor"/>
      </rPr>
      <t>诚长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</si>
  <si>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 xml:space="preserve">黄酒; 白酒; 青稞酒;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食用酒精; 米酒</t>
    </r>
  </si>
  <si>
    <r>
      <t>小果</t>
    </r>
    <r>
      <rPr>
        <sz val="11"/>
        <color theme="1"/>
        <rFont val="ＭＳ Ｐゴシック"/>
        <family val="3"/>
        <charset val="134"/>
        <scheme val="minor"/>
      </rPr>
      <t>壶觞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</si>
  <si>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威士忌;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</si>
  <si>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诚</t>
    </r>
    <r>
      <rPr>
        <sz val="11"/>
        <color theme="1"/>
        <rFont val="ＭＳ Ｐゴシック"/>
        <family val="3"/>
        <charset val="128"/>
        <scheme val="minor"/>
      </rPr>
      <t>晋旅</t>
    </r>
  </si>
  <si>
    <t>郝亮亮</t>
  </si>
  <si>
    <r>
      <t>利口酒; 白酒; 食用酒精; 高粱酒;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米酒; 果酒（含酒精）</t>
    </r>
  </si>
  <si>
    <t>三分晋旅</t>
  </si>
  <si>
    <r>
      <t>露酒; 伏特加酒;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</si>
  <si>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邬</t>
    </r>
    <r>
      <rPr>
        <sz val="11"/>
        <color theme="1"/>
        <rFont val="ＭＳ Ｐゴシック"/>
        <family val="3"/>
        <charset val="128"/>
        <scheme val="minor"/>
      </rPr>
      <t>友正</t>
    </r>
  </si>
  <si>
    <r>
      <t>泰冠管理（澳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离岸商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</si>
  <si>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利口酒; 起泡白葡萄酒;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苹果酒</t>
    </r>
  </si>
  <si>
    <r>
      <t>鲸</t>
    </r>
    <r>
      <rPr>
        <sz val="11"/>
        <color theme="1"/>
        <rFont val="ＭＳ Ｐゴシック"/>
        <family val="3"/>
        <charset val="128"/>
        <scheme val="minor"/>
      </rPr>
      <t>酤匠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</si>
  <si>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州梅</t>
    </r>
    <r>
      <rPr>
        <sz val="11"/>
        <color theme="1"/>
        <rFont val="ＭＳ Ｐゴシック"/>
        <family val="3"/>
        <charset val="134"/>
        <scheme val="minor"/>
      </rPr>
      <t>鲸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</si>
  <si>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梅酒;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</si>
  <si>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粱礼</t>
    </r>
    <r>
      <rPr>
        <sz val="11"/>
        <color theme="1"/>
        <rFont val="ＭＳ Ｐゴシック"/>
        <family val="3"/>
        <charset val="134"/>
        <scheme val="minor"/>
      </rPr>
      <t>赞</t>
    </r>
  </si>
  <si>
    <r>
      <t>西部探源(成都)酒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</si>
  <si>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葡萄酒; 利口酒;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</si>
  <si>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t>玺勋</t>
  </si>
  <si>
    <r>
      <t>张</t>
    </r>
    <r>
      <rPr>
        <sz val="11"/>
        <color theme="1"/>
        <rFont val="ＭＳ Ｐゴシック"/>
        <family val="3"/>
        <charset val="128"/>
        <scheme val="minor"/>
      </rPr>
      <t>兵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</si>
  <si>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</si>
  <si>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范</t>
    </r>
    <r>
      <rPr>
        <sz val="11"/>
        <color theme="1"/>
        <rFont val="ＭＳ Ｐゴシック"/>
        <family val="3"/>
        <charset val="134"/>
        <scheme val="minor"/>
      </rPr>
      <t>乔</t>
    </r>
    <r>
      <rPr>
        <sz val="11"/>
        <color theme="1"/>
        <rFont val="ＭＳ Ｐゴシック"/>
        <family val="3"/>
        <charset val="128"/>
        <scheme val="minor"/>
      </rPr>
      <t>斯</t>
    </r>
  </si>
  <si>
    <r>
      <t>泰安中玖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</si>
  <si>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朗姆酒;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混合威士忌酒; 食用酒精; 果酒（含酒精）;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葡萄酒; 威士忌</t>
    </r>
  </si>
  <si>
    <r>
      <t>经</t>
    </r>
    <r>
      <rPr>
        <sz val="11"/>
        <color theme="1"/>
        <rFont val="ＭＳ Ｐゴシック"/>
        <family val="3"/>
        <charset val="128"/>
        <scheme val="minor"/>
      </rPr>
      <t>典小帆船</t>
    </r>
  </si>
  <si>
    <r>
      <t>安徽小帆船酒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</si>
  <si>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果酒; 烈酒;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</si>
  <si>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美</t>
    </r>
    <r>
      <rPr>
        <sz val="11"/>
        <color theme="1"/>
        <rFont val="ＭＳ Ｐゴシック"/>
        <family val="3"/>
        <charset val="134"/>
        <scheme val="minor"/>
      </rPr>
      <t>毕</t>
    </r>
    <r>
      <rPr>
        <sz val="11"/>
        <color theme="1"/>
        <rFont val="ＭＳ Ｐゴシック"/>
        <family val="3"/>
        <charset val="128"/>
        <scheme val="minor"/>
      </rPr>
      <t>姐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</si>
  <si>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青梅酒; 甜酒; 威士忌; 清酒;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</t>
    </r>
  </si>
  <si>
    <t>桃喜武林</t>
  </si>
  <si>
    <r>
      <t>浙江一里共裕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</si>
  <si>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利口酒; 餐后酒（利口酒和烈酒）; 草莓酒;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甜果酒</t>
    </r>
  </si>
  <si>
    <t>DAYCHOO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</si>
  <si>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小康科技有限公司</t>
    </r>
  </si>
  <si>
    <r>
      <t>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食用酒精; 果酒（含酒精）</t>
    </r>
  </si>
  <si>
    <t>花山金牛寨</t>
  </si>
  <si>
    <r>
      <t>蒋</t>
    </r>
    <r>
      <rPr>
        <sz val="11"/>
        <color theme="1"/>
        <rFont val="ＭＳ Ｐゴシック"/>
        <family val="3"/>
        <charset val="134"/>
        <scheme val="minor"/>
      </rPr>
      <t>继</t>
    </r>
    <r>
      <rPr>
        <sz val="11"/>
        <color theme="1"/>
        <rFont val="ＭＳ Ｐゴシック"/>
        <family val="3"/>
        <charset val="128"/>
        <scheme val="minor"/>
      </rPr>
      <t>兵</t>
    </r>
  </si>
  <si>
    <r>
      <t xml:space="preserve">果酒（含酒精）; 白酒;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黄酒; 烈酒</t>
    </r>
  </si>
  <si>
    <t>八十一章大成</t>
  </si>
  <si>
    <r>
      <t>北京善品乾坤</t>
    </r>
    <r>
      <rPr>
        <sz val="11"/>
        <color theme="1"/>
        <rFont val="ＭＳ Ｐゴシック"/>
        <family val="3"/>
        <charset val="134"/>
        <scheme val="minor"/>
      </rPr>
      <t>图书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</si>
  <si>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黄酒; 白酒; 葡萄酒; 清酒（日本米酒）</t>
    </r>
  </si>
  <si>
    <t>八十一章厚道</t>
  </si>
  <si>
    <r>
      <t xml:space="preserve">果酒（含酒精）; 威士忌; 葡萄酒; 利口酒;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清酒（日本米酒）; 米酒</t>
    </r>
  </si>
  <si>
    <t>滔樽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</si>
  <si>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葡萄酒; 清酒（日本米酒）; 果酒; 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</si>
  <si>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WO FU BARON</t>
  </si>
  <si>
    <r>
      <t>刘德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</si>
  <si>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利口酒; 酸酒（低等葡萄酒）;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果酒（含酒精）; 开胃酒; 蒸煮提取物（利口酒和烈酒）</t>
    </r>
  </si>
  <si>
    <t>李相公</t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</si>
  <si>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市邯山区金道商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</si>
  <si>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汽酒</t>
    </r>
  </si>
  <si>
    <r>
      <t>胜</t>
    </r>
    <r>
      <rPr>
        <sz val="11"/>
        <color theme="1"/>
        <rFont val="ＭＳ Ｐゴシック"/>
        <family val="3"/>
        <charset val="128"/>
        <scheme val="minor"/>
      </rPr>
      <t>豪乾坤</t>
    </r>
  </si>
  <si>
    <r>
      <t>赖</t>
    </r>
    <r>
      <rPr>
        <sz val="11"/>
        <color theme="1"/>
        <rFont val="ＭＳ Ｐゴシック"/>
        <family val="3"/>
        <charset val="128"/>
        <scheme val="minor"/>
      </rPr>
      <t>清达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</si>
  <si>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威士忌; 果酒（含酒精）; 米酒; 开胃酒; 葡萄酒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</si>
  <si>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誉葆康</t>
    </r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</si>
  <si>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誉健康管理</t>
    </r>
    <r>
      <rPr>
        <sz val="11"/>
        <color theme="1"/>
        <rFont val="ＭＳ Ｐゴシック"/>
        <family val="3"/>
        <charset val="134"/>
        <scheme val="minor"/>
      </rPr>
      <t>顾问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</si>
  <si>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</si>
  <si>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r>
      <t>诺</t>
    </r>
    <r>
      <rPr>
        <sz val="11"/>
        <color theme="1"/>
        <rFont val="ＭＳ Ｐゴシック"/>
        <family val="3"/>
        <charset val="128"/>
        <scheme val="minor"/>
      </rPr>
      <t>言山</t>
    </r>
  </si>
  <si>
    <t>郑晓艳</t>
  </si>
  <si>
    <r>
      <t xml:space="preserve">梨酒;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青稞酒;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葡萄酒; 米酒; 白酒</t>
    </r>
  </si>
  <si>
    <r>
      <t>大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聚</t>
    </r>
  </si>
  <si>
    <r>
      <t>刘小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</si>
  <si>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梅酒; 蒸煮提取物（利口酒和烈酒）; 食用酒精; 白酒; 烈性干酒;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</si>
  <si>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高福</t>
    </r>
    <r>
      <rPr>
        <sz val="11"/>
        <color theme="1"/>
        <rFont val="ＭＳ Ｐゴシック"/>
        <family val="3"/>
        <charset val="134"/>
        <scheme val="minor"/>
      </rPr>
      <t>临</t>
    </r>
  </si>
  <si>
    <r>
      <t>深圳果点点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</si>
  <si>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</si>
  <si>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r>
      <t>依城科技（海南）有限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</si>
  <si>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</si>
  <si>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妃</t>
    </r>
  </si>
  <si>
    <r>
      <t>李志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</si>
  <si>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>米酒; 果酒（含酒精）; 葡萄酒;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高粱酒; 黄酒; 白酒</t>
    </r>
  </si>
  <si>
    <t>露生万物</t>
  </si>
  <si>
    <r>
      <t>开胃酒; 苹果酒;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餐后酒（利口酒和烈酒）;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</si>
  <si>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河北燕云堂健康科技有限公司</t>
  </si>
  <si>
    <r>
      <t>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葡萄酒; 汽酒</t>
    </r>
  </si>
  <si>
    <r>
      <t>福建瓯商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合伙企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（有限合伙）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</si>
  <si>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白酒</t>
    </r>
  </si>
  <si>
    <r>
      <t>福起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</si>
  <si>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任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波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</si>
  <si>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</si>
  <si>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璞阳凰</t>
  </si>
  <si>
    <r>
      <t>濮阳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璞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</si>
  <si>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果酒; 清酒; 白酒;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</si>
  <si>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恰大运</t>
  </si>
  <si>
    <r>
      <t>王谷</t>
    </r>
    <r>
      <rPr>
        <sz val="11"/>
        <color theme="1"/>
        <rFont val="ＭＳ Ｐゴシック"/>
        <family val="3"/>
        <charset val="134"/>
        <scheme val="minor"/>
      </rPr>
      <t>乔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</si>
  <si>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果酒（含酒精）; 白酒</t>
    </r>
  </si>
  <si>
    <r>
      <t>西角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意</t>
    </r>
  </si>
  <si>
    <r>
      <t>惠州市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意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</si>
  <si>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葡萄酒; 黄酒; 白酒; 米酒; 食用酒精;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甜酒;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</si>
  <si>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漳州天品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数字科技有限公司</t>
    </r>
  </si>
  <si>
    <r>
      <t>薄荷酒; 清酒（日本米酒）;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果酒; 葡萄酒; 开胃酒; 食用酒精</t>
    </r>
  </si>
  <si>
    <t>呵桶</t>
  </si>
  <si>
    <r>
      <t>景谷民生酒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</si>
  <si>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白酒;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</si>
  <si>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鎏宗</t>
  </si>
  <si>
    <r>
      <t>开胃酒; 清酒（日本米酒）; 果酒;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</si>
  <si>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安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昉</t>
    </r>
  </si>
  <si>
    <r>
      <t>广西安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</si>
  <si>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白酒; 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</si>
  <si>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大美人</t>
    </r>
    <r>
      <rPr>
        <sz val="11"/>
        <color theme="1"/>
        <rFont val="ＭＳ Ｐゴシック"/>
        <family val="3"/>
        <charset val="134"/>
        <scheme val="minor"/>
      </rPr>
      <t>间</t>
    </r>
  </si>
  <si>
    <t>山西青花魂酒厂股份有限公司</t>
  </si>
  <si>
    <r>
      <t>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开胃酒; 葡萄酒; 蒸煮提取物（利口酒和烈酒）;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</si>
  <si>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璞阳虹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</si>
  <si>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果酒; 白葡萄酒; 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</si>
  <si>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云香来</t>
  </si>
  <si>
    <r>
      <t>广州市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宏包装科技有限公司</t>
    </r>
  </si>
  <si>
    <r>
      <t>高粱酒; 米酒; 葡萄酒; 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清酒</t>
    </r>
  </si>
  <si>
    <r>
      <t>遇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二一九</t>
    </r>
  </si>
  <si>
    <r>
      <t>山西广誉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业营销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</si>
  <si>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</si>
  <si>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渔靓</t>
    </r>
    <r>
      <rPr>
        <sz val="11"/>
        <color theme="1"/>
        <rFont val="ＭＳ Ｐゴシック"/>
        <family val="3"/>
        <charset val="128"/>
        <scheme val="minor"/>
      </rPr>
      <t>沟</t>
    </r>
  </si>
  <si>
    <r>
      <t xml:space="preserve">白酒; 露酒; 葡萄酒; 高粱酒; 果酒; 黄酒; 刺五加酒;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蜂蜜酒</t>
    </r>
  </si>
  <si>
    <t>禾城南北湖</t>
  </si>
  <si>
    <r>
      <t>浙江禾城酒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</si>
  <si>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露酒;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清酒; 果酒;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</si>
  <si>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r>
      <t>头</t>
    </r>
    <r>
      <rPr>
        <sz val="11"/>
        <color theme="1"/>
        <rFont val="ＭＳ Ｐゴシック"/>
        <family val="3"/>
        <charset val="128"/>
        <scheme val="minor"/>
      </rPr>
      <t>号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</si>
  <si>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揭阳市俊馨家</t>
    </r>
    <r>
      <rPr>
        <sz val="11"/>
        <color theme="1"/>
        <rFont val="ＭＳ Ｐゴシック"/>
        <family val="3"/>
        <charset val="134"/>
        <scheme val="minor"/>
      </rPr>
      <t>纺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</si>
  <si>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白酒; 高粱酒; 果酒; 黄酒</t>
    </r>
  </si>
  <si>
    <t>礼蔚</t>
  </si>
  <si>
    <r>
      <t>蔚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朔方</t>
    </r>
    <r>
      <rPr>
        <sz val="11"/>
        <color theme="1"/>
        <rFont val="ＭＳ Ｐゴシック"/>
        <family val="3"/>
        <charset val="134"/>
        <scheme val="minor"/>
      </rPr>
      <t>设计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</si>
  <si>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清酒（日本米酒）;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</si>
  <si>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果酒（含酒精）; 起泡白葡萄酒;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苹果酒;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</si>
  <si>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河南戴邑葡萄酒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</si>
  <si>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清酒;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</si>
  <si>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今梦苑</t>
  </si>
  <si>
    <r>
      <t>淮北今梦苑酒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</si>
  <si>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</t>
    </r>
  </si>
  <si>
    <r>
      <t>蔚</t>
    </r>
    <r>
      <rPr>
        <sz val="11"/>
        <color theme="1"/>
        <rFont val="ＭＳ Ｐゴシック"/>
        <family val="3"/>
        <charset val="134"/>
        <scheme val="minor"/>
      </rPr>
      <t>赐</t>
    </r>
    <r>
      <rPr>
        <sz val="11"/>
        <color theme="1"/>
        <rFont val="ＭＳ Ｐゴシック"/>
        <family val="3"/>
        <charset val="128"/>
        <scheme val="minor"/>
      </rPr>
      <t>良品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</si>
  <si>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食用酒精; 果酒（含酒精）; 汽酒;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蒸煮提取物（利口酒和烈酒）</t>
    </r>
  </si>
  <si>
    <t>五茗坊</t>
  </si>
  <si>
    <r>
      <t>四川老</t>
    </r>
    <r>
      <rPr>
        <sz val="11"/>
        <color theme="1"/>
        <rFont val="ＭＳ Ｐゴシック"/>
        <family val="3"/>
        <charset val="134"/>
        <scheme val="minor"/>
      </rPr>
      <t>泸</t>
    </r>
    <r>
      <rPr>
        <sz val="11"/>
        <color theme="1"/>
        <rFont val="ＭＳ Ｐゴシック"/>
        <family val="3"/>
        <charset val="128"/>
        <scheme val="minor"/>
      </rPr>
      <t>金州酒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</si>
  <si>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米酒; 威士忌; 开胃酒; 葡萄酒; 苹果酒;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利口酒</t>
    </r>
  </si>
  <si>
    <t>金毛豪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</si>
  <si>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习滨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</si>
  <si>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朗姆酒;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米酒; 白酒</t>
    </r>
  </si>
  <si>
    <r>
      <t>马兰陆</t>
    </r>
    <r>
      <rPr>
        <sz val="11"/>
        <color theme="1"/>
        <rFont val="ＭＳ Ｐゴシック"/>
        <family val="3"/>
        <charset val="128"/>
        <scheme val="minor"/>
      </rPr>
      <t>号</t>
    </r>
  </si>
  <si>
    <r>
      <t>辛集市天恩特色种植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</si>
  <si>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酸酒（低等葡萄酒）; 白酒; 米酒</t>
    </r>
  </si>
  <si>
    <r>
      <t>观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28"/>
        <scheme val="minor"/>
      </rPr>
      <t>雄</t>
    </r>
    <r>
      <rPr>
        <sz val="11"/>
        <color theme="1"/>
        <rFont val="ＭＳ Ｐゴシック"/>
        <family val="3"/>
        <charset val="134"/>
        <scheme val="minor"/>
      </rPr>
      <t>狮</t>
    </r>
  </si>
  <si>
    <r>
      <t>广州市道文助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智慧科技有限公司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</si>
  <si>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蒸煮提取物（利口酒和烈酒）;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</si>
  <si>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麦丘王</t>
  </si>
  <si>
    <t>王燕</t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</si>
  <si>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果酒; 黄酒; 薄荷酒; 米酒; 食用酒精; 高粱酒; 烈酒; 葡萄酒</t>
    </r>
  </si>
  <si>
    <r>
      <t>赢</t>
    </r>
    <r>
      <rPr>
        <sz val="11"/>
        <color theme="1"/>
        <rFont val="ＭＳ Ｐゴシック"/>
        <family val="3"/>
        <charset val="128"/>
        <scheme val="minor"/>
      </rPr>
      <t>祖</t>
    </r>
  </si>
  <si>
    <t>姚玉珍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</si>
  <si>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</si>
  <si>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邹</t>
    </r>
    <r>
      <rPr>
        <sz val="11"/>
        <color theme="1"/>
        <rFont val="ＭＳ Ｐゴシック"/>
        <family val="3"/>
        <charset val="128"/>
        <scheme val="minor"/>
      </rPr>
      <t>泰福</t>
    </r>
  </si>
  <si>
    <t>江西医春堂生物科技有限公司</t>
  </si>
  <si>
    <r>
      <t>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葡萄酒; 蜂蜜酒;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</si>
  <si>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义</t>
    </r>
    <r>
      <rPr>
        <sz val="11"/>
        <color theme="1"/>
        <rFont val="ＭＳ Ｐゴシック"/>
        <family val="3"/>
        <charset val="128"/>
        <scheme val="minor"/>
      </rPr>
      <t>合美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</si>
  <si>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州晋好商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</si>
  <si>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黄酒; 食用酒精;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薄荷酒</t>
    </r>
  </si>
  <si>
    <r>
      <t>皇小九 六百年的</t>
    </r>
    <r>
      <rPr>
        <sz val="11"/>
        <color theme="1"/>
        <rFont val="ＭＳ Ｐゴシック"/>
        <family val="3"/>
        <charset val="134"/>
        <scheme val="minor"/>
      </rPr>
      <t>记忆</t>
    </r>
  </si>
  <si>
    <r>
      <t>天津天宝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类销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</si>
  <si>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威士忌;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</si>
  <si>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西双版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娜家甄</t>
    </r>
    <r>
      <rPr>
        <sz val="11"/>
        <color theme="1"/>
        <rFont val="ＭＳ Ｐゴシック"/>
        <family val="3"/>
        <charset val="134"/>
        <scheme val="minor"/>
      </rPr>
      <t>选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</si>
  <si>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葡萄酒;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果酒（含酒精）; 黄酒</t>
    </r>
  </si>
  <si>
    <r>
      <t>龙兴</t>
    </r>
    <r>
      <rPr>
        <sz val="11"/>
        <color theme="1"/>
        <rFont val="ＭＳ Ｐゴシック"/>
        <family val="3"/>
        <charset val="128"/>
        <scheme val="minor"/>
      </rPr>
      <t>雅集</t>
    </r>
  </si>
  <si>
    <r>
      <t>成都湔江蓉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</si>
  <si>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葡萄酒; 果酒; 清酒;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</t>
    </r>
  </si>
  <si>
    <r>
      <t>姬</t>
    </r>
    <r>
      <rPr>
        <sz val="11"/>
        <color theme="1"/>
        <rFont val="ＭＳ Ｐゴシック"/>
        <family val="3"/>
        <charset val="128"/>
        <scheme val="minor"/>
      </rPr>
      <t>老太</t>
    </r>
  </si>
  <si>
    <t>杭州露彼文化科技有限公司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</si>
  <si>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含奶油利口酒; 黄酒; 米酒;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 xml:space="preserve">酒; 蜂蜜酒; 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格利酒（朝</t>
    </r>
    <r>
      <rPr>
        <sz val="11"/>
        <color theme="1"/>
        <rFont val="ＭＳ Ｐゴシック"/>
        <family val="3"/>
        <charset val="134"/>
        <scheme val="minor"/>
      </rPr>
      <t>鲜传统</t>
    </r>
    <r>
      <rPr>
        <sz val="11"/>
        <color theme="1"/>
        <rFont val="ＭＳ Ｐゴシック"/>
        <family val="3"/>
        <charset val="128"/>
        <scheme val="minor"/>
      </rPr>
      <t>米酒）</t>
    </r>
  </si>
  <si>
    <r>
      <t>粮久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</si>
  <si>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山西迎森工程有限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</si>
  <si>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</si>
  <si>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t>一直吉</t>
  </si>
  <si>
    <r>
      <t>钓</t>
    </r>
    <r>
      <rPr>
        <sz val="11"/>
        <color theme="1"/>
        <rFont val="ＭＳ Ｐゴシック"/>
        <family val="3"/>
        <charset val="128"/>
        <scheme val="minor"/>
      </rPr>
      <t>台御尊（北京）食品有限公司</t>
    </r>
  </si>
  <si>
    <r>
      <t>果酒（含酒精）;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</si>
  <si>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名本同山 FEILINZUOFANG</t>
  </si>
  <si>
    <t>金水根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</si>
  <si>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</si>
  <si>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戏</t>
    </r>
    <r>
      <rPr>
        <sz val="11"/>
        <color theme="1"/>
        <rFont val="ＭＳ Ｐゴシック"/>
        <family val="3"/>
        <charset val="128"/>
        <scheme val="minor"/>
      </rPr>
      <t>坡湾</t>
    </r>
  </si>
  <si>
    <t>付文波</t>
  </si>
  <si>
    <r>
      <t>白酒; 果酒（含酒精）;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清酒（日本米酒）;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</si>
  <si>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绥</t>
    </r>
    <r>
      <rPr>
        <sz val="11"/>
        <color theme="1"/>
        <rFont val="ＭＳ Ｐゴシック"/>
        <family val="3"/>
        <charset val="128"/>
        <scheme val="minor"/>
      </rPr>
      <t>大古酒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</si>
  <si>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</si>
  <si>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</si>
  <si>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藏黔名</t>
  </si>
  <si>
    <r>
      <t xml:space="preserve">米酒;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</si>
  <si>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>隐</t>
    </r>
    <r>
      <rPr>
        <sz val="11"/>
        <color theme="1"/>
        <rFont val="ＭＳ Ｐゴシック"/>
        <family val="3"/>
        <charset val="128"/>
        <scheme val="minor"/>
      </rPr>
      <t>翼天使</t>
    </r>
  </si>
  <si>
    <r>
      <t>协</t>
    </r>
    <r>
      <rPr>
        <sz val="11"/>
        <color theme="1"/>
        <rFont val="ＭＳ Ｐゴシック"/>
        <family val="3"/>
        <charset val="128"/>
        <scheme val="minor"/>
      </rPr>
      <t>享智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（杭州）控股有限公司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</si>
  <si>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米酒; 清酒（日本米酒）; 利口酒;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</si>
  <si>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t>鼎名川佬</t>
  </si>
  <si>
    <r>
      <t>青海利鼎餐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</si>
  <si>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青稞酒;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食用酒精; 葡萄酒; 烈酒; 甜果酒; 甜酒</t>
    </r>
  </si>
  <si>
    <r>
      <t>津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名</t>
    </r>
  </si>
  <si>
    <r>
      <t>泰安市泰山日出酒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</si>
  <si>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果酒（含酒精）; 白酒; 露酒;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</si>
  <si>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奢秘</t>
  </si>
  <si>
    <r>
      <t>徐州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承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</si>
  <si>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梨酒; 威士忌; 青稞酒; 白酒; 葡萄酒;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开胃酒</t>
    </r>
  </si>
  <si>
    <t>辣匠支招</t>
  </si>
  <si>
    <t>辣妹子食品股份有限公司</t>
  </si>
  <si>
    <r>
      <t xml:space="preserve">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葡萄酒; 果酒（含酒精）;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</si>
  <si>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神墨</t>
  </si>
  <si>
    <r>
      <t>北京神墨文化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</si>
  <si>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果酒（含酒精）; 开胃酒; 清酒;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米酒</t>
    </r>
  </si>
  <si>
    <t>客菲客</t>
  </si>
  <si>
    <r>
      <t>辽</t>
    </r>
    <r>
      <rPr>
        <sz val="11"/>
        <color theme="1"/>
        <rFont val="ＭＳ Ｐゴシック"/>
        <family val="3"/>
        <charset val="128"/>
        <scheme val="minor"/>
      </rPr>
      <t>宁千盟网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</si>
  <si>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 xml:space="preserve">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甜果酒;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</t>
    </r>
  </si>
  <si>
    <t>迪西熊</t>
  </si>
  <si>
    <r>
      <t>廉江市小</t>
    </r>
    <r>
      <rPr>
        <sz val="11"/>
        <color theme="1"/>
        <rFont val="ＭＳ Ｐゴシック"/>
        <family val="3"/>
        <charset val="134"/>
        <scheme val="minor"/>
      </rPr>
      <t>蚂蚁电</t>
    </r>
    <r>
      <rPr>
        <sz val="11"/>
        <color theme="1"/>
        <rFont val="ＭＳ Ｐゴシック"/>
        <family val="3"/>
        <charset val="128"/>
        <scheme val="minor"/>
      </rPr>
      <t>器有限公司</t>
    </r>
  </si>
  <si>
    <r>
      <t xml:space="preserve">米酒; 威士忌; 烈酒; 白干酒（中国白酒）;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蝮蛇酒; 葡萄酒;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</si>
  <si>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农乐</t>
    </r>
    <r>
      <rPr>
        <sz val="11"/>
        <color theme="1"/>
        <rFont val="ＭＳ Ｐゴシック"/>
        <family val="3"/>
        <charset val="128"/>
        <scheme val="minor"/>
      </rPr>
      <t>三十里堡</t>
    </r>
  </si>
  <si>
    <r>
      <t>额</t>
    </r>
    <r>
      <rPr>
        <sz val="11"/>
        <color theme="1"/>
        <rFont val="ＭＳ Ｐゴシック"/>
        <family val="3"/>
        <charset val="128"/>
        <scheme val="minor"/>
      </rPr>
      <t>敏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三十里堡</t>
    </r>
    <r>
      <rPr>
        <sz val="11"/>
        <color theme="1"/>
        <rFont val="ＭＳ Ｐゴシック"/>
        <family val="3"/>
        <charset val="134"/>
        <scheme val="minor"/>
      </rPr>
      <t>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</si>
  <si>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开胃酒; 果酒（含酒精）; 威士忌;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黄酒; 青稞酒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</si>
  <si>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</si>
  <si>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卫诀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</si>
  <si>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利口酒; 米酒; 餐后酒（利口酒和烈酒）; 果酒（含酒精）</t>
    </r>
  </si>
  <si>
    <t>似水流年</t>
  </si>
  <si>
    <r>
      <t>中国</t>
    </r>
    <r>
      <rPr>
        <sz val="11"/>
        <color theme="1"/>
        <rFont val="ＭＳ Ｐゴシック"/>
        <family val="3"/>
        <charset val="134"/>
        <scheme val="minor"/>
      </rPr>
      <t>贵</t>
    </r>
    <r>
      <rPr>
        <sz val="11"/>
        <color theme="1"/>
        <rFont val="ＭＳ Ｐゴシック"/>
        <family val="3"/>
        <charset val="128"/>
        <scheme val="minor"/>
      </rPr>
      <t>州茅台酒厂（集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</si>
  <si>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食用酒精;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米酒; 果酒（含酒精）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</si>
  <si>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</t>
    </r>
    <r>
      <rPr>
        <sz val="11"/>
        <color theme="1"/>
        <rFont val="ＭＳ Ｐゴシック"/>
        <family val="3"/>
        <charset val="128"/>
        <scheme val="minor"/>
      </rPr>
      <t>典藏酒厂</t>
    </r>
  </si>
  <si>
    <r>
      <t>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草本型利口酒;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开胃酒</t>
    </r>
  </si>
  <si>
    <t>牛天亮</t>
  </si>
  <si>
    <t>牛化一</t>
  </si>
  <si>
    <r>
      <t>葡萄酒; 高粱酒; 威士忌; 米酒;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</si>
  <si>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食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</si>
  <si>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食餐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</si>
  <si>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白酒; 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</si>
  <si>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霜</t>
    </r>
    <r>
      <rPr>
        <sz val="11"/>
        <color theme="1"/>
        <rFont val="ＭＳ Ｐゴシック"/>
        <family val="3"/>
        <charset val="134"/>
        <scheme val="minor"/>
      </rPr>
      <t>鸿</t>
    </r>
  </si>
  <si>
    <r>
      <t>上海</t>
    </r>
    <r>
      <rPr>
        <sz val="11"/>
        <color theme="1"/>
        <rFont val="ＭＳ Ｐゴシック"/>
        <family val="3"/>
        <charset val="134"/>
        <scheme val="minor"/>
      </rPr>
      <t>红桥</t>
    </r>
    <r>
      <rPr>
        <sz val="11"/>
        <color theme="1"/>
        <rFont val="ＭＳ Ｐゴシック"/>
        <family val="3"/>
        <charset val="128"/>
        <scheme val="minor"/>
      </rPr>
      <t>画廊有限公司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</si>
  <si>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</t>
    </r>
  </si>
  <si>
    <t>凝幽</t>
  </si>
  <si>
    <r>
      <t>米酒; 汽酒; 果酒（含酒精）;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清酒（日本米酒）;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</si>
  <si>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豫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禧</t>
    </r>
  </si>
  <si>
    <r>
      <t xml:space="preserve">威士忌; 果酒（含酒精）; 米酒; 伏特加酒;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</si>
  <si>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埃隆</t>
  </si>
  <si>
    <r>
      <t>新</t>
    </r>
    <r>
      <rPr>
        <sz val="11"/>
        <color theme="1"/>
        <rFont val="ＭＳ Ｐゴシック"/>
        <family val="3"/>
        <charset val="129"/>
        <scheme val="minor"/>
      </rPr>
      <t>胜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</si>
  <si>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甜酒; 烈酒; 伏特加酒; 果酒;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白酒; 含酒精的气泡水; 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</si>
  <si>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广聚</t>
    </r>
    <r>
      <rPr>
        <sz val="11"/>
        <color theme="1"/>
        <rFont val="ＭＳ Ｐゴシック"/>
        <family val="3"/>
        <charset val="134"/>
        <scheme val="minor"/>
      </rPr>
      <t>杨</t>
    </r>
  </si>
  <si>
    <r>
      <t>河南广聚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</si>
  <si>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</si>
  <si>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祖窖禧</t>
  </si>
  <si>
    <t>都利武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</si>
  <si>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伏特加酒</t>
    </r>
  </si>
  <si>
    <t>通仔</t>
  </si>
  <si>
    <t>徐州中能新能源有限公司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</si>
  <si>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黄酒; 蜂蜜酒;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</si>
  <si>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鼎泉印象</t>
  </si>
  <si>
    <t>李涛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</si>
  <si>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葡萄酒</t>
    </r>
  </si>
  <si>
    <r>
      <t>满</t>
    </r>
    <r>
      <rPr>
        <sz val="11"/>
        <color theme="1"/>
        <rFont val="ＭＳ Ｐゴシック"/>
        <family val="3"/>
        <charset val="128"/>
        <scheme val="minor"/>
      </rPr>
      <t>口福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</si>
  <si>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梅群</t>
    </r>
  </si>
  <si>
    <r>
      <t>果酒（含酒精）; 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伏特加酒; 烈酒; 清酒（日本米酒）</t>
    </r>
  </si>
  <si>
    <r>
      <t>鱼</t>
    </r>
    <r>
      <rPr>
        <sz val="11"/>
        <color theme="1"/>
        <rFont val="ＭＳ Ｐゴシック"/>
        <family val="3"/>
        <charset val="128"/>
        <scheme val="minor"/>
      </rPr>
      <t>稼台</t>
    </r>
  </si>
  <si>
    <r>
      <t>鱼</t>
    </r>
    <r>
      <rPr>
        <sz val="11"/>
        <color theme="1"/>
        <rFont val="ＭＳ Ｐゴシック"/>
        <family val="3"/>
        <charset val="128"/>
        <scheme val="minor"/>
      </rPr>
      <t>台粮粒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色食品有限公司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</si>
  <si>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伏特加酒;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苹果酒;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</si>
  <si>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百家皇</t>
  </si>
  <si>
    <r>
      <t>威士忌;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</si>
  <si>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老街男孩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</si>
  <si>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甜酒;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</si>
  <si>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r>
      <t>井中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</si>
  <si>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谭乐</t>
    </r>
    <r>
      <rPr>
        <sz val="11"/>
        <color theme="1"/>
        <rFont val="ＭＳ Ｐゴシック"/>
        <family val="3"/>
        <charset val="128"/>
        <scheme val="minor"/>
      </rPr>
      <t>怡</t>
    </r>
  </si>
  <si>
    <r>
      <t xml:space="preserve">烈酒; 葡萄酒; 黄酒; 威士忌; 果酒（含酒精）; 白酒; 清酒（日本米酒）;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</si>
  <si>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百福</t>
    </r>
    <r>
      <rPr>
        <sz val="11"/>
        <color theme="1"/>
        <rFont val="ＭＳ Ｐゴシック"/>
        <family val="3"/>
        <charset val="134"/>
        <scheme val="minor"/>
      </rPr>
      <t>访</t>
    </r>
  </si>
  <si>
    <r>
      <t>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清酒（日本米酒）; 烈酒; 白酒; 果酒（含酒精）; 汽酒</t>
    </r>
  </si>
  <si>
    <t>QAKSIZKADAM 无限步伐</t>
  </si>
  <si>
    <r>
      <t>图尔荪</t>
    </r>
    <r>
      <rPr>
        <sz val="11"/>
        <color theme="1"/>
        <rFont val="ＭＳ Ｐゴシック"/>
        <family val="3"/>
        <charset val="128"/>
        <scheme val="minor"/>
      </rPr>
      <t>托合提·</t>
    </r>
    <r>
      <rPr>
        <sz val="11"/>
        <color theme="1"/>
        <rFont val="ＭＳ Ｐゴシック"/>
        <family val="3"/>
        <charset val="134"/>
        <scheme val="minor"/>
      </rPr>
      <t>库尔</t>
    </r>
    <r>
      <rPr>
        <sz val="11"/>
        <color theme="1"/>
        <rFont val="ＭＳ Ｐゴシック"/>
        <family val="3"/>
        <charset val="128"/>
        <scheme val="minor"/>
      </rPr>
      <t>班尼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孜</t>
    </r>
  </si>
  <si>
    <r>
      <t>餐后酒（利口酒和烈酒）; 加烈葡萄酒; 含酒精的苦味开胃酒;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加香料的</t>
    </r>
    <r>
      <rPr>
        <sz val="11"/>
        <color theme="1"/>
        <rFont val="ＭＳ Ｐゴシック"/>
        <family val="3"/>
        <charset val="134"/>
        <scheme val="minor"/>
      </rPr>
      <t>热</t>
    </r>
    <r>
      <rPr>
        <sz val="11"/>
        <color theme="1"/>
        <rFont val="ＭＳ Ｐゴシック"/>
        <family val="3"/>
        <charset val="128"/>
        <scheme val="minor"/>
      </rPr>
      <t>葡萄酒; 草莓酒;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</si>
  <si>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中央广播</t>
    </r>
    <r>
      <rPr>
        <sz val="11"/>
        <color theme="1"/>
        <rFont val="ＭＳ Ｐゴシック"/>
        <family val="3"/>
        <charset val="134"/>
        <scheme val="minor"/>
      </rPr>
      <t>电视总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</si>
  <si>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</si>
  <si>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雁</t>
    </r>
    <r>
      <rPr>
        <sz val="11"/>
        <color theme="1"/>
        <rFont val="ＭＳ Ｐゴシック"/>
        <family val="3"/>
        <charset val="134"/>
        <scheme val="minor"/>
      </rPr>
      <t>门龙</t>
    </r>
  </si>
  <si>
    <t>胡玥</t>
  </si>
  <si>
    <r>
      <t>果酒（含酒精）; 开胃酒;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</si>
  <si>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金粮君</t>
  </si>
  <si>
    <t>阮志林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</si>
  <si>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烈酒; 果酒（含酒精）; 清酒（日本米酒）; 黄酒; 葡萄酒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</si>
  <si>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西游</t>
    </r>
  </si>
  <si>
    <r>
      <t>戚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宁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</si>
  <si>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威士忌; 开胃酒; 白酒; 葡萄酒;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</t>
    </r>
  </si>
  <si>
    <r>
      <t>明</t>
    </r>
    <r>
      <rPr>
        <sz val="11"/>
        <color theme="1"/>
        <rFont val="ＭＳ Ｐゴシック"/>
        <family val="3"/>
        <charset val="134"/>
        <scheme val="minor"/>
      </rPr>
      <t>钥</t>
    </r>
    <r>
      <rPr>
        <sz val="11"/>
        <color theme="1"/>
        <rFont val="ＭＳ Ｐゴシック"/>
        <family val="3"/>
        <charset val="128"/>
        <scheme val="minor"/>
      </rPr>
      <t>叶</t>
    </r>
  </si>
  <si>
    <r>
      <t>吉林紫御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方健康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</si>
  <si>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</t>
    </r>
  </si>
  <si>
    <t>白音花</t>
  </si>
  <si>
    <r>
      <t>孙</t>
    </r>
    <r>
      <rPr>
        <sz val="11"/>
        <color theme="1"/>
        <rFont val="ＭＳ Ｐゴシック"/>
        <family val="3"/>
        <charset val="128"/>
        <scheme val="minor"/>
      </rPr>
      <t>旭</t>
    </r>
  </si>
  <si>
    <r>
      <t>白干酒（中国白酒）;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黄酒;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青稞酒; 烈性干酒; 汽酒; 高粱酒</t>
    </r>
  </si>
  <si>
    <t>黄久匠</t>
  </si>
  <si>
    <t>何芮思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</si>
  <si>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开胃酒; 威士忌; 白酒; 烈酒; 葡萄酒; 果酒（含酒精）;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</si>
  <si>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西裕</t>
    </r>
    <r>
      <rPr>
        <sz val="11"/>
        <color theme="1"/>
        <rFont val="ＭＳ Ｐゴシック"/>
        <family val="3"/>
        <charset val="134"/>
        <scheme val="minor"/>
      </rPr>
      <t>顺</t>
    </r>
    <r>
      <rPr>
        <sz val="11"/>
        <color theme="1"/>
        <rFont val="ＭＳ Ｐゴシック"/>
        <family val="3"/>
        <charset val="128"/>
        <scheme val="minor"/>
      </rPr>
      <t>隆丰工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</si>
  <si>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黄酒; 米酒;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</si>
  <si>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佳合喜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</si>
  <si>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州世</t>
    </r>
    <r>
      <rPr>
        <sz val="11"/>
        <color theme="1"/>
        <rFont val="ＭＳ Ｐゴシック"/>
        <family val="3"/>
        <charset val="134"/>
        <scheme val="minor"/>
      </rPr>
      <t>纪</t>
    </r>
    <r>
      <rPr>
        <sz val="11"/>
        <color theme="1"/>
        <rFont val="ＭＳ Ｐゴシック"/>
        <family val="3"/>
        <charset val="128"/>
        <scheme val="minor"/>
      </rPr>
      <t>佳合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</si>
  <si>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黄酒; 果酒; 烈酒; 露酒;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葡萄酒; 白酒</t>
    </r>
  </si>
  <si>
    <t>酩壮元</t>
  </si>
  <si>
    <r>
      <t xml:space="preserve">果酒（含酒精）; 葡萄酒; 清酒（日本米酒）; 威士忌; 烈酒; 黄酒;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</si>
  <si>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客味</t>
    </r>
    <r>
      <rPr>
        <sz val="11"/>
        <color theme="1"/>
        <rFont val="ＭＳ Ｐゴシック"/>
        <family val="3"/>
        <charset val="134"/>
        <scheme val="minor"/>
      </rPr>
      <t>赞</t>
    </r>
  </si>
  <si>
    <t>刘志尊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</si>
  <si>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水果汽酒; 白酒; 青稞酒</t>
    </r>
  </si>
  <si>
    <t>洋威格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</si>
  <si>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清酒（日本米酒）; 开胃酒; 白酒; 黄酒; 烈酒;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</t>
    </r>
  </si>
  <si>
    <r>
      <t>虥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</si>
  <si>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葡萄酒; 威士忌;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</t>
    </r>
  </si>
  <si>
    <t>云痴</t>
  </si>
  <si>
    <t>范明峰</t>
  </si>
  <si>
    <r>
      <t xml:space="preserve">清酒（日本米酒）; 威士忌; 伏特加酒;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黄酒; 露酒; 朗姆酒</t>
    </r>
  </si>
  <si>
    <t>静法</t>
  </si>
  <si>
    <r>
      <t>利他健康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(深圳)集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</si>
  <si>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清酒; 含酒精的气泡水;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白酒</t>
    </r>
  </si>
  <si>
    <r>
      <t>微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古德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</si>
  <si>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天一勺食品有限公司</t>
    </r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</si>
  <si>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食用酒精;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</si>
  <si>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依冰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</si>
  <si>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小天池水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</si>
  <si>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汽酒; 葡萄酒; 黄酒; 果酒</t>
    </r>
  </si>
  <si>
    <t>鋆谷</t>
  </si>
  <si>
    <r>
      <t>艾国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</si>
  <si>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</si>
  <si>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怀萫</t>
    </r>
    <r>
      <rPr>
        <sz val="11"/>
        <color theme="1"/>
        <rFont val="ＭＳ Ｐゴシック"/>
        <family val="3"/>
        <charset val="128"/>
        <scheme val="minor"/>
      </rPr>
      <t>液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</si>
  <si>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飞</t>
    </r>
    <r>
      <rPr>
        <sz val="11"/>
        <color theme="1"/>
        <rFont val="ＭＳ Ｐゴシック"/>
        <family val="3"/>
        <charset val="128"/>
        <scheme val="minor"/>
      </rPr>
      <t>香液酒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</si>
  <si>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果酒（含酒精）; 米酒</t>
    </r>
  </si>
  <si>
    <r>
      <t>辛</t>
    </r>
    <r>
      <rPr>
        <sz val="11"/>
        <color theme="1"/>
        <rFont val="ＭＳ Ｐゴシック"/>
        <family val="3"/>
        <charset val="134"/>
        <scheme val="minor"/>
      </rPr>
      <t>轻</t>
    </r>
    <r>
      <rPr>
        <sz val="11"/>
        <color theme="1"/>
        <rFont val="ＭＳ Ｐゴシック"/>
        <family val="3"/>
        <charset val="128"/>
        <scheme val="minor"/>
      </rPr>
      <t>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</si>
  <si>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州辛</t>
    </r>
    <r>
      <rPr>
        <sz val="11"/>
        <color theme="1"/>
        <rFont val="ＭＳ Ｐゴシック"/>
        <family val="3"/>
        <charset val="134"/>
        <scheme val="minor"/>
      </rPr>
      <t>轻</t>
    </r>
    <r>
      <rPr>
        <sz val="11"/>
        <color theme="1"/>
        <rFont val="ＭＳ Ｐゴシック"/>
        <family val="3"/>
        <charset val="128"/>
        <scheme val="minor"/>
      </rPr>
      <t>年健康管理有限公司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</si>
  <si>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白酒</t>
    </r>
  </si>
  <si>
    <t>垚米泉</t>
  </si>
  <si>
    <t>马宽</t>
  </si>
  <si>
    <r>
      <t xml:space="preserve">威士忌; 白酒; 葡萄酒; 开胃酒;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果酒（含酒精）; 米酒</t>
    </r>
  </si>
  <si>
    <r>
      <t>卫</t>
    </r>
    <r>
      <rPr>
        <sz val="11"/>
        <color theme="1"/>
        <rFont val="ＭＳ Ｐゴシック"/>
        <family val="3"/>
        <charset val="128"/>
        <scheme val="minor"/>
      </rPr>
      <t>二古德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</si>
  <si>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苹果酒;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葡萄酒</t>
    </r>
  </si>
  <si>
    <r>
      <t>茶上</t>
    </r>
    <r>
      <rPr>
        <sz val="11"/>
        <color theme="1"/>
        <rFont val="ＭＳ Ｐゴシック"/>
        <family val="3"/>
        <charset val="134"/>
        <scheme val="minor"/>
      </rPr>
      <t>阙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</si>
  <si>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宇樊</t>
    </r>
  </si>
  <si>
    <r>
      <t xml:space="preserve">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葡萄酒; 白酒</t>
    </r>
  </si>
  <si>
    <r>
      <t>三丰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易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</si>
  <si>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江北水影</t>
    </r>
    <r>
      <rPr>
        <sz val="11"/>
        <color theme="1"/>
        <rFont val="ＭＳ Ｐゴシック"/>
        <family val="3"/>
        <charset val="134"/>
        <scheme val="minor"/>
      </rPr>
      <t>视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</si>
  <si>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朗姆酒; 甜果酒; 米酒; 酸酒（低等葡萄酒）; 黄酒; 青稞酒; 清酒（日本米酒）; 白酒;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</si>
  <si>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蜂蜜酒; 果酒（含酒精）; 甜酒; 米酒; 葡萄酒; 黄酒; 白酒; 食用酒精</t>
    </r>
  </si>
  <si>
    <r>
      <t>巴</t>
    </r>
    <r>
      <rPr>
        <sz val="11"/>
        <color theme="1"/>
        <rFont val="ＭＳ Ｐゴシック"/>
        <family val="3"/>
        <charset val="134"/>
        <scheme val="minor"/>
      </rPr>
      <t>顿</t>
    </r>
    <r>
      <rPr>
        <sz val="11"/>
        <color theme="1"/>
        <rFont val="ＭＳ Ｐゴシック"/>
        <family val="3"/>
        <charset val="128"/>
        <scheme val="minor"/>
      </rPr>
      <t>袋鼠王</t>
    </r>
  </si>
  <si>
    <r>
      <t>周口百斯特威酒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</si>
  <si>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利口酒; 果酒; 露酒;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</si>
  <si>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天下勇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</si>
  <si>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开胃酒; 威士忌; 烈酒; 葡萄酒; 黄酒</t>
    </r>
  </si>
  <si>
    <r>
      <t>汀</t>
    </r>
    <r>
      <rPr>
        <sz val="11"/>
        <color theme="1"/>
        <rFont val="ＭＳ Ｐゴシック"/>
        <family val="3"/>
        <charset val="134"/>
        <scheme val="minor"/>
      </rPr>
      <t>妈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</si>
  <si>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英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</si>
  <si>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葡萄酒; 白酒; 清酒（日本米酒）;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</si>
  <si>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苏轼</t>
    </r>
    <r>
      <rPr>
        <sz val="11"/>
        <color theme="1"/>
        <rFont val="ＭＳ Ｐゴシック"/>
        <family val="3"/>
        <charset val="128"/>
        <scheme val="minor"/>
      </rPr>
      <t>老爹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</si>
  <si>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星合青橙旅游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</si>
  <si>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甜果酒; 米酒;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</t>
    </r>
  </si>
  <si>
    <r>
      <t>路有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</si>
  <si>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梦霖</t>
    </r>
  </si>
  <si>
    <t>果酒（含酒精）; 米酒; 伏特加酒; 含酒精的气泡水; 白酒; 葡萄酒; 清酒（日本米酒）; 汽酒; 青稞酒; 黄酒</t>
  </si>
  <si>
    <r>
      <t>七箭</t>
    </r>
    <r>
      <rPr>
        <sz val="11"/>
        <color theme="1"/>
        <rFont val="ＭＳ Ｐゴシック"/>
        <family val="3"/>
        <charset val="134"/>
        <scheme val="minor"/>
      </rPr>
      <t>猎鹰</t>
    </r>
  </si>
  <si>
    <r>
      <t xml:space="preserve">利口酒; 果酒; 梅酒; 汽酒;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</si>
  <si>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楚迪</t>
  </si>
  <si>
    <r>
      <t>江西楚迪科技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</si>
  <si>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蜂蜜酒; 米酒;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</si>
  <si>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澳加</t>
    </r>
    <r>
      <rPr>
        <sz val="11"/>
        <color theme="1"/>
        <rFont val="ＭＳ Ｐゴシック"/>
        <family val="3"/>
        <charset val="134"/>
        <scheme val="minor"/>
      </rPr>
      <t>锐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</si>
  <si>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开胃酒; 白酒; 威士忌; 果酒（含酒精）; 黄酒</t>
    </r>
  </si>
  <si>
    <t>鹿酩山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</si>
  <si>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黄酒; 开胃酒;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果酒（含酒精）; 葡萄酒</t>
    </r>
  </si>
  <si>
    <r>
      <t>海小</t>
    </r>
    <r>
      <rPr>
        <sz val="11"/>
        <color theme="1"/>
        <rFont val="ＭＳ Ｐゴシック"/>
        <family val="3"/>
        <charset val="134"/>
        <scheme val="minor"/>
      </rPr>
      <t>选</t>
    </r>
  </si>
  <si>
    <t>林志昂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</si>
  <si>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</si>
  <si>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上莫云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</si>
  <si>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猎</t>
    </r>
    <r>
      <rPr>
        <sz val="11"/>
        <color theme="1"/>
        <rFont val="ＭＳ Ｐゴシック"/>
        <family val="3"/>
        <charset val="128"/>
        <scheme val="minor"/>
      </rPr>
      <t>酒圈酒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</si>
  <si>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白酒; 烈酒; 米酒; 黄酒</t>
    </r>
  </si>
  <si>
    <t>源正千秋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</si>
  <si>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州源正酒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</si>
  <si>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黄酒; 高粱酒;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</si>
  <si>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加品达</t>
  </si>
  <si>
    <r>
      <t>广州市番禺区加</t>
    </r>
    <r>
      <rPr>
        <sz val="11"/>
        <color theme="1"/>
        <rFont val="ＭＳ Ｐゴシック"/>
        <family val="3"/>
        <charset val="134"/>
        <scheme val="minor"/>
      </rPr>
      <t>兴电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</si>
  <si>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 xml:space="preserve">白酒;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葡萄酒; 米酒;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</si>
  <si>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琼赋</t>
    </r>
    <r>
      <rPr>
        <sz val="11"/>
        <color theme="1"/>
        <rFont val="ＭＳ Ｐゴシック"/>
        <family val="3"/>
        <charset val="128"/>
        <scheme val="minor"/>
      </rPr>
      <t>泉</t>
    </r>
  </si>
  <si>
    <t>曾奇英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</si>
  <si>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食用酒精; 清酒; 葡萄酒;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</si>
  <si>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功夫秋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</si>
  <si>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顾</t>
    </r>
    <r>
      <rPr>
        <sz val="11"/>
        <color theme="1"/>
        <rFont val="ＭＳ Ｐゴシック"/>
        <family val="3"/>
        <charset val="128"/>
        <scheme val="minor"/>
      </rPr>
      <t>旭恒</t>
    </r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</si>
  <si>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伏特加酒;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</si>
  <si>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穗香逢</t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</si>
  <si>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烈酒; 黄酒; 果酒（含酒精）; 威士忌;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</si>
  <si>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简</t>
    </r>
    <r>
      <rPr>
        <sz val="11"/>
        <color theme="1"/>
        <rFont val="ＭＳ Ｐゴシック"/>
        <family val="3"/>
        <charset val="128"/>
        <scheme val="minor"/>
      </rPr>
      <t>梁白</t>
    </r>
  </si>
  <si>
    <r>
      <t>露酒;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果酒; 白酒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</si>
  <si>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哥友礼</t>
    </r>
  </si>
  <si>
    <r>
      <t>福州市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掌柜商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</si>
  <si>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白酒; 米酒;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</si>
  <si>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中窖升</t>
  </si>
  <si>
    <r>
      <t>林</t>
    </r>
    <r>
      <rPr>
        <sz val="11"/>
        <color theme="1"/>
        <rFont val="ＭＳ Ｐゴシック"/>
        <family val="3"/>
        <charset val="134"/>
        <scheme val="minor"/>
      </rPr>
      <t>艳</t>
    </r>
    <r>
      <rPr>
        <sz val="11"/>
        <color theme="1"/>
        <rFont val="ＭＳ Ｐゴシック"/>
        <family val="3"/>
        <charset val="128"/>
        <scheme val="minor"/>
      </rPr>
      <t>青</t>
    </r>
  </si>
  <si>
    <r>
      <t>果酒（含酒精）;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薄荷酒;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</t>
    </r>
  </si>
  <si>
    <r>
      <t>友</t>
    </r>
    <r>
      <rPr>
        <sz val="11"/>
        <color theme="1"/>
        <rFont val="ＭＳ Ｐゴシック"/>
        <family val="3"/>
        <charset val="134"/>
        <scheme val="minor"/>
      </rPr>
      <t>简单</t>
    </r>
  </si>
  <si>
    <r>
      <t>郑</t>
    </r>
    <r>
      <rPr>
        <sz val="11"/>
        <color theme="1"/>
        <rFont val="ＭＳ Ｐゴシック"/>
        <family val="3"/>
        <charset val="128"/>
        <scheme val="minor"/>
      </rPr>
      <t>州直</t>
    </r>
    <r>
      <rPr>
        <sz val="11"/>
        <color theme="1"/>
        <rFont val="ＭＳ Ｐゴシック"/>
        <family val="3"/>
        <charset val="134"/>
        <scheme val="minor"/>
      </rPr>
      <t>觉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</si>
  <si>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梨酒;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</si>
  <si>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虥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号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</si>
  <si>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果酒;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</si>
  <si>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礼婚禧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</si>
  <si>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</t>
    </r>
  </si>
  <si>
    <t>南与北</t>
  </si>
  <si>
    <r>
      <t>遵</t>
    </r>
    <r>
      <rPr>
        <sz val="11"/>
        <color theme="1"/>
        <rFont val="ＭＳ Ｐゴシック"/>
        <family val="3"/>
        <charset val="134"/>
        <scheme val="minor"/>
      </rPr>
      <t>义酱</t>
    </r>
    <r>
      <rPr>
        <sz val="11"/>
        <color theme="1"/>
        <rFont val="ＭＳ Ｐゴシック"/>
        <family val="3"/>
        <charset val="128"/>
        <scheme val="minor"/>
      </rPr>
      <t>富酒坊有限公司</t>
    </r>
  </si>
  <si>
    <r>
      <t xml:space="preserve">黄酒; 米酒; 烈酒; 葡萄酒; 果酒（含酒精）; 白酒;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</si>
  <si>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西全</t>
    </r>
  </si>
  <si>
    <r>
      <t>开胃酒; 果酒（含酒精）; 青稞酒; 黄酒; 白酒; 酸酒（低等葡萄酒）;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</si>
  <si>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岐黄天成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</si>
  <si>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岐黄天成健康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</si>
  <si>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黄酒; 白酒; 米酒;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</si>
  <si>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每代文宗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</si>
  <si>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州世代同宗酒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</si>
  <si>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开胃酒; 果酒（含酒精）; 威士忌;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</si>
  <si>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敬潘堂</t>
  </si>
  <si>
    <r>
      <t>张</t>
    </r>
    <r>
      <rPr>
        <sz val="11"/>
        <color theme="1"/>
        <rFont val="ＭＳ Ｐゴシック"/>
        <family val="3"/>
        <charset val="128"/>
        <scheme val="minor"/>
      </rPr>
      <t>海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</si>
  <si>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蜂蜜酒; 葡萄酒; 果酒（含酒精）; 白酒;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</si>
  <si>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熹酢</t>
  </si>
  <si>
    <r>
      <t>中山市博</t>
    </r>
    <r>
      <rPr>
        <sz val="11"/>
        <color theme="1"/>
        <rFont val="ＭＳ Ｐゴシック"/>
        <family val="3"/>
        <charset val="134"/>
        <scheme val="minor"/>
      </rPr>
      <t>远</t>
    </r>
    <r>
      <rPr>
        <sz val="11"/>
        <color theme="1"/>
        <rFont val="ＭＳ Ｐゴシック"/>
        <family val="3"/>
        <charset val="128"/>
        <scheme val="minor"/>
      </rPr>
      <t>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控股有限公司</t>
    </r>
  </si>
  <si>
    <r>
      <t>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白酒; 利口酒;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威士忌; 果酒（含酒精）; 米酒</t>
    </r>
  </si>
  <si>
    <t>今世祖</t>
  </si>
  <si>
    <r>
      <t xml:space="preserve">米酒;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</si>
  <si>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奂鲲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</si>
  <si>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东奂鲲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</si>
  <si>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果酒（含酒精）; 黄酒;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</si>
  <si>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t>百仙牧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</si>
  <si>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食用酒精; 黄酒; 清酒（日本米酒）</t>
    </r>
  </si>
  <si>
    <r>
      <t>齐</t>
    </r>
    <r>
      <rPr>
        <sz val="11"/>
        <color theme="1"/>
        <rFont val="ＭＳ Ｐゴシック"/>
        <family val="3"/>
        <charset val="128"/>
        <scheme val="minor"/>
      </rPr>
      <t>麟 攀登新梦想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</si>
  <si>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源昊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</si>
  <si>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 xml:space="preserve">果酒;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蒸煮提取物（利口酒和烈酒）; 白酒;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</si>
  <si>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睿利福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</si>
  <si>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杉控股集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</si>
  <si>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</si>
  <si>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高粱酒; 葡萄酒; 米酒; 黄酒;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</si>
  <si>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牛氏父子</t>
  </si>
  <si>
    <r>
      <t xml:space="preserve">葡萄酒; 威士忌; 伏特加酒;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黄酒;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</si>
  <si>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裕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凰</t>
    </r>
  </si>
  <si>
    <r>
      <t xml:space="preserve">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清酒（日本米酒）; 开胃酒;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</si>
  <si>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静思明月</t>
  </si>
  <si>
    <r>
      <t>大田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美家宜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</si>
  <si>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威士忌;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</si>
  <si>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t>尼旺</t>
  </si>
  <si>
    <t>新疆京楚智能科技有限公司</t>
  </si>
  <si>
    <r>
      <t>白酒; 白葡萄酒; 甜酒; 甜果酒;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高粱酒; 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</si>
  <si>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公台</t>
    </r>
  </si>
  <si>
    <r>
      <t>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开胃酒; 黄酒; 白酒; 伏特加酒</t>
    </r>
  </si>
  <si>
    <t>祥邦</t>
  </si>
  <si>
    <r>
      <t>果酒（含酒精）;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米酒; 黄酒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</si>
  <si>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食用酒精</t>
    </r>
  </si>
  <si>
    <r>
      <t>虥</t>
    </r>
    <r>
      <rPr>
        <sz val="11"/>
        <color theme="1"/>
        <rFont val="ＭＳ Ｐゴシック"/>
        <family val="3"/>
        <charset val="128"/>
        <scheme val="minor"/>
      </rPr>
      <t>号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</si>
  <si>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</si>
  <si>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t>乾松</t>
  </si>
  <si>
    <r>
      <t>果酒（含酒精）; 开胃酒; 威士忌; 清酒（日本米酒）; 葡萄酒; 烈酒;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</si>
  <si>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春十五</t>
  </si>
  <si>
    <t>唐震宇</t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</si>
  <si>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果酒;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高粱酒; 薄荷酒; 葡萄酒</t>
    </r>
  </si>
  <si>
    <t>MAGIC PROMISE</t>
  </si>
  <si>
    <r>
      <t>毕卫</t>
    </r>
    <r>
      <rPr>
        <sz val="11"/>
        <color theme="1"/>
        <rFont val="ＭＳ Ｐゴシック"/>
        <family val="3"/>
        <charset val="128"/>
        <scheme val="minor"/>
      </rPr>
      <t>敏</t>
    </r>
  </si>
  <si>
    <r>
      <t xml:space="preserve">开胃酒;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</si>
  <si>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每代宏</t>
    </r>
    <r>
      <rPr>
        <sz val="11"/>
        <color theme="1"/>
        <rFont val="ＭＳ Ｐゴシック"/>
        <family val="3"/>
        <charset val="134"/>
        <scheme val="minor"/>
      </rPr>
      <t>图</t>
    </r>
  </si>
  <si>
    <r>
      <t>果酒（含酒精）; 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开胃酒; 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</t>
    </r>
  </si>
  <si>
    <r>
      <t>鱼</t>
    </r>
    <r>
      <rPr>
        <sz val="11"/>
        <color theme="1"/>
        <rFont val="ＭＳ Ｐゴシック"/>
        <family val="3"/>
        <charset val="128"/>
        <scheme val="minor"/>
      </rPr>
      <t>稼宴</t>
    </r>
  </si>
  <si>
    <r>
      <t>葡萄酒; 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伏特加酒;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</si>
  <si>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味儿古德</t>
  </si>
  <si>
    <r>
      <t>蜂蜜酒;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苹果酒;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</t>
    </r>
  </si>
  <si>
    <t>德宥堂</t>
  </si>
  <si>
    <r>
      <t>米酒; 苹果酒;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开胃酒; 威士忌; 食用酒精; 高粱酒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</si>
  <si>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芳静姐</t>
    </r>
  </si>
  <si>
    <r>
      <t>果子花播生物科技（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南）有限公司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</si>
  <si>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黄酒; 米酒; 威士忌; 食用酒精</t>
    </r>
  </si>
  <si>
    <r>
      <t>连</t>
    </r>
    <r>
      <rPr>
        <sz val="11"/>
        <color theme="1"/>
        <rFont val="ＭＳ Ｐゴシック"/>
        <family val="3"/>
        <charset val="128"/>
        <scheme val="minor"/>
      </rPr>
      <t>廉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</si>
  <si>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永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</si>
  <si>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高粱酒;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甜酒; 米酒; 青梅酒; 果酒; 甜果酒;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</si>
  <si>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r>
      <t>卓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</si>
  <si>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黄酒; 威士忌;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</si>
  <si>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 xml:space="preserve">米酒; 清酒;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白干酒（中国白酒）; 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</t>
    </r>
  </si>
  <si>
    <r>
      <t>财</t>
    </r>
    <r>
      <rPr>
        <sz val="11"/>
        <color theme="1"/>
        <rFont val="ＭＳ Ｐゴシック"/>
        <family val="3"/>
        <charset val="128"/>
        <scheme val="minor"/>
      </rPr>
      <t>路源</t>
    </r>
  </si>
  <si>
    <t>李燕雪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</si>
  <si>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</si>
  <si>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克威尼</t>
    </r>
  </si>
  <si>
    <r>
      <t xml:space="preserve">黄酒; 威士忌;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白酒; 伏特加酒;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</si>
  <si>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初道</t>
  </si>
  <si>
    <r>
      <t>河南初道商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</si>
  <si>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威士忌; 高粱酒;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伏特加酒;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</si>
  <si>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幽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梦境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</si>
  <si>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寰憬融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</si>
  <si>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白酒</t>
    </r>
  </si>
  <si>
    <t>晋品云中</t>
  </si>
  <si>
    <r>
      <t>大同市云中好礼商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</si>
  <si>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米酒; 葡萄酒; 威士忌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</si>
  <si>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可研</t>
    </r>
  </si>
  <si>
    <t>香港百利他有限公司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</si>
  <si>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黄酒; 威士忌; 白酒; 薄荷酒</t>
    </r>
  </si>
  <si>
    <t>傅香居</t>
  </si>
  <si>
    <r>
      <t>山西德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康佳商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</si>
  <si>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烈酒;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</si>
  <si>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香</t>
    </r>
    <r>
      <rPr>
        <sz val="11"/>
        <color theme="1"/>
        <rFont val="ＭＳ Ｐゴシック"/>
        <family val="3"/>
        <charset val="134"/>
        <scheme val="minor"/>
      </rPr>
      <t>隐</t>
    </r>
    <r>
      <rPr>
        <sz val="11"/>
        <color theme="1"/>
        <rFont val="ＭＳ Ｐゴシック"/>
        <family val="3"/>
        <charset val="128"/>
        <scheme val="minor"/>
      </rPr>
      <t>琅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</si>
  <si>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西美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</si>
  <si>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苹果酒;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食用酒精; 果酒（含酒精）; 杜松子酒;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</si>
  <si>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北京凡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</si>
  <si>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白酒; 酸酒（低等葡萄酒）;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</si>
  <si>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科学院 1905 GUIZHOU ACADEMY OF AGRICULTURAL SCIENCES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</si>
  <si>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科学院</t>
    </r>
  </si>
  <si>
    <r>
      <t>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蜂蜜酒;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</si>
  <si>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艾丁 AYDIN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</si>
  <si>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杜松子酒; 食用酒精;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</si>
  <si>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梦</t>
    </r>
    <r>
      <rPr>
        <sz val="11"/>
        <color theme="1"/>
        <rFont val="ＭＳ Ｐゴシック"/>
        <family val="3"/>
        <charset val="134"/>
        <scheme val="minor"/>
      </rPr>
      <t>涧</t>
    </r>
  </si>
  <si>
    <t>李善平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</si>
  <si>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开胃酒; 烈酒;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葡萄酒</t>
    </r>
  </si>
  <si>
    <t>久戈</t>
  </si>
  <si>
    <r>
      <t>刘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</si>
  <si>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高粱酒; 草本型利口酒;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伏特加酒; 麦芽威士忌;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白酒; 葡萄酒</t>
    </r>
  </si>
  <si>
    <r>
      <t>道</t>
    </r>
    <r>
      <rPr>
        <sz val="11"/>
        <color theme="1"/>
        <rFont val="ＭＳ Ｐゴシック"/>
        <family val="3"/>
        <charset val="129"/>
        <scheme val="minor"/>
      </rPr>
      <t>窨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</si>
  <si>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州富道源商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</si>
  <si>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青稞酒; 果酒（含酒精）; 葡萄酒; 蜂蜜酒;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</si>
  <si>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t>老注</t>
  </si>
  <si>
    <t>朱起柱</t>
  </si>
  <si>
    <r>
      <t>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</t>
    </r>
  </si>
  <si>
    <t>周威宁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</si>
  <si>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朗姆酒;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</t>
    </r>
  </si>
  <si>
    <r>
      <t>思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泪</t>
    </r>
  </si>
  <si>
    <r>
      <t>四川上品印象集成吊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</si>
  <si>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</si>
  <si>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ZAANMON</t>
  </si>
  <si>
    <r>
      <t>深圳市</t>
    </r>
    <r>
      <rPr>
        <sz val="11"/>
        <color theme="1"/>
        <rFont val="ＭＳ Ｐゴシック"/>
        <family val="3"/>
        <charset val="134"/>
        <scheme val="minor"/>
      </rPr>
      <t>盏</t>
    </r>
    <r>
      <rPr>
        <sz val="11"/>
        <color theme="1"/>
        <rFont val="ＭＳ Ｐゴシック"/>
        <family val="3"/>
        <charset val="128"/>
        <scheme val="minor"/>
      </rPr>
      <t>望酒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</si>
  <si>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朗姆酒;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烈酒; 果酒（含酒精）;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白葡萄酒; 葡萄酒; 伏特加酒; 白酒</t>
    </r>
  </si>
  <si>
    <t>任安渡</t>
  </si>
  <si>
    <r>
      <t>南昌任安渡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</si>
  <si>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米酒; 葡萄酒</t>
    </r>
  </si>
  <si>
    <r>
      <t>粮</t>
    </r>
    <r>
      <rPr>
        <sz val="11"/>
        <color theme="1"/>
        <rFont val="ＭＳ Ｐゴシック"/>
        <family val="3"/>
        <charset val="134"/>
        <scheme val="minor"/>
      </rPr>
      <t>题</t>
    </r>
  </si>
  <si>
    <t>冯晓</t>
  </si>
  <si>
    <r>
      <t xml:space="preserve">米酒; 伏特加酒;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果酒（含酒精）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</si>
  <si>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虎洞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</si>
  <si>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</si>
  <si>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湘魄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</si>
  <si>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</si>
  <si>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帅</t>
    </r>
    <r>
      <rPr>
        <sz val="11"/>
        <color theme="1"/>
        <rFont val="ＭＳ Ｐゴシック"/>
        <family val="3"/>
        <charset val="128"/>
        <scheme val="minor"/>
      </rPr>
      <t>妍</t>
    </r>
  </si>
  <si>
    <r>
      <t>年</t>
    </r>
    <r>
      <rPr>
        <sz val="11"/>
        <color theme="1"/>
        <rFont val="ＭＳ Ｐゴシック"/>
        <family val="3"/>
        <charset val="134"/>
        <scheme val="minor"/>
      </rPr>
      <t>轻态</t>
    </r>
    <r>
      <rPr>
        <sz val="11"/>
        <color theme="1"/>
        <rFont val="ＭＳ Ｐゴシック"/>
        <family val="3"/>
        <charset val="128"/>
        <scheme val="minor"/>
      </rPr>
      <t>（广州）化</t>
    </r>
    <r>
      <rPr>
        <sz val="11"/>
        <color theme="1"/>
        <rFont val="ＭＳ Ｐゴシック"/>
        <family val="3"/>
        <charset val="134"/>
        <scheme val="minor"/>
      </rPr>
      <t>妆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</si>
  <si>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果酒（含酒精）; 白酒; 朗姆酒;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</si>
  <si>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南山知己</t>
  </si>
  <si>
    <r>
      <t>孙</t>
    </r>
    <r>
      <rPr>
        <sz val="11"/>
        <color theme="1"/>
        <rFont val="ＭＳ Ｐゴシック"/>
        <family val="3"/>
        <charset val="128"/>
        <scheme val="minor"/>
      </rPr>
      <t>李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</si>
  <si>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青稞酒; 烈酒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</si>
  <si>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瑞乾隆</t>
    </r>
  </si>
  <si>
    <r>
      <t>株洲市芦淞区芳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荣光百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</si>
  <si>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黄酒;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青稞酒; 高粱酒; 露酒;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清酒</t>
    </r>
  </si>
  <si>
    <t>YUANCHUANGYINYUEREN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</si>
  <si>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邹</t>
    </r>
    <r>
      <rPr>
        <sz val="11"/>
        <color theme="1"/>
        <rFont val="ＭＳ Ｐゴシック"/>
        <family val="3"/>
        <charset val="128"/>
        <scheme val="minor"/>
      </rPr>
      <t>旺酒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</si>
  <si>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米酒; 苹果酒; 茴香酒（利口酒）; 黄酒; 果酒; 白酒; 蜂蜜酒; 青稞酒; 酸酒（低等葡萄酒）</t>
    </r>
  </si>
  <si>
    <t>杏福盼</t>
  </si>
  <si>
    <r>
      <t>周</t>
    </r>
    <r>
      <rPr>
        <sz val="11"/>
        <color theme="1"/>
        <rFont val="ＭＳ Ｐゴシック"/>
        <family val="3"/>
        <charset val="134"/>
        <scheme val="minor"/>
      </rPr>
      <t>畅畅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</si>
  <si>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果酒（含酒精）;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</si>
  <si>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赤焰洞</t>
  </si>
  <si>
    <r>
      <t>魏</t>
    </r>
    <r>
      <rPr>
        <sz val="11"/>
        <color theme="1"/>
        <rFont val="ＭＳ Ｐゴシック"/>
        <family val="3"/>
        <charset val="134"/>
        <scheme val="minor"/>
      </rPr>
      <t>爱华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</si>
  <si>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清酒（日本米酒）; 葡萄酒;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黄酒</t>
    </r>
  </si>
  <si>
    <t>岭南妃笑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</si>
  <si>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州鼎</t>
    </r>
    <r>
      <rPr>
        <sz val="11"/>
        <color theme="1"/>
        <rFont val="ＭＳ Ｐゴシック"/>
        <family val="3"/>
        <charset val="134"/>
        <scheme val="minor"/>
      </rPr>
      <t>酱</t>
    </r>
    <r>
      <rPr>
        <sz val="11"/>
        <color theme="1"/>
        <rFont val="ＭＳ Ｐゴシック"/>
        <family val="3"/>
        <charset val="128"/>
        <scheme val="minor"/>
      </rPr>
      <t>功夫酒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</si>
  <si>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露酒; 利口酒;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</t>
    </r>
  </si>
  <si>
    <t>椅山湖</t>
  </si>
  <si>
    <t>吉林省朴老太食品有限公司</t>
  </si>
  <si>
    <r>
      <t>果酒;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清酒; 开胃酒;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</si>
  <si>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宛生有礼</t>
  </si>
  <si>
    <r>
      <t>蓝</t>
    </r>
    <r>
      <rPr>
        <sz val="11"/>
        <color theme="1"/>
        <rFont val="ＭＳ Ｐゴシック"/>
        <family val="3"/>
        <charset val="128"/>
        <scheme val="minor"/>
      </rPr>
      <t>湾智谷科技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(南阳)有限公司</t>
    </r>
  </si>
  <si>
    <r>
      <t>食用酒精; 果酒（含酒精）; 葡萄酒; 蜂蜜酒; 米酒; 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</t>
    </r>
  </si>
  <si>
    <t>嫦韵</t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</si>
  <si>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烈酒; 果酒; 葡萄酒; 黄酒</t>
    </r>
  </si>
  <si>
    <t>INCIDER</t>
  </si>
  <si>
    <r>
      <t>上海稻醴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</si>
  <si>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水果汽酒;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汽酒; 白酒; 果酒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</si>
  <si>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中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</si>
  <si>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果酒; 米酒; 葡萄酒; 青稞酒; 黄酒</t>
    </r>
  </si>
  <si>
    <r>
      <t>纵</t>
    </r>
    <r>
      <rPr>
        <sz val="11"/>
        <color theme="1"/>
        <rFont val="ＭＳ Ｐゴシック"/>
        <family val="3"/>
        <charset val="128"/>
        <scheme val="minor"/>
      </rPr>
      <t>九霄</t>
    </r>
  </si>
  <si>
    <r>
      <t>果酒（含酒精）; 白酒; 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</si>
  <si>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r>
      <t>历</t>
    </r>
    <r>
      <rPr>
        <sz val="11"/>
        <color theme="1"/>
        <rFont val="ＭＳ Ｐゴシック"/>
        <family val="3"/>
        <charset val="128"/>
        <scheme val="minor"/>
      </rPr>
      <t>史运</t>
    </r>
  </si>
  <si>
    <r>
      <t>田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</si>
  <si>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葡萄酒;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</t>
    </r>
  </si>
  <si>
    <r>
      <t>果酒; 清酒; 米酒;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薄荷酒; 白酒; 黄酒; 食用酒精</t>
    </r>
  </si>
  <si>
    <r>
      <t>壮云</t>
    </r>
    <r>
      <rPr>
        <sz val="11"/>
        <color theme="1"/>
        <rFont val="ＭＳ Ｐゴシック"/>
        <family val="3"/>
        <charset val="134"/>
        <scheme val="minor"/>
      </rPr>
      <t>涧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</si>
  <si>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州百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</si>
  <si>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白干酒（中国白酒）; 烈酒; 五加皮酒（中国混合烈酒）;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</t>
    </r>
  </si>
  <si>
    <r>
      <t>单</t>
    </r>
    <r>
      <rPr>
        <sz val="11"/>
        <color theme="1"/>
        <rFont val="ＭＳ Ｐゴシック"/>
        <family val="3"/>
        <charset val="128"/>
        <scheme val="minor"/>
      </rPr>
      <t>身界</t>
    </r>
  </si>
  <si>
    <r>
      <t>连</t>
    </r>
    <r>
      <rPr>
        <sz val="11"/>
        <color theme="1"/>
        <rFont val="ＭＳ Ｐゴシック"/>
        <family val="3"/>
        <charset val="128"/>
        <scheme val="minor"/>
      </rPr>
      <t>云港</t>
    </r>
    <r>
      <rPr>
        <sz val="11"/>
        <color theme="1"/>
        <rFont val="ＭＳ Ｐゴシック"/>
        <family val="3"/>
        <charset val="134"/>
        <scheme val="minor"/>
      </rPr>
      <t>满级贸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</si>
  <si>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朗姆酒;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</si>
  <si>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迎春芳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</si>
  <si>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河北迎春酒集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</si>
  <si>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高粱酒; 利口酒; 果酒; 白干酒（中国白酒）</t>
    </r>
  </si>
  <si>
    <t>福林泰堂</t>
  </si>
  <si>
    <r>
      <t>上海廖公山</t>
    </r>
    <r>
      <rPr>
        <sz val="11"/>
        <color theme="1"/>
        <rFont val="ＭＳ Ｐゴシック"/>
        <family val="3"/>
        <charset val="134"/>
        <scheme val="minor"/>
      </rPr>
      <t>实业发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</si>
  <si>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清酒（日本米酒）; 葡萄酒</t>
    </r>
  </si>
  <si>
    <r>
      <t>兴</t>
    </r>
    <r>
      <rPr>
        <sz val="11"/>
        <color theme="1"/>
        <rFont val="ＭＳ Ｐゴシック"/>
        <family val="3"/>
        <charset val="128"/>
        <scheme val="minor"/>
      </rPr>
      <t>意来</t>
    </r>
  </si>
  <si>
    <r>
      <t xml:space="preserve">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白酒</t>
    </r>
  </si>
  <si>
    <t>元若曦</t>
  </si>
  <si>
    <r>
      <t>叶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珠</t>
    </r>
  </si>
  <si>
    <r>
      <t>威士忌; 米酒;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</si>
  <si>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禧王子</t>
  </si>
  <si>
    <r>
      <t>四川三江源酒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</si>
  <si>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开胃酒;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果酒（含酒精）</t>
    </r>
  </si>
  <si>
    <r>
      <t>熙</t>
    </r>
    <r>
      <rPr>
        <sz val="11"/>
        <color theme="1"/>
        <rFont val="ＭＳ Ｐゴシック"/>
        <family val="3"/>
        <charset val="134"/>
        <scheme val="minor"/>
      </rPr>
      <t>栎</t>
    </r>
    <r>
      <rPr>
        <sz val="11"/>
        <color theme="1"/>
        <rFont val="ＭＳ Ｐゴシック"/>
        <family val="3"/>
        <charset val="128"/>
        <scheme val="minor"/>
      </rPr>
      <t>慧</t>
    </r>
  </si>
  <si>
    <r>
      <t>亳州市熙</t>
    </r>
    <r>
      <rPr>
        <sz val="11"/>
        <color theme="1"/>
        <rFont val="ＭＳ Ｐゴシック"/>
        <family val="3"/>
        <charset val="134"/>
        <scheme val="minor"/>
      </rPr>
      <t>栎</t>
    </r>
    <r>
      <rPr>
        <sz val="11"/>
        <color theme="1"/>
        <rFont val="ＭＳ Ｐゴシック"/>
        <family val="3"/>
        <charset val="128"/>
        <scheme val="minor"/>
      </rPr>
      <t>慧新能源科技有限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</si>
  <si>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葡萄酒; 米酒;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</si>
  <si>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林辛</t>
  </si>
  <si>
    <t>云南木心葡萄酒有限公司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</si>
  <si>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开胃酒; 白酒;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</t>
    </r>
  </si>
  <si>
    <t>佩沃夫</t>
  </si>
  <si>
    <r>
      <t>上海群音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</si>
  <si>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</si>
  <si>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海乏</t>
    </r>
    <r>
      <rPr>
        <sz val="11"/>
        <color theme="1"/>
        <rFont val="ＭＳ Ｐゴシック"/>
        <family val="3"/>
        <charset val="134"/>
        <scheme val="minor"/>
      </rPr>
      <t>兰</t>
    </r>
  </si>
  <si>
    <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清酒（日本米酒）; 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</si>
  <si>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r>
      <t>坛</t>
    </r>
    <r>
      <rPr>
        <sz val="11"/>
        <color theme="1"/>
        <rFont val="ＭＳ Ｐゴシック"/>
        <family val="3"/>
        <charset val="128"/>
        <scheme val="minor"/>
      </rPr>
      <t>上福</t>
    </r>
  </si>
  <si>
    <t>刘世凡</t>
  </si>
  <si>
    <r>
      <t>汽酒; 葡萄酒; 清酒（日本米酒）; 伏特加酒; 黄酒; 烈酒;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</si>
  <si>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康裕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</si>
  <si>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>太原市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高梁酒厂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</si>
  <si>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食用酒精</t>
    </r>
  </si>
  <si>
    <t>泠香集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</si>
  <si>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杜松子酒;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苹果酒;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果酒（含酒精）; 葡萄酒</t>
    </r>
  </si>
  <si>
    <t>XINGLINJIUYE</t>
  </si>
  <si>
    <r>
      <t>汾阳市杏林酒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</si>
  <si>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高粱酒;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</si>
  <si>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登</t>
    </r>
    <r>
      <rPr>
        <sz val="11"/>
        <color theme="1"/>
        <rFont val="ＭＳ Ｐゴシック"/>
        <family val="3"/>
        <charset val="134"/>
        <scheme val="minor"/>
      </rPr>
      <t>轮</t>
    </r>
    <r>
      <rPr>
        <sz val="11"/>
        <color theme="1"/>
        <rFont val="ＭＳ Ｐゴシック"/>
        <family val="3"/>
        <charset val="128"/>
        <scheme val="minor"/>
      </rPr>
      <t>玉韵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</si>
  <si>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登</t>
    </r>
    <r>
      <rPr>
        <sz val="11"/>
        <color theme="1"/>
        <rFont val="ＭＳ Ｐゴシック"/>
        <family val="3"/>
        <charset val="134"/>
        <scheme val="minor"/>
      </rPr>
      <t>轮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</si>
  <si>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果酒（含酒精）;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</si>
  <si>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儒吉</t>
  </si>
  <si>
    <r>
      <t>邓</t>
    </r>
    <r>
      <rPr>
        <sz val="11"/>
        <color theme="1"/>
        <rFont val="ＭＳ Ｐゴシック"/>
        <family val="3"/>
        <charset val="128"/>
        <scheme val="minor"/>
      </rPr>
      <t>小</t>
    </r>
    <r>
      <rPr>
        <sz val="11"/>
        <color theme="1"/>
        <rFont val="ＭＳ Ｐゴシック"/>
        <family val="3"/>
        <charset val="129"/>
        <scheme val="minor"/>
      </rPr>
      <t>孬</t>
    </r>
  </si>
  <si>
    <r>
      <t>黄酒; 白酒; 威士忌;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开胃酒;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</si>
  <si>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李大</t>
    </r>
    <r>
      <rPr>
        <sz val="11"/>
        <color theme="1"/>
        <rFont val="ＭＳ Ｐゴシック"/>
        <family val="3"/>
        <charset val="134"/>
        <scheme val="minor"/>
      </rPr>
      <t>仓</t>
    </r>
  </si>
  <si>
    <r>
      <t>冯亚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</si>
  <si>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>黄酒; 清酒（日本米酒）;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开胃酒</t>
    </r>
  </si>
  <si>
    <t>黔美基</t>
  </si>
  <si>
    <r>
      <t xml:space="preserve">威士忌; 葡萄酒;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</t>
    </r>
  </si>
  <si>
    <t>NAOTIEA</t>
  </si>
  <si>
    <r>
      <t>有本事（厦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）网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</si>
  <si>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威士忌;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清酒（日本米酒）; 朗姆酒</t>
    </r>
  </si>
  <si>
    <r>
      <t>槐花金</t>
    </r>
    <r>
      <rPr>
        <sz val="11"/>
        <color theme="1"/>
        <rFont val="ＭＳ Ｐゴシック"/>
        <family val="3"/>
        <charset val="134"/>
        <scheme val="minor"/>
      </rPr>
      <t>马</t>
    </r>
  </si>
  <si>
    <r>
      <t>东营</t>
    </r>
    <r>
      <rPr>
        <sz val="11"/>
        <color theme="1"/>
        <rFont val="ＭＳ Ｐゴシック"/>
        <family val="3"/>
        <charset val="128"/>
        <scheme val="minor"/>
      </rPr>
      <t>盛</t>
    </r>
    <r>
      <rPr>
        <sz val="11"/>
        <color theme="1"/>
        <rFont val="ＭＳ Ｐゴシック"/>
        <family val="3"/>
        <charset val="134"/>
        <scheme val="minor"/>
      </rPr>
      <t>纭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</si>
  <si>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白酒; 米酒; 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葡萄酒; 黄酒; 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</si>
  <si>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槐洲</t>
  </si>
  <si>
    <r>
      <t>李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</si>
  <si>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>果酒; 米酒;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</si>
  <si>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浙江五芳</t>
    </r>
    <r>
      <rPr>
        <sz val="11"/>
        <color theme="1"/>
        <rFont val="ＭＳ Ｐゴシック"/>
        <family val="3"/>
        <charset val="134"/>
        <scheme val="minor"/>
      </rPr>
      <t>斋实业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</si>
  <si>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 xml:space="preserve">日式甜米酒; 开胃酒;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</si>
  <si>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宏</t>
    </r>
    <r>
      <rPr>
        <sz val="11"/>
        <color theme="1"/>
        <rFont val="ＭＳ Ｐゴシック"/>
        <family val="3"/>
        <charset val="134"/>
        <scheme val="minor"/>
      </rPr>
      <t>图</t>
    </r>
    <r>
      <rPr>
        <sz val="11"/>
        <color theme="1"/>
        <rFont val="ＭＳ Ｐゴシック"/>
        <family val="3"/>
        <charset val="128"/>
        <scheme val="minor"/>
      </rPr>
      <t>春秋</t>
    </r>
  </si>
  <si>
    <r>
      <t>游小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</si>
  <si>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米酒; 葡萄酒; 汽酒;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清酒（日本米酒）</t>
    </r>
  </si>
  <si>
    <r>
      <t>戏</t>
    </r>
    <r>
      <rPr>
        <sz val="11"/>
        <color theme="1"/>
        <rFont val="ＭＳ Ｐゴシック"/>
        <family val="3"/>
        <charset val="128"/>
        <scheme val="minor"/>
      </rPr>
      <t>坡坊</t>
    </r>
  </si>
  <si>
    <r>
      <t>威士忌; 米酒; 白酒; 果酒（含酒精）;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清酒（日本米酒）</t>
    </r>
  </si>
  <si>
    <r>
      <t>景天</t>
    </r>
    <r>
      <rPr>
        <sz val="11"/>
        <color theme="1"/>
        <rFont val="ＭＳ Ｐゴシック"/>
        <family val="3"/>
        <charset val="129"/>
        <scheme val="minor"/>
      </rPr>
      <t>馫</t>
    </r>
    <r>
      <rPr>
        <sz val="11"/>
        <color theme="1"/>
        <rFont val="ＭＳ Ｐゴシック"/>
        <family val="3"/>
        <charset val="134"/>
        <scheme val="minor"/>
      </rPr>
      <t>艺</t>
    </r>
  </si>
  <si>
    <t>华栋</t>
  </si>
  <si>
    <t>露酒; 葡萄酒; 米酒; 清酒; 黄酒; 白酒; 果酒; 甜酒</t>
  </si>
  <si>
    <t>李渡明曲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</si>
  <si>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利口酒; 米酒; 威士忌; 黄酒</t>
    </r>
  </si>
  <si>
    <r>
      <t>贵乐</t>
    </r>
    <r>
      <rPr>
        <sz val="11"/>
        <color theme="1"/>
        <rFont val="ＭＳ Ｐゴシック"/>
        <family val="3"/>
        <charset val="128"/>
        <scheme val="minor"/>
      </rPr>
      <t>寿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</si>
  <si>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州迎</t>
    </r>
    <r>
      <rPr>
        <sz val="11"/>
        <color theme="1"/>
        <rFont val="ＭＳ Ｐゴシック"/>
        <family val="3"/>
        <charset val="134"/>
        <scheme val="minor"/>
      </rPr>
      <t>宾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</si>
  <si>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清酒（日本米酒）; 果酒（含酒精）; 威士忌; 茴香酒（利口酒）; 葡萄酒</t>
    </r>
  </si>
  <si>
    <r>
      <t>李山</t>
    </r>
    <r>
      <rPr>
        <sz val="11"/>
        <color theme="1"/>
        <rFont val="ＭＳ Ｐゴシック"/>
        <family val="3"/>
        <charset val="134"/>
        <scheme val="minor"/>
      </rPr>
      <t>农</t>
    </r>
  </si>
  <si>
    <t>李国来</t>
  </si>
  <si>
    <r>
      <t>果酒（含酒精）; 青梅酒; 梅酒;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</si>
  <si>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俄米熊</t>
  </si>
  <si>
    <t>于洪波</t>
  </si>
  <si>
    <r>
      <t>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</t>
    </r>
  </si>
  <si>
    <r>
      <t>西塘善</t>
    </r>
    <r>
      <rPr>
        <sz val="11"/>
        <color theme="1"/>
        <rFont val="ＭＳ Ｐゴシック"/>
        <family val="3"/>
        <charset val="134"/>
        <scheme val="minor"/>
      </rPr>
      <t>酿</t>
    </r>
  </si>
  <si>
    <t>浙江嘉善黄酒股份有限公司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</si>
  <si>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米酒; 白酒</t>
    </r>
  </si>
  <si>
    <r>
      <t>宗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元花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</si>
  <si>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洪昌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</si>
  <si>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伏特加酒;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</si>
  <si>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州合御福酒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</si>
  <si>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白干酒（中国白酒）; 高粱酒;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白酒; 葡萄酒; 果酒（含酒精）;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</si>
  <si>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阿勒</t>
    </r>
    <r>
      <rPr>
        <sz val="11"/>
        <color theme="1"/>
        <rFont val="ＭＳ Ｐゴシック"/>
        <family val="3"/>
        <charset val="134"/>
        <scheme val="minor"/>
      </rPr>
      <t>玛</t>
    </r>
  </si>
  <si>
    <r>
      <t>新疆塞蜜蜜</t>
    </r>
    <r>
      <rPr>
        <sz val="11"/>
        <color theme="1"/>
        <rFont val="ＭＳ Ｐゴシック"/>
        <family val="3"/>
        <charset val="134"/>
        <scheme val="minor"/>
      </rPr>
      <t>绿</t>
    </r>
    <r>
      <rPr>
        <sz val="11"/>
        <color theme="1"/>
        <rFont val="ＭＳ Ｐゴシック"/>
        <family val="3"/>
        <charset val="128"/>
        <scheme val="minor"/>
      </rPr>
      <t>色食品有限公司</t>
    </r>
  </si>
  <si>
    <r>
      <t>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阿蒙蒂拉多白葡萄酒; 白干酒（中国白酒）; 黑覆盆子酒;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>酒; 日式甜米酒;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薄荷酒; 苦味酒;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力酒; 柑香酒;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朗姆酒;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日本波布蛇酒; 甘蔗汁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朗姆酒; 威末酒; 五...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</si>
  <si>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迹</t>
    </r>
  </si>
  <si>
    <r>
      <t>北京博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众智信息科技有限公司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</si>
  <si>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果酒（含酒精）; 苹果酒; 葡萄酒; 黄酒</t>
    </r>
  </si>
  <si>
    <t>醉玉藏金</t>
  </si>
  <si>
    <r>
      <t>葡萄酒;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果酒; 果酒（含酒精）; 白酒; 烈酒;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</si>
  <si>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醇美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</si>
  <si>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伏特加酒; 白酒; 米酒;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</si>
  <si>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迎客</t>
    </r>
    <r>
      <rPr>
        <sz val="11"/>
        <color theme="1"/>
        <rFont val="ＭＳ Ｐゴシック"/>
        <family val="3"/>
        <charset val="134"/>
        <scheme val="minor"/>
      </rPr>
      <t>桥</t>
    </r>
    <r>
      <rPr>
        <sz val="11"/>
        <color theme="1"/>
        <rFont val="ＭＳ Ｐゴシック"/>
        <family val="3"/>
        <charset val="128"/>
        <scheme val="minor"/>
      </rPr>
      <t>牌</t>
    </r>
  </si>
  <si>
    <r>
      <t>河源市源城区好伙伴食品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</si>
  <si>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白酒; 米酒; 食用酒精; 黄酒; 葡萄酒; 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</si>
  <si>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r>
      <t>传</t>
    </r>
    <r>
      <rPr>
        <sz val="11"/>
        <color theme="1"/>
        <rFont val="ＭＳ Ｐゴシック"/>
        <family val="3"/>
        <charset val="128"/>
        <scheme val="minor"/>
      </rPr>
      <t>百福</t>
    </r>
  </si>
  <si>
    <r>
      <t>果酒（含酒精）; 葡萄酒;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汽酒; 黄酒; 清酒（日本米酒）; 烈酒; 伏特加酒</t>
    </r>
  </si>
  <si>
    <r>
      <t>亲</t>
    </r>
    <r>
      <rPr>
        <sz val="11"/>
        <color theme="1"/>
        <rFont val="ＭＳ Ｐゴシック"/>
        <family val="3"/>
        <charset val="128"/>
        <scheme val="minor"/>
      </rPr>
      <t>益健</t>
    </r>
  </si>
  <si>
    <r>
      <t>湖南企邦商</t>
    </r>
    <r>
      <rPr>
        <sz val="11"/>
        <color theme="1"/>
        <rFont val="ＭＳ Ｐゴシック"/>
        <family val="3"/>
        <charset val="134"/>
        <scheme val="minor"/>
      </rPr>
      <t>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</si>
  <si>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开胃酒;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 xml:space="preserve">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黄酒; 米酒; 高粱酒; 白酒; 果酒（含酒精）</t>
    </r>
  </si>
  <si>
    <r>
      <t>疆</t>
    </r>
    <r>
      <rPr>
        <sz val="11"/>
        <color theme="1"/>
        <rFont val="ＭＳ Ｐゴシック"/>
        <family val="3"/>
        <charset val="134"/>
        <scheme val="minor"/>
      </rPr>
      <t>驰</t>
    </r>
    <r>
      <rPr>
        <sz val="11"/>
        <color theme="1"/>
        <rFont val="ＭＳ Ｐゴシック"/>
        <family val="3"/>
        <charset val="128"/>
        <scheme val="minor"/>
      </rPr>
      <t>振商</t>
    </r>
    <r>
      <rPr>
        <sz val="11"/>
        <color theme="1"/>
        <rFont val="ＭＳ Ｐゴシック"/>
        <family val="3"/>
        <charset val="134"/>
        <scheme val="minor"/>
      </rPr>
      <t>贸</t>
    </r>
  </si>
  <si>
    <r>
      <t>阿克</t>
    </r>
    <r>
      <rPr>
        <sz val="11"/>
        <color theme="1"/>
        <rFont val="ＭＳ Ｐゴシック"/>
        <family val="3"/>
        <charset val="134"/>
        <scheme val="minor"/>
      </rPr>
      <t>苏驰</t>
    </r>
    <r>
      <rPr>
        <sz val="11"/>
        <color theme="1"/>
        <rFont val="ＭＳ Ｐゴシック"/>
        <family val="3"/>
        <charset val="128"/>
        <scheme val="minor"/>
      </rPr>
      <t>振商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</si>
  <si>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果酒;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青稞酒;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</si>
  <si>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苗仟醉</t>
  </si>
  <si>
    <t>吴才仙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</si>
  <si>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黄酒; 开胃酒; 果酒（含酒精）; 米酒; 白酒</t>
    </r>
  </si>
  <si>
    <r>
      <t>玄</t>
    </r>
    <r>
      <rPr>
        <sz val="11"/>
        <color theme="1"/>
        <rFont val="ＭＳ Ｐゴシック"/>
        <family val="3"/>
        <charset val="134"/>
        <scheme val="minor"/>
      </rPr>
      <t>鸣</t>
    </r>
    <r>
      <rPr>
        <sz val="11"/>
        <color theme="1"/>
        <rFont val="ＭＳ Ｐゴシック"/>
        <family val="3"/>
        <charset val="128"/>
        <scheme val="minor"/>
      </rPr>
      <t>谷</t>
    </r>
  </si>
  <si>
    <r>
      <t xml:space="preserve">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杜松子酒</t>
    </r>
  </si>
  <si>
    <r>
      <t>虎鹿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</si>
  <si>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孙</t>
    </r>
    <r>
      <rPr>
        <sz val="11"/>
        <color theme="1"/>
        <rFont val="ＭＳ Ｐゴシック"/>
        <family val="3"/>
        <charset val="128"/>
        <scheme val="minor"/>
      </rPr>
      <t>向浩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</si>
  <si>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柑香酒; 薄荷酒;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</si>
  <si>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皋孟家</t>
    </r>
  </si>
  <si>
    <t>孟松岑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</si>
  <si>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黄酒; 果酒（含酒精）; 高粱酒; 清酒（日本米酒）; 米酒; 白酒; 威士忌; 梨酒</t>
    </r>
  </si>
  <si>
    <r>
      <t>谷小</t>
    </r>
    <r>
      <rPr>
        <sz val="11"/>
        <color theme="1"/>
        <rFont val="ＭＳ Ｐゴシック"/>
        <family val="3"/>
        <charset val="134"/>
        <scheme val="minor"/>
      </rPr>
      <t>颂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</si>
  <si>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志才</t>
    </r>
  </si>
  <si>
    <r>
      <t>白酒; 米酒; 利口酒;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威士忌</t>
    </r>
  </si>
  <si>
    <t>牟氏美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</si>
  <si>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州紫砂泥酒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</si>
  <si>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米酒; 露酒;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白酒; 黄酒; 果酒（含酒精）; 威士忌;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</si>
  <si>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祝沪</t>
  </si>
  <si>
    <r>
      <t>贾</t>
    </r>
    <r>
      <rPr>
        <sz val="11"/>
        <color theme="1"/>
        <rFont val="ＭＳ Ｐゴシック"/>
        <family val="3"/>
        <charset val="128"/>
        <scheme val="minor"/>
      </rPr>
      <t>宁</t>
    </r>
  </si>
  <si>
    <r>
      <t>清酒（日本米酒）;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果酒; 开胃酒; 威士忌</t>
    </r>
  </si>
  <si>
    <r>
      <t>杏侯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</si>
  <si>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</si>
  <si>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开胃酒; 葡萄酒; 黄酒; 果酒;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</si>
  <si>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州良叙酒酒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</si>
  <si>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露酒;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苹果酒;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餐后酒（利口酒和烈酒）; 白酒</t>
    </r>
  </si>
  <si>
    <r>
      <t>泸</t>
    </r>
    <r>
      <rPr>
        <sz val="11"/>
        <color theme="1"/>
        <rFont val="ＭＳ Ｐゴシック"/>
        <family val="3"/>
        <charset val="128"/>
        <scheme val="minor"/>
      </rPr>
      <t>情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</si>
  <si>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葡萄酒;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</t>
    </r>
  </si>
  <si>
    <t>谷三花</t>
  </si>
  <si>
    <r>
      <t>福建古田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善食品有限公司</t>
    </r>
  </si>
  <si>
    <r>
      <t>清酒; 黄酒; 果酒; 梅酒; 葡萄酒; 米酒;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露酒; 蝮蛇酒; 白酒</t>
    </r>
  </si>
  <si>
    <t>牧童河</t>
  </si>
  <si>
    <r>
      <t>张</t>
    </r>
    <r>
      <rPr>
        <sz val="11"/>
        <color theme="1"/>
        <rFont val="ＭＳ Ｐゴシック"/>
        <family val="3"/>
        <charset val="128"/>
        <scheme val="minor"/>
      </rPr>
      <t>和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</si>
  <si>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果酒(含酒精); 米酒; 威士忌; 葡萄酒</t>
    </r>
  </si>
  <si>
    <r>
      <t>黄小</t>
    </r>
    <r>
      <rPr>
        <sz val="11"/>
        <color theme="1"/>
        <rFont val="ＭＳ Ｐゴシック"/>
        <family val="3"/>
        <charset val="134"/>
        <scheme val="minor"/>
      </rPr>
      <t>壶</t>
    </r>
  </si>
  <si>
    <t>李茂坤</t>
  </si>
  <si>
    <r>
      <t>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烈酒; 白酒; 葡萄酒;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</si>
  <si>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蔎</t>
    </r>
    <r>
      <rPr>
        <sz val="11"/>
        <color theme="1"/>
        <rFont val="ＭＳ Ｐゴシック"/>
        <family val="3"/>
        <charset val="129"/>
        <scheme val="minor"/>
      </rPr>
      <t>茍</t>
    </r>
    <r>
      <rPr>
        <sz val="11"/>
        <color theme="1"/>
        <rFont val="ＭＳ Ｐゴシック"/>
        <family val="3"/>
        <charset val="128"/>
        <scheme val="minor"/>
      </rPr>
      <t>蒒</t>
    </r>
  </si>
  <si>
    <r>
      <t>上海巽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</si>
  <si>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甜酒; 果酒; 米酒; 五加皮酒（中国混合烈酒）;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黄酒; 清酒; 白酒; 开胃酒</t>
    </r>
  </si>
  <si>
    <r>
      <t>臻</t>
    </r>
    <r>
      <rPr>
        <sz val="11"/>
        <color theme="1"/>
        <rFont val="ＭＳ Ｐゴシック"/>
        <family val="3"/>
        <charset val="134"/>
        <scheme val="minor"/>
      </rPr>
      <t>发财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</si>
  <si>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</si>
  <si>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高粱酒; 白酒; 露酒; 梅酒; 烈酒; 黄酒; 甜酒</t>
    </r>
  </si>
  <si>
    <t>笨小星</t>
  </si>
  <si>
    <t>夏吉喆</t>
  </si>
  <si>
    <r>
      <t>伏特加酒;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葡萄酒; 利口酒;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</si>
  <si>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BLUETOWNRICH</t>
  </si>
  <si>
    <r>
      <t>北海富宝商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</si>
  <si>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威士忌; 果酒; 水果汽酒;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含酒精的气泡水; 白酒; 葡萄酒; 起泡白葡萄酒;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</si>
  <si>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三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·女王的酒</t>
    </r>
  </si>
  <si>
    <r>
      <t>诸</t>
    </r>
    <r>
      <rPr>
        <sz val="11"/>
        <color theme="1"/>
        <rFont val="ＭＳ Ｐゴシック"/>
        <family val="3"/>
        <charset val="129"/>
        <scheme val="minor"/>
      </rPr>
      <t>暨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华凯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</si>
  <si>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蜂蜜酒; 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</si>
  <si>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裕晟</t>
    </r>
    <r>
      <rPr>
        <sz val="11"/>
        <color theme="1"/>
        <rFont val="ＭＳ Ｐゴシック"/>
        <family val="3"/>
        <charset val="134"/>
        <scheme val="minor"/>
      </rPr>
      <t>兴</t>
    </r>
  </si>
  <si>
    <r>
      <t xml:space="preserve">果酒（含酒精）;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葡萄酒; 米酒;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</si>
  <si>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大漠金葫芦</t>
  </si>
  <si>
    <r>
      <t>甘</t>
    </r>
    <r>
      <rPr>
        <sz val="11"/>
        <color theme="1"/>
        <rFont val="ＭＳ Ｐゴシック"/>
        <family val="3"/>
        <charset val="134"/>
        <scheme val="minor"/>
      </rPr>
      <t>肃</t>
    </r>
    <r>
      <rPr>
        <sz val="11"/>
        <color theme="1"/>
        <rFont val="ＭＳ Ｐゴシック"/>
        <family val="3"/>
        <charset val="128"/>
        <scheme val="minor"/>
      </rPr>
      <t>大漠玉液酒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</si>
  <si>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黄酒;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</si>
  <si>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英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</si>
  <si>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门红</t>
    </r>
    <r>
      <rPr>
        <sz val="11"/>
        <color theme="1"/>
        <rFont val="ＭＳ Ｐゴシック"/>
        <family val="3"/>
        <charset val="128"/>
        <scheme val="minor"/>
      </rPr>
      <t>途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</si>
  <si>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葡萄酒; 威士忌;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</si>
  <si>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果酒（含酒精）; 白酒; 开胃酒; 葡萄酒;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</t>
    </r>
  </si>
  <si>
    <r>
      <t>怀</t>
    </r>
    <r>
      <rPr>
        <sz val="11"/>
        <color theme="1"/>
        <rFont val="ＭＳ Ｐゴシック"/>
        <family val="3"/>
        <charset val="128"/>
        <scheme val="minor"/>
      </rPr>
      <t>德</t>
    </r>
    <r>
      <rPr>
        <sz val="11"/>
        <color theme="1"/>
        <rFont val="ＭＳ Ｐゴシック"/>
        <family val="3"/>
        <charset val="134"/>
        <scheme val="minor"/>
      </rPr>
      <t>乡</t>
    </r>
    <r>
      <rPr>
        <sz val="11"/>
        <color theme="1"/>
        <rFont val="ＭＳ Ｐゴシック"/>
        <family val="3"/>
        <charset val="128"/>
        <scheme val="minor"/>
      </rPr>
      <t>江</t>
    </r>
  </si>
  <si>
    <t>曾德江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</si>
  <si>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</si>
  <si>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京都</t>
    </r>
    <r>
      <rPr>
        <sz val="11"/>
        <color theme="1"/>
        <rFont val="ＭＳ Ｐゴシック"/>
        <family val="3"/>
        <charset val="134"/>
        <scheme val="minor"/>
      </rPr>
      <t>琻</t>
    </r>
    <r>
      <rPr>
        <sz val="11"/>
        <color theme="1"/>
        <rFont val="ＭＳ Ｐゴシック"/>
        <family val="3"/>
        <charset val="128"/>
        <scheme val="minor"/>
      </rPr>
      <t>山</t>
    </r>
  </si>
  <si>
    <r>
      <t>北京金晟</t>
    </r>
    <r>
      <rPr>
        <sz val="11"/>
        <color theme="1"/>
        <rFont val="ＭＳ Ｐゴシック"/>
        <family val="3"/>
        <charset val="134"/>
        <scheme val="minor"/>
      </rPr>
      <t>润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</si>
  <si>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汽酒; 黄酒; 白酒; 清酒（日本米酒）; 伏特加酒; 威士忌; 朗姆酒;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</si>
  <si>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粝</t>
    </r>
    <r>
      <rPr>
        <sz val="11"/>
        <color theme="1"/>
        <rFont val="ＭＳ Ｐゴシック"/>
        <family val="3"/>
        <charset val="128"/>
        <scheme val="minor"/>
      </rPr>
      <t>丰</t>
    </r>
  </si>
  <si>
    <r>
      <t>赤峰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北商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</si>
  <si>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</si>
  <si>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为</t>
    </r>
    <r>
      <rPr>
        <sz val="11"/>
        <color theme="1"/>
        <rFont val="ＭＳ Ｐゴシック"/>
        <family val="3"/>
        <charset val="128"/>
        <scheme val="minor"/>
      </rPr>
      <t>壹者</t>
    </r>
  </si>
  <si>
    <r>
      <t>杜松子酒; 米酒;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</t>
    </r>
  </si>
  <si>
    <t>醉溪谷</t>
  </si>
  <si>
    <r>
      <t>杨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</si>
  <si>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白酒; 果酒;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</t>
    </r>
  </si>
  <si>
    <t>御黔祖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</si>
  <si>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伏特加酒;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</t>
    </r>
  </si>
  <si>
    <t>翔王将</t>
  </si>
  <si>
    <r>
      <t xml:space="preserve">黄酒; 果酒（含酒精）; 白酒; 青稞酒;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</si>
  <si>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之老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</si>
  <si>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威士忌;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</si>
  <si>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兆京</t>
    </r>
    <r>
      <rPr>
        <sz val="11"/>
        <color theme="1"/>
        <rFont val="ＭＳ Ｐゴシック"/>
        <family val="3"/>
        <charset val="134"/>
        <scheme val="minor"/>
      </rPr>
      <t>纯</t>
    </r>
  </si>
  <si>
    <r>
      <t>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食用酒精;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</si>
  <si>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云海</t>
    </r>
  </si>
  <si>
    <r>
      <t xml:space="preserve">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白酒; 开胃酒;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</si>
  <si>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日式甜米酒;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白酒; 苹果酒</t>
    </r>
  </si>
  <si>
    <r>
      <t>范</t>
    </r>
    <r>
      <rPr>
        <sz val="11"/>
        <color theme="1"/>
        <rFont val="ＭＳ Ｐゴシック"/>
        <family val="3"/>
        <charset val="134"/>
        <scheme val="minor"/>
      </rPr>
      <t>钵钵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</si>
  <si>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范</t>
    </r>
    <r>
      <rPr>
        <sz val="11"/>
        <color theme="1"/>
        <rFont val="ＭＳ Ｐゴシック"/>
        <family val="3"/>
        <charset val="134"/>
        <scheme val="minor"/>
      </rPr>
      <t>钵钵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</si>
  <si>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蜂蜜酒; 黄酒; 白酒; 果酒（含酒精）; 米酒;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</si>
  <si>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望</t>
    </r>
    <r>
      <rPr>
        <sz val="11"/>
        <color theme="1"/>
        <rFont val="ＭＳ Ｐゴシック"/>
        <family val="3"/>
        <charset val="134"/>
        <scheme val="minor"/>
      </rPr>
      <t>鉴</t>
    </r>
  </si>
  <si>
    <t>郭立娜</t>
  </si>
  <si>
    <r>
      <t>开胃酒;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果酒; 葡萄酒; 黄酒; 白酒</t>
    </r>
  </si>
  <si>
    <t>聚星达</t>
  </si>
  <si>
    <r>
      <t>邵永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</si>
  <si>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白酒; 清酒（日本米酒）;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</si>
  <si>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果</t>
    </r>
    <r>
      <rPr>
        <sz val="11"/>
        <color theme="1"/>
        <rFont val="ＭＳ Ｐゴシック"/>
        <family val="3"/>
        <charset val="134"/>
        <scheme val="minor"/>
      </rPr>
      <t>浔</t>
    </r>
  </si>
  <si>
    <r>
      <t>威士忌; 黄酒;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清酒（日本米酒）; 烈酒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</si>
  <si>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穗月</t>
    </r>
  </si>
  <si>
    <r>
      <t xml:space="preserve">葡萄酒; 威士忌; 果酒（含酒精）; 黄酒; 开胃酒; 白酒;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</si>
  <si>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百</t>
    </r>
    <r>
      <rPr>
        <sz val="11"/>
        <color theme="1"/>
        <rFont val="ＭＳ Ｐゴシック"/>
        <family val="3"/>
        <charset val="134"/>
        <scheme val="minor"/>
      </rPr>
      <t>酿欢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</si>
  <si>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葡萄酒; 青稞酒</t>
    </r>
  </si>
  <si>
    <t>王保江</t>
  </si>
  <si>
    <r>
      <t xml:space="preserve">果酒（含酒精）;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高粱酒;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黄酒; 烈酒</t>
    </r>
  </si>
  <si>
    <r>
      <t>海翼鹿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堂</t>
    </r>
  </si>
  <si>
    <t>吉林省海翼参茸有限公司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</si>
  <si>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利口酒; 青稞酒; 朗姆酒;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</t>
    </r>
  </si>
  <si>
    <r>
      <t>墙</t>
    </r>
    <r>
      <rPr>
        <sz val="11"/>
        <color theme="1"/>
        <rFont val="ＭＳ Ｐゴシック"/>
        <family val="3"/>
        <charset val="128"/>
        <scheme val="minor"/>
      </rPr>
      <t>北</t>
    </r>
  </si>
  <si>
    <r>
      <t>焦作市山阳区信度粮源酒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</si>
  <si>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酸酒（低等葡萄酒）;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</si>
  <si>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万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博天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</si>
  <si>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州泉郁生物科技有限公司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</si>
  <si>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</t>
    </r>
  </si>
  <si>
    <t>高会柱</t>
  </si>
  <si>
    <r>
      <t xml:space="preserve">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</si>
  <si>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r>
      <t>雾</t>
    </r>
    <r>
      <rPr>
        <sz val="11"/>
        <color theme="1"/>
        <rFont val="ＭＳ Ｐゴシック"/>
        <family val="3"/>
        <charset val="128"/>
        <scheme val="minor"/>
      </rPr>
      <t>泉天香</t>
    </r>
  </si>
  <si>
    <t>李春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</si>
  <si>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</si>
  <si>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共咏蓬莱</t>
  </si>
  <si>
    <t>何鑫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</si>
  <si>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</si>
  <si>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t>万艾戈</t>
  </si>
  <si>
    <r>
      <t>肖</t>
    </r>
    <r>
      <rPr>
        <sz val="11"/>
        <color theme="1"/>
        <rFont val="ＭＳ Ｐゴシック"/>
        <family val="3"/>
        <charset val="134"/>
        <scheme val="minor"/>
      </rPr>
      <t>贤凯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</si>
  <si>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利口酒; 果酒（含酒精）; 苦味酒;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</si>
  <si>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t>志和友拾光</t>
  </si>
  <si>
    <r>
      <t>汪志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</si>
  <si>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甘蔗制烈酒;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</si>
  <si>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滇坤堂</t>
  </si>
  <si>
    <t>云南乾生坤健康管理有限公司</t>
  </si>
  <si>
    <r>
      <t xml:space="preserve">果酒; 蒸煮提取物（利口酒和烈酒）;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米酒; 开胃酒</t>
    </r>
  </si>
  <si>
    <t>郝迎</t>
  </si>
  <si>
    <r>
      <t>云南吉奥易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</si>
  <si>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汽酒;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葡萄酒; 米酒;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</si>
  <si>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百谷金瓮</t>
  </si>
  <si>
    <t>李双江</t>
  </si>
  <si>
    <r>
      <t>苹果酒; 烈酒; 汽酒; 黄酒;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高粱酒; 开胃酒</t>
    </r>
  </si>
  <si>
    <t>味知鑫</t>
  </si>
  <si>
    <r>
      <t>窦</t>
    </r>
    <r>
      <rPr>
        <sz val="11"/>
        <color theme="1"/>
        <rFont val="ＭＳ Ｐゴシック"/>
        <family val="3"/>
        <charset val="128"/>
        <scheme val="minor"/>
      </rPr>
      <t>启琴</t>
    </r>
  </si>
  <si>
    <r>
      <t>米酒; 葡萄酒; 白酒; 酸酒（低等葡萄酒）; 伏特加酒; 食用酒精;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</si>
  <si>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淦戈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</si>
  <si>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苦味酒;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白酒; 食用酒精</t>
    </r>
  </si>
  <si>
    <t>圣福同行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</si>
  <si>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圣福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</si>
  <si>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 xml:space="preserve">果酒（含酒精）; 威士忌; 葡萄酒;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薄荷酒;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</si>
  <si>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赋</t>
    </r>
    <r>
      <rPr>
        <sz val="11"/>
        <color theme="1"/>
        <rFont val="ＭＳ Ｐゴシック"/>
        <family val="3"/>
        <charset val="128"/>
        <scheme val="minor"/>
      </rPr>
      <t>粮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</si>
  <si>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果酒（含酒精）;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清酒; 黄酒; 米酒; 食用酒精</t>
    </r>
  </si>
  <si>
    <t>星月年</t>
  </si>
  <si>
    <r>
      <t>果酒（含酒精）;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清酒; 食用酒精;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</si>
  <si>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斟医堂</t>
  </si>
  <si>
    <r>
      <t>沈阳</t>
    </r>
    <r>
      <rPr>
        <sz val="11"/>
        <color theme="1"/>
        <rFont val="ＭＳ Ｐゴシック"/>
        <family val="3"/>
        <charset val="134"/>
        <scheme val="minor"/>
      </rPr>
      <t>艺</t>
    </r>
    <r>
      <rPr>
        <sz val="11"/>
        <color theme="1"/>
        <rFont val="ＭＳ Ｐゴシック"/>
        <family val="3"/>
        <charset val="128"/>
        <scheme val="minor"/>
      </rPr>
      <t>卓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</si>
  <si>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高粱酒; 烈酒; 白酒;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</si>
  <si>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t>致醮</t>
  </si>
  <si>
    <r>
      <t>靳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</si>
  <si>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>妃</t>
    </r>
    <r>
      <rPr>
        <sz val="11"/>
        <color theme="1"/>
        <rFont val="ＭＳ Ｐゴシック"/>
        <family val="3"/>
        <charset val="134"/>
        <scheme val="minor"/>
      </rPr>
      <t>饭</t>
    </r>
    <r>
      <rPr>
        <sz val="11"/>
        <color theme="1"/>
        <rFont val="ＭＳ Ｐゴシック"/>
        <family val="3"/>
        <charset val="128"/>
        <scheme val="minor"/>
      </rPr>
      <t>食客</t>
    </r>
  </si>
  <si>
    <r>
      <t>沧</t>
    </r>
    <r>
      <rPr>
        <sz val="11"/>
        <color theme="1"/>
        <rFont val="ＭＳ Ｐゴシック"/>
        <family val="3"/>
        <charset val="128"/>
        <scheme val="minor"/>
      </rPr>
      <t>州美享食客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</si>
  <si>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黄酒; 苹果酒;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</si>
  <si>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诉</t>
    </r>
  </si>
  <si>
    <r>
      <t>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白酒;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</si>
  <si>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BEICHUANYIYUAN</t>
  </si>
  <si>
    <r>
      <t>北川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园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</si>
  <si>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</si>
  <si>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芳仙翁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</si>
  <si>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烈酒; 葡萄酒; 威士忌; 果酒（含酒精）; 白酒</t>
    </r>
  </si>
  <si>
    <r>
      <t>集世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</si>
  <si>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白酒; 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清酒;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</si>
  <si>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宋</t>
    </r>
    <r>
      <rPr>
        <sz val="11"/>
        <color theme="1"/>
        <rFont val="ＭＳ Ｐゴシック"/>
        <family val="3"/>
        <charset val="134"/>
        <scheme val="minor"/>
      </rPr>
      <t>铁</t>
    </r>
    <r>
      <rPr>
        <sz val="11"/>
        <color theme="1"/>
        <rFont val="ＭＳ Ｐゴシック"/>
        <family val="3"/>
        <charset val="128"/>
        <scheme val="minor"/>
      </rPr>
      <t>玎</t>
    </r>
  </si>
  <si>
    <r>
      <t>河北</t>
    </r>
    <r>
      <rPr>
        <sz val="11"/>
        <color theme="1"/>
        <rFont val="ＭＳ Ｐゴシック"/>
        <family val="3"/>
        <charset val="134"/>
        <scheme val="minor"/>
      </rPr>
      <t>权</t>
    </r>
    <r>
      <rPr>
        <sz val="11"/>
        <color theme="1"/>
        <rFont val="ＭＳ Ｐゴシック"/>
        <family val="3"/>
        <charset val="128"/>
        <scheme val="minor"/>
      </rPr>
      <t>王科技有限公司</t>
    </r>
  </si>
  <si>
    <r>
      <t xml:space="preserve">含酒精的气泡水;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果酒; 高粱酒; 米酒</t>
    </r>
  </si>
  <si>
    <t>洒脱江湖</t>
  </si>
  <si>
    <t>高常法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</si>
  <si>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开胃酒;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果酒（含酒精）; 苹果酒; 葡萄酒</t>
    </r>
  </si>
  <si>
    <r>
      <t>笑</t>
    </r>
    <r>
      <rPr>
        <sz val="11"/>
        <color theme="1"/>
        <rFont val="ＭＳ Ｐゴシック"/>
        <family val="3"/>
        <charset val="129"/>
        <scheme val="minor"/>
      </rPr>
      <t>嘟嘟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</si>
  <si>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欧田商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</si>
  <si>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杜松子酒; 梨酒; 苹果酒; 果酒（含酒精）; 开胃酒; 餐后酒（利口酒和烈酒）;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柑香酒</t>
    </r>
  </si>
  <si>
    <t>大熊猫印象</t>
  </si>
  <si>
    <t>任相良</t>
  </si>
  <si>
    <r>
      <t xml:space="preserve">蒸煮提取物（利口酒和烈酒）; 食用酒精;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米酒; 青稞酒; 黄酒</t>
    </r>
  </si>
  <si>
    <r>
      <t>武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</si>
  <si>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烈酒; 青稞酒;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</si>
  <si>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宜袁德雨源</t>
  </si>
  <si>
    <r>
      <t>宜春袁州区</t>
    </r>
    <r>
      <rPr>
        <sz val="11"/>
        <color theme="1"/>
        <rFont val="ＭＳ Ｐゴシック"/>
        <family val="3"/>
        <charset val="134"/>
        <scheme val="minor"/>
      </rPr>
      <t>聪</t>
    </r>
    <r>
      <rPr>
        <sz val="11"/>
        <color theme="1"/>
        <rFont val="ＭＳ Ｐゴシック"/>
        <family val="3"/>
        <charset val="128"/>
        <scheme val="minor"/>
      </rPr>
      <t>明泉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</si>
  <si>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佐餐酒;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</si>
  <si>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诶</t>
    </r>
    <r>
      <rPr>
        <sz val="11"/>
        <color theme="1"/>
        <rFont val="ＭＳ Ｐゴシック"/>
        <family val="3"/>
        <charset val="128"/>
        <scheme val="minor"/>
      </rPr>
      <t>思</t>
    </r>
  </si>
  <si>
    <t>令狐昌炯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</si>
  <si>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</si>
  <si>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鑫高德</t>
  </si>
  <si>
    <r>
      <t>公</t>
    </r>
    <r>
      <rPr>
        <sz val="11"/>
        <color theme="1"/>
        <rFont val="ＭＳ Ｐゴシック"/>
        <family val="3"/>
        <charset val="134"/>
        <scheme val="minor"/>
      </rPr>
      <t>栋</t>
    </r>
    <r>
      <rPr>
        <sz val="11"/>
        <color theme="1"/>
        <rFont val="ＭＳ Ｐゴシック"/>
        <family val="3"/>
        <charset val="128"/>
        <scheme val="minor"/>
      </rPr>
      <t>梁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</si>
  <si>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黄酒</t>
    </r>
  </si>
  <si>
    <t>艾万哥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</si>
  <si>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葡萄酒; 米酒;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白酒</t>
    </r>
  </si>
  <si>
    <r>
      <t>京戈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</si>
  <si>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葡萄酒;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苦味酒; 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利口酒</t>
    </r>
  </si>
  <si>
    <t>志稻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</si>
  <si>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果酒（含酒精）;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</t>
    </r>
  </si>
  <si>
    <r>
      <t>醉</t>
    </r>
    <r>
      <rPr>
        <sz val="11"/>
        <color theme="1"/>
        <rFont val="ＭＳ Ｐゴシック"/>
        <family val="3"/>
        <charset val="134"/>
        <scheme val="minor"/>
      </rPr>
      <t>珲</t>
    </r>
    <r>
      <rPr>
        <sz val="11"/>
        <color theme="1"/>
        <rFont val="ＭＳ Ｐゴシック"/>
        <family val="3"/>
        <charset val="128"/>
        <scheme val="minor"/>
      </rPr>
      <t>村</t>
    </r>
  </si>
  <si>
    <r>
      <t>李栢</t>
    </r>
    <r>
      <rPr>
        <sz val="11"/>
        <color theme="1"/>
        <rFont val="ＭＳ Ｐゴシック"/>
        <family val="3"/>
        <charset val="134"/>
        <scheme val="minor"/>
      </rPr>
      <t>鹍</t>
    </r>
  </si>
  <si>
    <r>
      <t xml:space="preserve">露酒;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高粱酒</t>
    </r>
  </si>
  <si>
    <t>英利来</t>
  </si>
  <si>
    <r>
      <t>湖北省英利来</t>
    </r>
    <r>
      <rPr>
        <sz val="11"/>
        <color theme="1"/>
        <rFont val="ＭＳ Ｐゴシック"/>
        <family val="3"/>
        <charset val="134"/>
        <scheme val="minor"/>
      </rPr>
      <t>农产</t>
    </r>
    <r>
      <rPr>
        <sz val="11"/>
        <color theme="1"/>
        <rFont val="ＭＳ Ｐゴシック"/>
        <family val="3"/>
        <charset val="128"/>
        <scheme val="minor"/>
      </rPr>
      <t>品</t>
    </r>
    <r>
      <rPr>
        <sz val="11"/>
        <color theme="1"/>
        <rFont val="ＭＳ Ｐゴシック"/>
        <family val="3"/>
        <charset val="134"/>
        <scheme val="minor"/>
      </rPr>
      <t>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</si>
  <si>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族米酒; 青稞酒; 黄酒; 含酒精的气泡水; 苹果酒;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</si>
  <si>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牧灵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</si>
  <si>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晟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</si>
  <si>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伏特加酒;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</si>
  <si>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旺君悦</t>
    </r>
    <r>
      <rPr>
        <sz val="11"/>
        <color theme="1"/>
        <rFont val="ＭＳ Ｐゴシック"/>
        <family val="3"/>
        <charset val="134"/>
        <scheme val="minor"/>
      </rPr>
      <t>凤</t>
    </r>
  </si>
  <si>
    <r>
      <t>青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迪</t>
    </r>
    <r>
      <rPr>
        <sz val="11"/>
        <color theme="1"/>
        <rFont val="ＭＳ Ｐゴシック"/>
        <family val="3"/>
        <charset val="134"/>
        <scheme val="minor"/>
      </rPr>
      <t>凯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</si>
  <si>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白干酒（中国白酒）; 果酒（含酒精）; 米酒;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白葡萄酒;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</t>
    </r>
  </si>
  <si>
    <t>椹之韵</t>
  </si>
  <si>
    <t>河北碧泉山庄生物科技有限公司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</si>
  <si>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伏特加酒</t>
    </r>
  </si>
  <si>
    <t>丰山河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</si>
  <si>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</si>
  <si>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舟林雪</t>
  </si>
  <si>
    <r>
      <t>左</t>
    </r>
    <r>
      <rPr>
        <sz val="11"/>
        <color theme="1"/>
        <rFont val="ＭＳ Ｐゴシック"/>
        <family val="3"/>
        <charset val="134"/>
        <scheme val="minor"/>
      </rPr>
      <t>伟</t>
    </r>
    <r>
      <rPr>
        <sz val="11"/>
        <color theme="1"/>
        <rFont val="ＭＳ Ｐゴシック"/>
        <family val="3"/>
        <charset val="128"/>
        <scheme val="minor"/>
      </rPr>
      <t>舵</t>
    </r>
  </si>
  <si>
    <r>
      <t xml:space="preserve">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黄酒; 果酒（含酒精）</t>
    </r>
  </si>
  <si>
    <r>
      <t>中博（湖北）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境科技工程有限公司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</si>
  <si>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白酒; 白干酒（中国白酒）;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伏特加酒; 青稞酒</t>
    </r>
  </si>
  <si>
    <r>
      <t>墙</t>
    </r>
    <r>
      <rPr>
        <sz val="11"/>
        <color theme="1"/>
        <rFont val="ＭＳ Ｐゴシック"/>
        <family val="3"/>
        <charset val="128"/>
        <scheme val="minor"/>
      </rPr>
      <t>北玉</t>
    </r>
  </si>
  <si>
    <r>
      <t>果酒（含酒精）; 葡萄酒;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酸酒（低等葡萄酒）;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</si>
  <si>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度外人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</si>
  <si>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州景川酒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</si>
  <si>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清酒; 开胃酒; 伏特加酒; 黄酒; 青稞酒; 朗姆酒;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</si>
  <si>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丛</t>
    </r>
    <r>
      <rPr>
        <sz val="11"/>
        <color theme="1"/>
        <rFont val="ＭＳ Ｐゴシック"/>
        <family val="3"/>
        <charset val="128"/>
        <scheme val="minor"/>
      </rPr>
      <t>谷</t>
    </r>
  </si>
  <si>
    <t>汪亮</t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</si>
  <si>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伏特加酒;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</si>
  <si>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SIYICHUN</t>
  </si>
  <si>
    <t>李婷</t>
  </si>
  <si>
    <r>
      <t>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烈酒;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葡萄酒</t>
    </r>
  </si>
  <si>
    <r>
      <t>铜</t>
    </r>
    <r>
      <rPr>
        <sz val="11"/>
        <color theme="1"/>
        <rFont val="ＭＳ Ｐゴシック"/>
        <family val="3"/>
        <charset val="128"/>
        <scheme val="minor"/>
      </rPr>
      <t>斗粮</t>
    </r>
  </si>
  <si>
    <r>
      <t>光国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</si>
  <si>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米酒; 黄酒; 高粱酒; 清酒;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青稞酒</t>
    </r>
  </si>
  <si>
    <t>四溢春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</si>
  <si>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白干酒（中国白酒）; 烈酒; 米酒; 葡萄酒; 果酒;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</si>
  <si>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结</t>
    </r>
    <r>
      <rPr>
        <sz val="11"/>
        <color theme="1"/>
        <rFont val="ＭＳ Ｐゴシック"/>
        <family val="3"/>
        <charset val="128"/>
        <scheme val="minor"/>
      </rPr>
      <t>古</t>
    </r>
    <r>
      <rPr>
        <sz val="11"/>
        <color theme="1"/>
        <rFont val="ＭＳ Ｐゴシック"/>
        <family val="3"/>
        <charset val="134"/>
        <scheme val="minor"/>
      </rPr>
      <t>红</t>
    </r>
  </si>
  <si>
    <r>
      <t>玉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州曼智扎酒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</si>
  <si>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高粱酒;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</t>
    </r>
  </si>
  <si>
    <t>DAISSI</t>
  </si>
  <si>
    <r>
      <t>海口一棵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</si>
  <si>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</si>
  <si>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t>TSURU DAISSI</t>
  </si>
  <si>
    <r>
      <t>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</si>
  <si>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山西益嘉丰厨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</si>
  <si>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果酒（含酒精）; 食用酒精;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葡萄酒; 米酒; 含酒精的气泡水; 白酒</t>
    </r>
  </si>
  <si>
    <t>OYKTN</t>
  </si>
  <si>
    <r>
      <t>随州市尹</t>
    </r>
    <r>
      <rPr>
        <sz val="11"/>
        <color theme="1"/>
        <rFont val="ＭＳ Ｐゴシック"/>
        <family val="3"/>
        <charset val="134"/>
        <scheme val="minor"/>
      </rPr>
      <t>词电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</si>
  <si>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</t>
    </r>
  </si>
  <si>
    <t>窑无双</t>
  </si>
  <si>
    <r>
      <t>武国</t>
    </r>
    <r>
      <rPr>
        <sz val="11"/>
        <color theme="1"/>
        <rFont val="ＭＳ Ｐゴシック"/>
        <family val="3"/>
        <charset val="134"/>
        <scheme val="minor"/>
      </rPr>
      <t>卫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</si>
  <si>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</si>
  <si>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百吉</t>
    </r>
  </si>
  <si>
    <t>黄明慧</t>
  </si>
  <si>
    <r>
      <t>葡萄酒; 蜂蜜酒;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</si>
  <si>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大地琛宝</t>
  </si>
  <si>
    <r>
      <t>深圳</t>
    </r>
    <r>
      <rPr>
        <sz val="11"/>
        <color theme="1"/>
        <rFont val="ＭＳ Ｐゴシック"/>
        <family val="3"/>
        <charset val="134"/>
        <scheme val="minor"/>
      </rPr>
      <t>赋</t>
    </r>
    <r>
      <rPr>
        <sz val="11"/>
        <color theme="1"/>
        <rFont val="ＭＳ Ｐゴシック"/>
        <family val="3"/>
        <charset val="128"/>
        <scheme val="minor"/>
      </rPr>
      <t>能供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</si>
  <si>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果酒（含酒精）; 威士忌;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白酒</t>
    </r>
  </si>
  <si>
    <r>
      <t>大地</t>
    </r>
    <r>
      <rPr>
        <sz val="11"/>
        <color theme="1"/>
        <rFont val="ＭＳ Ｐゴシック"/>
        <family val="3"/>
        <charset val="134"/>
        <scheme val="minor"/>
      </rPr>
      <t>隐</t>
    </r>
    <r>
      <rPr>
        <sz val="11"/>
        <color theme="1"/>
        <rFont val="ＭＳ Ｐゴシック"/>
        <family val="3"/>
        <charset val="128"/>
        <scheme val="minor"/>
      </rPr>
      <t>宝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</si>
  <si>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米酒; 黄酒;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</t>
    </r>
  </si>
  <si>
    <t>淮泱曲</t>
  </si>
  <si>
    <r>
      <t>郭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雷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</si>
  <si>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开胃酒;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清酒（日本米酒）; 威士忌</t>
    </r>
  </si>
  <si>
    <r>
      <t>杭</t>
    </r>
    <r>
      <rPr>
        <sz val="11"/>
        <color theme="1"/>
        <rFont val="ＭＳ Ｐゴシック"/>
        <family val="3"/>
        <charset val="134"/>
        <scheme val="minor"/>
      </rPr>
      <t>颂</t>
    </r>
  </si>
  <si>
    <r>
      <t>果酒;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白酒; 开胃酒; 葡萄酒</t>
    </r>
  </si>
  <si>
    <r>
      <t>良</t>
    </r>
    <r>
      <rPr>
        <sz val="11"/>
        <color theme="1"/>
        <rFont val="ＭＳ Ｐゴシック"/>
        <family val="3"/>
        <charset val="134"/>
        <scheme val="minor"/>
      </rPr>
      <t>颐</t>
    </r>
    <r>
      <rPr>
        <sz val="11"/>
        <color theme="1"/>
        <rFont val="ＭＳ Ｐゴシック"/>
        <family val="3"/>
        <charset val="128"/>
        <scheme val="minor"/>
      </rPr>
      <t>椿漾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</si>
  <si>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市江北区中医院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</si>
  <si>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</t>
    </r>
  </si>
  <si>
    <r>
      <t>龙凤</t>
    </r>
    <r>
      <rPr>
        <sz val="11"/>
        <color theme="1"/>
        <rFont val="ＭＳ Ｐゴシック"/>
        <family val="3"/>
        <charset val="128"/>
        <scheme val="minor"/>
      </rPr>
      <t>醉江山</t>
    </r>
  </si>
  <si>
    <r>
      <t>段治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</si>
  <si>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伏特加酒;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</si>
  <si>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中健</t>
    </r>
    <r>
      <rPr>
        <sz val="11"/>
        <color theme="1"/>
        <rFont val="ＭＳ Ｐゴシック"/>
        <family val="3"/>
        <charset val="134"/>
        <scheme val="minor"/>
      </rPr>
      <t>银发经济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术产业</t>
    </r>
    <r>
      <rPr>
        <sz val="11"/>
        <color theme="1"/>
        <rFont val="ＭＳ Ｐゴシック"/>
        <family val="3"/>
        <charset val="128"/>
        <scheme val="minor"/>
      </rPr>
      <t>（河南）有限公司</t>
    </r>
  </si>
  <si>
    <r>
      <t>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</si>
  <si>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醉徽喜</t>
  </si>
  <si>
    <r>
      <t>黄酒;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白干酒（中国白酒）; 五加皮酒（中国混合烈酒）; 白酒;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</t>
    </r>
  </si>
  <si>
    <r>
      <t>蔺师</t>
    </r>
    <r>
      <rPr>
        <sz val="11"/>
        <color theme="1"/>
        <rFont val="ＭＳ Ｐゴシック"/>
        <family val="3"/>
        <charset val="128"/>
        <scheme val="minor"/>
      </rPr>
      <t>娘</t>
    </r>
  </si>
  <si>
    <t>黄超</t>
  </si>
  <si>
    <r>
      <t xml:space="preserve">果酒（含酒精）; 开胃酒; 黄酒; 白酒; 青稞酒;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餐后酒（利口酒和烈酒）</t>
    </r>
  </si>
  <si>
    <r>
      <t>八方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</si>
  <si>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杨亚</t>
    </r>
    <r>
      <rPr>
        <sz val="11"/>
        <color theme="1"/>
        <rFont val="ＭＳ Ｐゴシック"/>
        <family val="3"/>
        <charset val="128"/>
        <scheme val="minor"/>
      </rPr>
      <t>豪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</si>
  <si>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米酒; 伏特加酒; 威士忌;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</si>
  <si>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剑</t>
    </r>
    <r>
      <rPr>
        <sz val="11"/>
        <color theme="1"/>
        <rFont val="ＭＳ Ｐゴシック"/>
        <family val="3"/>
        <charset val="128"/>
        <scheme val="minor"/>
      </rPr>
      <t>西道</t>
    </r>
  </si>
  <si>
    <r>
      <t>四川</t>
    </r>
    <r>
      <rPr>
        <sz val="11"/>
        <color theme="1"/>
        <rFont val="ＭＳ Ｐゴシック"/>
        <family val="3"/>
        <charset val="134"/>
        <scheme val="minor"/>
      </rPr>
      <t>绵</t>
    </r>
    <r>
      <rPr>
        <sz val="11"/>
        <color theme="1"/>
        <rFont val="ＭＳ Ｐゴシック"/>
        <family val="3"/>
        <charset val="128"/>
        <scheme val="minor"/>
      </rPr>
      <t>竹</t>
    </r>
    <r>
      <rPr>
        <sz val="11"/>
        <color theme="1"/>
        <rFont val="ＭＳ Ｐゴシック"/>
        <family val="3"/>
        <charset val="134"/>
        <scheme val="minor"/>
      </rPr>
      <t>剑</t>
    </r>
    <r>
      <rPr>
        <sz val="11"/>
        <color theme="1"/>
        <rFont val="ＭＳ Ｐゴシック"/>
        <family val="3"/>
        <charset val="128"/>
        <scheme val="minor"/>
      </rPr>
      <t>西酒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</si>
  <si>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白酒; 黄酒; 清酒（日本米酒）; 青稞酒; 葡萄酒; 蒸煮提取物（利口酒和烈酒）; 果酒（含酒精）;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</si>
  <si>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迎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猫</t>
    </r>
  </si>
  <si>
    <r>
      <t>上海葡酒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</si>
  <si>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果酒（含酒精）;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</si>
  <si>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NIAICEY LOONG</t>
  </si>
  <si>
    <r>
      <t>上海炯</t>
    </r>
    <r>
      <rPr>
        <sz val="11"/>
        <color theme="1"/>
        <rFont val="ＭＳ Ｐゴシック"/>
        <family val="3"/>
        <charset val="134"/>
        <scheme val="minor"/>
      </rPr>
      <t>创实业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</si>
  <si>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</si>
  <si>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至尊醉春秋</t>
  </si>
  <si>
    <r>
      <t>冯</t>
    </r>
    <r>
      <rPr>
        <sz val="11"/>
        <color theme="1"/>
        <rFont val="ＭＳ Ｐゴシック"/>
        <family val="3"/>
        <charset val="128"/>
        <scheme val="minor"/>
      </rPr>
      <t>帆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</si>
  <si>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伏特加酒; 白酒;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</t>
    </r>
  </si>
  <si>
    <r>
      <t>鲁问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</si>
  <si>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泰安市徂汶景区</t>
    </r>
    <r>
      <rPr>
        <sz val="11"/>
        <color theme="1"/>
        <rFont val="ＭＳ Ｐゴシック"/>
        <family val="3"/>
        <charset val="134"/>
        <scheme val="minor"/>
      </rPr>
      <t>鲁问</t>
    </r>
    <r>
      <rPr>
        <sz val="11"/>
        <color theme="1"/>
        <rFont val="ＭＳ Ｐゴシック"/>
        <family val="3"/>
        <charset val="128"/>
        <scheme val="minor"/>
      </rPr>
      <t>食品机械科技商行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</si>
  <si>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梨酒;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</si>
  <si>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小羊娃</t>
  </si>
  <si>
    <t>熊涛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</si>
  <si>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</si>
  <si>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王秉</t>
    </r>
    <r>
      <rPr>
        <sz val="11"/>
        <color theme="1"/>
        <rFont val="ＭＳ Ｐゴシック"/>
        <family val="3"/>
        <charset val="134"/>
        <scheme val="minor"/>
      </rPr>
      <t>钧</t>
    </r>
  </si>
  <si>
    <t>李慎</t>
  </si>
  <si>
    <r>
      <t xml:space="preserve">青稞酒; 白酒; 黄酒;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蜂蜜酒; 米酒;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</si>
  <si>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甄御医</t>
  </si>
  <si>
    <r>
      <t>李</t>
    </r>
    <r>
      <rPr>
        <sz val="11"/>
        <color theme="1"/>
        <rFont val="ＭＳ Ｐゴシック"/>
        <family val="3"/>
        <charset val="134"/>
        <scheme val="minor"/>
      </rPr>
      <t>纪录</t>
    </r>
  </si>
  <si>
    <r>
      <t>黄酒;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高粱酒; 白酒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</si>
  <si>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渊</t>
    </r>
  </si>
  <si>
    <r>
      <t>姚</t>
    </r>
    <r>
      <rPr>
        <sz val="11"/>
        <color theme="1"/>
        <rFont val="ＭＳ Ｐゴシック"/>
        <family val="3"/>
        <charset val="134"/>
        <scheme val="minor"/>
      </rPr>
      <t>润铉</t>
    </r>
  </si>
  <si>
    <r>
      <t xml:space="preserve">清酒（日本米酒）;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葡萄酒; 威士忌; 果酒</t>
    </r>
  </si>
  <si>
    <t>顺绥</t>
  </si>
  <si>
    <r>
      <t>曹</t>
    </r>
    <r>
      <rPr>
        <sz val="11"/>
        <color theme="1"/>
        <rFont val="ＭＳ Ｐゴシック"/>
        <family val="3"/>
        <charset val="134"/>
        <scheme val="minor"/>
      </rPr>
      <t>丽鹏</t>
    </r>
  </si>
  <si>
    <r>
      <t>葡萄酒; 开胃酒; 清酒（日本米酒）;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</si>
  <si>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清雅</t>
    </r>
    <r>
      <rPr>
        <sz val="11"/>
        <color theme="1"/>
        <rFont val="ＭＳ Ｐゴシック"/>
        <family val="3"/>
        <charset val="134"/>
        <scheme val="minor"/>
      </rPr>
      <t>韩</t>
    </r>
    <r>
      <rPr>
        <sz val="11"/>
        <color theme="1"/>
        <rFont val="ＭＳ Ｐゴシック"/>
        <family val="3"/>
        <charset val="128"/>
        <scheme val="minor"/>
      </rPr>
      <t>公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</si>
  <si>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柏熹酒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</si>
  <si>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伏特加酒; 蒸煮提取物（利口酒和烈酒）; 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</si>
  <si>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渡不二</t>
  </si>
  <si>
    <r>
      <t>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汽酒; 烈酒; 白酒;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米酒</t>
    </r>
  </si>
  <si>
    <r>
      <t>岳阳</t>
    </r>
    <r>
      <rPr>
        <sz val="11"/>
        <color theme="1"/>
        <rFont val="ＭＳ Ｐゴシック"/>
        <family val="3"/>
        <charset val="134"/>
        <scheme val="minor"/>
      </rPr>
      <t>县农业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业协</t>
    </r>
    <r>
      <rPr>
        <sz val="11"/>
        <color theme="1"/>
        <rFont val="ＭＳ Ｐゴシック"/>
        <family val="3"/>
        <charset val="128"/>
        <scheme val="minor"/>
      </rPr>
      <t>会</t>
    </r>
  </si>
  <si>
    <r>
      <t>葡萄酒; 高粱酒; 白酒; 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</t>
    </r>
  </si>
  <si>
    <t>黔坊梦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</si>
  <si>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果酒;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</t>
    </r>
  </si>
  <si>
    <t>圣宗藏</t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</si>
  <si>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开胃酒; 果酒; 威士忌</t>
    </r>
  </si>
  <si>
    <r>
      <t>赢</t>
    </r>
    <r>
      <rPr>
        <sz val="11"/>
        <color theme="1"/>
        <rFont val="ＭＳ Ｐゴシック"/>
        <family val="3"/>
        <charset val="128"/>
        <scheme val="minor"/>
      </rPr>
      <t>情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</si>
  <si>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伏特加酒;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</t>
    </r>
  </si>
  <si>
    <t>高地宝石</t>
  </si>
  <si>
    <r>
      <t>吉</t>
    </r>
    <r>
      <rPr>
        <sz val="11"/>
        <color theme="1"/>
        <rFont val="ＭＳ Ｐゴシック"/>
        <family val="3"/>
        <charset val="134"/>
        <scheme val="minor"/>
      </rPr>
      <t>伦</t>
    </r>
    <r>
      <rPr>
        <sz val="11"/>
        <color theme="1"/>
        <rFont val="ＭＳ Ｐゴシック"/>
        <family val="3"/>
        <charset val="128"/>
        <scheme val="minor"/>
      </rPr>
      <t>特(福建)酒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</si>
  <si>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黄酒; 薄荷酒;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开胃酒</t>
    </r>
  </si>
  <si>
    <t>己分情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</si>
  <si>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清酒（日本米酒）;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开胃酒;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</si>
  <si>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圣</t>
    </r>
    <r>
      <rPr>
        <sz val="11"/>
        <color theme="1"/>
        <rFont val="ＭＳ Ｐゴシック"/>
        <family val="3"/>
        <charset val="134"/>
        <scheme val="minor"/>
      </rPr>
      <t>晖</t>
    </r>
    <r>
      <rPr>
        <sz val="11"/>
        <color theme="1"/>
        <rFont val="ＭＳ Ｐゴシック"/>
        <family val="3"/>
        <charset val="128"/>
        <scheme val="minor"/>
      </rPr>
      <t>源</t>
    </r>
  </si>
  <si>
    <r>
      <t>三敬酒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（白山市）有限公司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</si>
  <si>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伏特加酒; 食用酒精;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</t>
    </r>
  </si>
  <si>
    <t>筑友好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</si>
  <si>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州筑友酒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</si>
  <si>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米酒; 葡萄酒; 餐后酒（利口酒和烈酒）; 露酒;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</t>
    </r>
  </si>
  <si>
    <t>御秦江</t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</si>
  <si>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五加皮酒（中国混合烈酒）;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高粱酒;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白酒; 黄酒</t>
    </r>
  </si>
  <si>
    <r>
      <t>帝</t>
    </r>
    <r>
      <rPr>
        <sz val="11"/>
        <color theme="1"/>
        <rFont val="ＭＳ Ｐゴシック"/>
        <family val="3"/>
        <charset val="134"/>
        <scheme val="minor"/>
      </rPr>
      <t>苏伦</t>
    </r>
  </si>
  <si>
    <t>韩鹏</t>
  </si>
  <si>
    <r>
      <t>葡萄酒; 米酒;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甜酒;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</si>
  <si>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历</t>
    </r>
    <r>
      <rPr>
        <sz val="11"/>
        <color theme="1"/>
        <rFont val="ＭＳ Ｐゴシック"/>
        <family val="3"/>
        <charset val="128"/>
        <scheme val="minor"/>
      </rPr>
      <t>史禧</t>
    </r>
  </si>
  <si>
    <r>
      <t>威士忌; 伏特加酒;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白酒</t>
    </r>
  </si>
  <si>
    <r>
      <t>蜀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·酒坊</t>
    </r>
  </si>
  <si>
    <r>
      <t xml:space="preserve">黄酒; 白酒; 开胃酒;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</si>
  <si>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巡山河</t>
  </si>
  <si>
    <r>
      <t xml:space="preserve">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开胃酒; 清酒（日本米酒）; 黄酒</t>
    </r>
  </si>
  <si>
    <t>晋楼台</t>
  </si>
  <si>
    <r>
      <t>白酒; 清酒（日本米酒）; 威士忌; 果酒; 葡萄酒;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</si>
  <si>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择颜</t>
    </r>
    <r>
      <rPr>
        <sz val="11"/>
        <color theme="1"/>
        <rFont val="ＭＳ Ｐゴシック"/>
        <family val="3"/>
        <charset val="128"/>
        <scheme val="minor"/>
      </rPr>
      <t>令</t>
    </r>
  </si>
  <si>
    <r>
      <t>浙江忠厚乳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</si>
  <si>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米酒;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</si>
  <si>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东标铭农业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</si>
  <si>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露酒; 苦味酒;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佐餐酒;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</si>
  <si>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魈王</t>
  </si>
  <si>
    <r>
      <t>柒氿捌佳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（珠海）有限公司</t>
    </r>
  </si>
  <si>
    <r>
      <t>果酒（含酒精）; 葡萄酒; 清酒（日本米酒）;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</t>
    </r>
  </si>
  <si>
    <t>大拿九</t>
  </si>
  <si>
    <r>
      <t>扶余市夫余大曲</t>
    </r>
    <r>
      <rPr>
        <sz val="11"/>
        <color theme="1"/>
        <rFont val="ＭＳ Ｐゴシック"/>
        <family val="3"/>
        <charset val="134"/>
        <scheme val="minor"/>
      </rPr>
      <t>纯</t>
    </r>
    <r>
      <rPr>
        <sz val="11"/>
        <color theme="1"/>
        <rFont val="ＭＳ Ｐゴシック"/>
        <family val="3"/>
        <charset val="128"/>
        <scheme val="minor"/>
      </rPr>
      <t>粮酒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</si>
  <si>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黄酒; 食用酒精;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威末酒</t>
    </r>
  </si>
  <si>
    <t>S</t>
  </si>
  <si>
    <t>李素娥</t>
  </si>
  <si>
    <r>
      <t xml:space="preserve">苹果酒; 白酒; 梅酒; 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葡萄酒; 清酒; 青梅酒; 高粱酒</t>
    </r>
  </si>
  <si>
    <t>诗谨</t>
  </si>
  <si>
    <r>
      <t>小黄蜂（黑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江）家政服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</si>
  <si>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蜂蜜酒; 威士忌; 葡萄酒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</si>
  <si>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箴</t>
    </r>
    <r>
      <rPr>
        <sz val="11"/>
        <color theme="1"/>
        <rFont val="ＭＳ Ｐゴシック"/>
        <family val="3"/>
        <charset val="134"/>
        <scheme val="minor"/>
      </rPr>
      <t>书</t>
    </r>
    <r>
      <rPr>
        <sz val="11"/>
        <color theme="1"/>
        <rFont val="ＭＳ Ｐゴシック"/>
        <family val="3"/>
        <charset val="128"/>
        <scheme val="minor"/>
      </rPr>
      <t>院</t>
    </r>
  </si>
  <si>
    <r>
      <t>北京</t>
    </r>
    <r>
      <rPr>
        <sz val="11"/>
        <color theme="1"/>
        <rFont val="ＭＳ Ｐゴシック"/>
        <family val="3"/>
        <charset val="134"/>
        <scheme val="minor"/>
      </rPr>
      <t>观</t>
    </r>
    <r>
      <rPr>
        <sz val="11"/>
        <color theme="1"/>
        <rFont val="ＭＳ Ｐゴシック"/>
        <family val="3"/>
        <charset val="128"/>
        <scheme val="minor"/>
      </rPr>
      <t>箴文化</t>
    </r>
    <r>
      <rPr>
        <sz val="11"/>
        <color theme="1"/>
        <rFont val="ＭＳ Ｐゴシック"/>
        <family val="3"/>
        <charset val="134"/>
        <scheme val="minor"/>
      </rPr>
      <t>艺术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</si>
  <si>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烈酒;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黄酒; 开胃酒; 白酒</t>
    </r>
  </si>
  <si>
    <r>
      <t>黎大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</si>
  <si>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宗雨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</si>
  <si>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汽酒; 米酒; 果酒（含酒精）; 黄酒;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</si>
  <si>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鼎争</t>
  </si>
  <si>
    <r>
      <t>王旭</t>
    </r>
    <r>
      <rPr>
        <sz val="11"/>
        <color theme="1"/>
        <rFont val="ＭＳ Ｐゴシック"/>
        <family val="3"/>
        <charset val="134"/>
        <scheme val="minor"/>
      </rPr>
      <t>庆</t>
    </r>
  </si>
  <si>
    <r>
      <t>黄酒; 白酒;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葡萄酒; 清酒（日本米酒）;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</si>
  <si>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牛</t>
    </r>
    <r>
      <rPr>
        <sz val="11"/>
        <color theme="1"/>
        <rFont val="ＭＳ Ｐゴシック"/>
        <family val="3"/>
        <charset val="134"/>
        <scheme val="minor"/>
      </rPr>
      <t>恺</t>
    </r>
    <r>
      <rPr>
        <sz val="11"/>
        <color theme="1"/>
        <rFont val="ＭＳ Ｐゴシック"/>
        <family val="3"/>
        <charset val="128"/>
        <scheme val="minor"/>
      </rPr>
      <t>泉</t>
    </r>
  </si>
  <si>
    <r>
      <t>威海兜趣文化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</si>
  <si>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白酒; 苹果酒;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蜂蜜酒; 梨酒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</si>
  <si>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原</t>
    </r>
  </si>
  <si>
    <r>
      <t>利口酒; 米酒; 果酒（含酒精）;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</t>
    </r>
  </si>
  <si>
    <t>燕坤台</t>
  </si>
  <si>
    <r>
      <t>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</si>
  <si>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敬太宗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</si>
  <si>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黄酒; 开胃酒; 威士忌; 果酒; 清酒（日本米酒）</t>
    </r>
  </si>
  <si>
    <r>
      <t>龙凤</t>
    </r>
    <r>
      <rPr>
        <sz val="11"/>
        <color theme="1"/>
        <rFont val="ＭＳ Ｐゴシック"/>
        <family val="3"/>
        <charset val="128"/>
        <scheme val="minor"/>
      </rPr>
      <t>醉荣耀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</si>
  <si>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葡萄酒; 威士忌; 白酒</t>
    </r>
  </si>
  <si>
    <t>征迹</t>
  </si>
  <si>
    <r>
      <t>杨</t>
    </r>
    <r>
      <rPr>
        <sz val="11"/>
        <color theme="1"/>
        <rFont val="ＭＳ Ｐゴシック"/>
        <family val="3"/>
        <charset val="128"/>
        <scheme val="minor"/>
      </rPr>
      <t>磊</t>
    </r>
  </si>
  <si>
    <r>
      <t>黄酒; 白酒; 果酒; 威士忌; 清酒（日本米酒）;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</si>
  <si>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观泸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</si>
  <si>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白酒; 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</si>
  <si>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伊莱娜酒庄</t>
  </si>
  <si>
    <r>
      <t>郑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花园酒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</si>
  <si>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果酒（含酒精）; 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</si>
  <si>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坤侯</t>
  </si>
  <si>
    <r>
      <t>黄酒; 白酒; 果酒;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</si>
  <si>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涡</t>
    </r>
    <r>
      <rPr>
        <sz val="11"/>
        <color theme="1"/>
        <rFont val="ＭＳ Ｐゴシック"/>
        <family val="3"/>
        <charset val="128"/>
        <scheme val="minor"/>
      </rPr>
      <t>和天下</t>
    </r>
  </si>
  <si>
    <t>亳州市小席物流有限公司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</si>
  <si>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利口酒; 朗姆酒;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</si>
  <si>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懋迁春</t>
  </si>
  <si>
    <r>
      <t>富平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园林春酒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</si>
  <si>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米酒; 伏特加酒; 青稞酒;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</si>
  <si>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致云雀</t>
  </si>
  <si>
    <r>
      <t>高文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</si>
  <si>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薄荷酒;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蜂蜜酒;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威士忌</t>
    </r>
  </si>
  <si>
    <r>
      <t>烨</t>
    </r>
    <r>
      <rPr>
        <sz val="11"/>
        <color theme="1"/>
        <rFont val="ＭＳ Ｐゴシック"/>
        <family val="3"/>
        <charset val="128"/>
        <scheme val="minor"/>
      </rPr>
      <t>杉台</t>
    </r>
  </si>
  <si>
    <r>
      <t>欧</t>
    </r>
    <r>
      <rPr>
        <sz val="11"/>
        <color theme="1"/>
        <rFont val="ＭＳ Ｐゴシック"/>
        <family val="3"/>
        <charset val="134"/>
        <scheme val="minor"/>
      </rPr>
      <t>杨</t>
    </r>
  </si>
  <si>
    <r>
      <t xml:space="preserve">葡萄酒; 米酒; 黄酒; 白酒; 烈酒;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</si>
  <si>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思罕</t>
  </si>
  <si>
    <r>
      <t>毛大</t>
    </r>
    <r>
      <rPr>
        <sz val="11"/>
        <color theme="1"/>
        <rFont val="ＭＳ Ｐゴシック"/>
        <family val="3"/>
        <charset val="134"/>
        <scheme val="minor"/>
      </rPr>
      <t>业</t>
    </r>
  </si>
  <si>
    <r>
      <t>葡萄酒; 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露酒; 食用酒精;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</si>
  <si>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柏韵源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</si>
  <si>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西惠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旺鑫商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</si>
  <si>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青梅酒; 白酒; 果酒（含酒精）; 甜酒;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高粱酒;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</t>
    </r>
  </si>
  <si>
    <t>北康禾</t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</si>
  <si>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含酒精的气泡水;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</si>
  <si>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光</t>
    </r>
    <r>
      <rPr>
        <sz val="11"/>
        <color theme="1"/>
        <rFont val="ＭＳ Ｐゴシック"/>
        <family val="3"/>
        <charset val="134"/>
        <scheme val="minor"/>
      </rPr>
      <t>华灿烂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</si>
  <si>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庆忆</t>
    </r>
    <r>
      <rPr>
        <sz val="11"/>
        <color theme="1"/>
        <rFont val="ＭＳ Ｐゴシック"/>
        <family val="3"/>
        <charset val="128"/>
        <scheme val="minor"/>
      </rPr>
      <t>酒醉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</si>
  <si>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</si>
  <si>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濉春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</si>
  <si>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葡萄酒; 利口酒; 甜酒</t>
    </r>
  </si>
  <si>
    <r>
      <t>渝</t>
    </r>
    <r>
      <rPr>
        <sz val="11"/>
        <color theme="1"/>
        <rFont val="ＭＳ Ｐゴシック"/>
        <family val="3"/>
        <charset val="134"/>
        <scheme val="minor"/>
      </rPr>
      <t>师</t>
    </r>
  </si>
  <si>
    <t>吴佳汕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</si>
  <si>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葡萄酒; 清酒（日本米酒）; 果酒;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</si>
  <si>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葛府老街</t>
  </si>
  <si>
    <r>
      <t>陆</t>
    </r>
    <r>
      <rPr>
        <sz val="11"/>
        <color theme="1"/>
        <rFont val="ＭＳ Ｐゴシック"/>
        <family val="3"/>
        <charset val="128"/>
        <scheme val="minor"/>
      </rPr>
      <t>祖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</si>
  <si>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白酒;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清酒（日本米酒）;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</si>
  <si>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茂伊</t>
  </si>
  <si>
    <r>
      <t>伊春市鑫旺山特</t>
    </r>
    <r>
      <rPr>
        <sz val="11"/>
        <color theme="1"/>
        <rFont val="ＭＳ Ｐゴシック"/>
        <family val="3"/>
        <charset val="134"/>
        <scheme val="minor"/>
      </rPr>
      <t>产</t>
    </r>
    <r>
      <rPr>
        <sz val="11"/>
        <color theme="1"/>
        <rFont val="ＭＳ Ｐゴシック"/>
        <family val="3"/>
        <charset val="128"/>
        <scheme val="minor"/>
      </rPr>
      <t>品开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</si>
  <si>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果酒;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</si>
  <si>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云畔山</t>
  </si>
  <si>
    <r>
      <t>云南云畔山酒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</si>
  <si>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青稞酒</t>
    </r>
  </si>
  <si>
    <r>
      <t>五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良</t>
    </r>
  </si>
  <si>
    <t>李俊立</t>
  </si>
  <si>
    <r>
      <t xml:space="preserve">果酒（含酒精）; 黄酒; 白酒; 开胃酒;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</si>
  <si>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鲁</t>
    </r>
    <r>
      <rPr>
        <sz val="11"/>
        <color theme="1"/>
        <rFont val="ＭＳ Ｐゴシック"/>
        <family val="3"/>
        <charset val="128"/>
        <scheme val="minor"/>
      </rPr>
      <t>酩</t>
    </r>
    <r>
      <rPr>
        <sz val="11"/>
        <color theme="1"/>
        <rFont val="ＭＳ Ｐゴシック"/>
        <family val="3"/>
        <charset val="134"/>
        <scheme val="minor"/>
      </rPr>
      <t>师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</si>
  <si>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清酒（日本米酒）;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</si>
  <si>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丰年</t>
    </r>
  </si>
  <si>
    <t>曾建</t>
  </si>
  <si>
    <r>
      <t xml:space="preserve">米酒;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</si>
  <si>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t>土村口</t>
  </si>
  <si>
    <r>
      <t>黄酒; 开胃酒; 白酒;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</si>
  <si>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徽盅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</si>
  <si>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黄酒;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白酒; 五加皮酒（中国混合烈酒）;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高粱酒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</si>
  <si>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虎天下</t>
    </r>
  </si>
  <si>
    <t>刘站芳</t>
  </si>
  <si>
    <r>
      <t>米酒; 露酒;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白酒; 烈酒; 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</t>
    </r>
  </si>
  <si>
    <t>葛又堂</t>
  </si>
  <si>
    <r>
      <t>白酒;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葡萄酒;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清酒（日本米酒）; 食用酒精</t>
    </r>
  </si>
  <si>
    <t>御景欣</t>
  </si>
  <si>
    <t>亳州市泰利酒店管理有限公司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</si>
  <si>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朗姆酒; 伏特加酒; 柑香酒;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黄酒</t>
    </r>
  </si>
  <si>
    <t>古江君</t>
  </si>
  <si>
    <r>
      <t>白酒; 黄酒; 葡萄酒; 果酒（含酒精）;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</si>
  <si>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蓉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友礼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</si>
  <si>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宇祺******************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</si>
  <si>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葡萄酒; 米酒; 黄酒; 青稞酒</t>
    </r>
  </si>
  <si>
    <r>
      <t>深圳市酩玥</t>
    </r>
    <r>
      <rPr>
        <sz val="11"/>
        <color theme="1"/>
        <rFont val="ＭＳ Ｐゴシック"/>
        <family val="3"/>
        <charset val="134"/>
        <scheme val="minor"/>
      </rPr>
      <t>轩</t>
    </r>
    <r>
      <rPr>
        <sz val="11"/>
        <color theme="1"/>
        <rFont val="ＭＳ Ｐゴシック"/>
        <family val="3"/>
        <charset val="128"/>
        <scheme val="minor"/>
      </rPr>
      <t>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</si>
  <si>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果酒（含酒精）; 葡萄酒; 清酒（日本米酒）</t>
    </r>
  </si>
  <si>
    <r>
      <t>飞</t>
    </r>
    <r>
      <rPr>
        <sz val="11"/>
        <color theme="1"/>
        <rFont val="ＭＳ Ｐゴシック"/>
        <family val="3"/>
        <charset val="128"/>
        <scheme val="minor"/>
      </rPr>
      <t>岳</t>
    </r>
    <r>
      <rPr>
        <sz val="11"/>
        <color theme="1"/>
        <rFont val="ＭＳ Ｐゴシック"/>
        <family val="3"/>
        <charset val="134"/>
        <scheme val="minor"/>
      </rPr>
      <t>坛</t>
    </r>
  </si>
  <si>
    <r>
      <t>梁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</si>
  <si>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清酒（日本米酒）;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果酒</t>
    </r>
  </si>
  <si>
    <r>
      <t>茂伊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</t>
    </r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</si>
  <si>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果酒; 汽酒</t>
    </r>
  </si>
  <si>
    <t>西雍台</t>
  </si>
  <si>
    <r>
      <t>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黄酒;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</si>
  <si>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r>
      <t>汇</t>
    </r>
    <r>
      <rPr>
        <sz val="11"/>
        <color theme="1"/>
        <rFont val="ＭＳ Ｐゴシック"/>
        <family val="3"/>
        <charset val="128"/>
        <scheme val="minor"/>
      </rPr>
      <t>馥园</t>
    </r>
  </si>
  <si>
    <r>
      <t>汇</t>
    </r>
    <r>
      <rPr>
        <sz val="11"/>
        <color theme="1"/>
        <rFont val="ＭＳ Ｐゴシック"/>
        <family val="3"/>
        <charset val="128"/>
        <scheme val="minor"/>
      </rPr>
      <t>馥园茶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（广州）有限公司</t>
    </r>
  </si>
  <si>
    <r>
      <t xml:space="preserve">果酒（含酒精）; 苹果酒; 黄酒; 薄荷酒; 食用酒精;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</si>
  <si>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大久西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</si>
  <si>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州紫角叶品牌管理有限公司</t>
    </r>
  </si>
  <si>
    <r>
      <t xml:space="preserve">葡萄酒;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</si>
  <si>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濉秋</t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</si>
  <si>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甜酒; 米酒; 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</si>
  <si>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清雅郭公</t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</si>
  <si>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食用酒精;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伏特加酒; 蒸煮提取物（利口酒和烈酒）</t>
    </r>
  </si>
  <si>
    <r>
      <t>麦阿</t>
    </r>
    <r>
      <rPr>
        <sz val="11"/>
        <color theme="1"/>
        <rFont val="ＭＳ Ｐゴシック"/>
        <family val="3"/>
        <charset val="134"/>
        <scheme val="minor"/>
      </rPr>
      <t>伦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</si>
  <si>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黄酒; 威士忌; 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</t>
    </r>
  </si>
  <si>
    <t>遵狼泉</t>
  </si>
  <si>
    <r>
      <t>遵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捷</t>
    </r>
    <r>
      <rPr>
        <sz val="11"/>
        <color theme="1"/>
        <rFont val="ＭＳ Ｐゴシック"/>
        <family val="3"/>
        <charset val="134"/>
        <scheme val="minor"/>
      </rPr>
      <t>诚</t>
    </r>
    <r>
      <rPr>
        <sz val="11"/>
        <color theme="1"/>
        <rFont val="ＭＳ Ｐゴシック"/>
        <family val="3"/>
        <charset val="128"/>
        <scheme val="minor"/>
      </rPr>
      <t>盛世商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</si>
  <si>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</si>
  <si>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r>
      <t>咏</t>
    </r>
    <r>
      <rPr>
        <sz val="11"/>
        <color theme="1"/>
        <rFont val="ＭＳ Ｐゴシック"/>
        <family val="3"/>
        <charset val="134"/>
        <scheme val="minor"/>
      </rPr>
      <t>泸</t>
    </r>
  </si>
  <si>
    <r>
      <t>开胃酒;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果酒; 白酒; 清酒（日本米酒）; 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</si>
  <si>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湖北桂花</t>
    </r>
    <r>
      <rPr>
        <sz val="11"/>
        <color theme="1"/>
        <rFont val="ＭＳ Ｐゴシック"/>
        <family val="3"/>
        <charset val="134"/>
        <scheme val="minor"/>
      </rPr>
      <t>现</t>
    </r>
    <r>
      <rPr>
        <sz val="11"/>
        <color theme="1"/>
        <rFont val="ＭＳ Ｐゴシック"/>
        <family val="3"/>
        <charset val="128"/>
        <scheme val="minor"/>
      </rPr>
      <t>代高新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</si>
  <si>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薄荷酒; 苦味酒; 茴香酒（利口酒）;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葡萄酒</t>
    </r>
  </si>
  <si>
    <t>祝酉辞</t>
  </si>
  <si>
    <r>
      <t>葡萄酒; 白酒; 清酒（日本米酒）;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</si>
  <si>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WINDMILL SHURY</t>
  </si>
  <si>
    <r>
      <t>白酒; 清酒（日本米酒）; 青梅酒;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朗姆酒; 混合威士忌酒</t>
    </r>
  </si>
  <si>
    <t>穗千古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</si>
  <si>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清酒（日本米酒）;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威士忌</t>
    </r>
  </si>
  <si>
    <t>渡缸</t>
  </si>
  <si>
    <r>
      <t>丁光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</si>
  <si>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汽酒;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甜果酒; 高粱酒; 米酒</t>
    </r>
  </si>
  <si>
    <t>醉福妮</t>
  </si>
  <si>
    <r>
      <t>叶</t>
    </r>
    <r>
      <rPr>
        <sz val="11"/>
        <color theme="1"/>
        <rFont val="ＭＳ Ｐゴシック"/>
        <family val="3"/>
        <charset val="134"/>
        <scheme val="minor"/>
      </rPr>
      <t>钰</t>
    </r>
    <r>
      <rPr>
        <sz val="11"/>
        <color theme="1"/>
        <rFont val="ＭＳ Ｐゴシック"/>
        <family val="3"/>
        <charset val="128"/>
        <scheme val="minor"/>
      </rPr>
      <t>婕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</si>
  <si>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果酒（含酒精）; 葡萄酒; 白酒; 米酒</t>
    </r>
  </si>
  <si>
    <r>
      <t>苏</t>
    </r>
    <r>
      <rPr>
        <sz val="11"/>
        <color theme="1"/>
        <rFont val="ＭＳ Ｐゴシック"/>
        <family val="3"/>
        <charset val="128"/>
        <scheme val="minor"/>
      </rPr>
      <t>泰艾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格</t>
    </r>
  </si>
  <si>
    <r>
      <t>方</t>
    </r>
    <r>
      <rPr>
        <sz val="11"/>
        <color theme="1"/>
        <rFont val="ＭＳ Ｐゴシック"/>
        <family val="3"/>
        <charset val="134"/>
        <scheme val="minor"/>
      </rPr>
      <t>铭</t>
    </r>
    <r>
      <rPr>
        <sz val="11"/>
        <color theme="1"/>
        <rFont val="ＭＳ Ｐゴシック"/>
        <family val="3"/>
        <charset val="128"/>
        <scheme val="minor"/>
      </rPr>
      <t>（北京）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</si>
  <si>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梅酒</t>
    </r>
  </si>
  <si>
    <t>叙境</t>
  </si>
  <si>
    <r>
      <t>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清酒（日本米酒）; 威士忌; 烈酒</t>
    </r>
  </si>
  <si>
    <r>
      <t>轻</t>
    </r>
    <r>
      <rPr>
        <sz val="11"/>
        <color theme="1"/>
        <rFont val="ＭＳ Ｐゴシック"/>
        <family val="3"/>
        <charset val="128"/>
        <scheme val="minor"/>
      </rPr>
      <t>萌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</si>
  <si>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中俊能源有限公司</t>
    </r>
  </si>
  <si>
    <r>
      <t>高粱酒; 烈酒;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</si>
  <si>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崇乾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</si>
  <si>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开胃酒; 果酒; 葡萄酒; 白酒</t>
    </r>
  </si>
  <si>
    <r>
      <t>长</t>
    </r>
    <r>
      <rPr>
        <sz val="11"/>
        <color theme="1"/>
        <rFont val="ＭＳ Ｐゴシック"/>
        <family val="3"/>
        <charset val="129"/>
        <scheme val="minor"/>
      </rPr>
      <t>怀</t>
    </r>
  </si>
  <si>
    <r>
      <t>清酒（日本米酒）; 威士忌;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</si>
  <si>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银</t>
    </r>
    <r>
      <rPr>
        <sz val="11"/>
        <color theme="1"/>
        <rFont val="ＭＳ Ｐゴシック"/>
        <family val="3"/>
        <charset val="128"/>
        <scheme val="minor"/>
      </rPr>
      <t>之坤</t>
    </r>
  </si>
  <si>
    <r>
      <t>衢州</t>
    </r>
    <r>
      <rPr>
        <sz val="11"/>
        <color theme="1"/>
        <rFont val="ＭＳ Ｐゴシック"/>
        <family val="3"/>
        <charset val="134"/>
        <scheme val="minor"/>
      </rPr>
      <t>银</t>
    </r>
    <r>
      <rPr>
        <sz val="11"/>
        <color theme="1"/>
        <rFont val="ＭＳ Ｐゴシック"/>
        <family val="3"/>
        <charset val="128"/>
        <scheme val="minor"/>
      </rPr>
      <t>坤</t>
    </r>
    <r>
      <rPr>
        <sz val="11"/>
        <color theme="1"/>
        <rFont val="ＭＳ Ｐゴシック"/>
        <family val="3"/>
        <charset val="134"/>
        <scheme val="minor"/>
      </rPr>
      <t>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</si>
  <si>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含酒精的气泡水;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青稞酒; 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</si>
  <si>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精世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</si>
  <si>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榆</t>
    </r>
    <r>
      <rPr>
        <sz val="11"/>
        <color theme="1"/>
        <rFont val="ＭＳ Ｐゴシック"/>
        <family val="3"/>
        <charset val="128"/>
        <scheme val="minor"/>
      </rPr>
      <t>林市喜成商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</si>
  <si>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高粱酒; 开胃酒;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米酒; 白酒; 葡萄酒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</si>
  <si>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来</t>
    </r>
    <r>
      <rPr>
        <sz val="11"/>
        <color theme="1"/>
        <rFont val="ＭＳ Ｐゴシック"/>
        <family val="3"/>
        <charset val="134"/>
        <scheme val="minor"/>
      </rPr>
      <t>贺</t>
    </r>
  </si>
  <si>
    <t>吴芳美</t>
  </si>
  <si>
    <r>
      <t>威士忌;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伏特加酒</t>
    </r>
  </si>
  <si>
    <r>
      <t>佬君</t>
    </r>
    <r>
      <rPr>
        <sz val="11"/>
        <color theme="1"/>
        <rFont val="ＭＳ Ｐゴシック"/>
        <family val="3"/>
        <charset val="134"/>
        <scheme val="minor"/>
      </rPr>
      <t>师</t>
    </r>
  </si>
  <si>
    <t>李五星</t>
  </si>
  <si>
    <r>
      <t xml:space="preserve">果酒（含酒精）;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</si>
  <si>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五醍</t>
    </r>
    <r>
      <rPr>
        <sz val="11"/>
        <color theme="1"/>
        <rFont val="ＭＳ Ｐゴシック"/>
        <family val="3"/>
        <charset val="134"/>
        <scheme val="minor"/>
      </rPr>
      <t>浆龙</t>
    </r>
    <r>
      <rPr>
        <sz val="11"/>
        <color theme="1"/>
        <rFont val="ＭＳ Ｐゴシック"/>
        <family val="3"/>
        <charset val="128"/>
        <scheme val="minor"/>
      </rPr>
      <t>吟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</si>
  <si>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震洲五醍</t>
    </r>
    <r>
      <rPr>
        <sz val="11"/>
        <color theme="1"/>
        <rFont val="ＭＳ Ｐゴシック"/>
        <family val="3"/>
        <charset val="134"/>
        <scheme val="minor"/>
      </rPr>
      <t>浆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</si>
  <si>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黄酒; 果酒（含酒精）; 葡萄酒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</si>
  <si>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源祥</t>
    </r>
  </si>
  <si>
    <t>赵飞龙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</si>
  <si>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米酒;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</si>
  <si>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t>穗江湖</t>
  </si>
  <si>
    <r>
      <t>余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</si>
  <si>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 xml:space="preserve">葡萄酒; 清酒（日本米酒）; 果酒（含酒精）;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烈酒; 威士忌</t>
    </r>
  </si>
  <si>
    <t>望滇</t>
  </si>
  <si>
    <r>
      <t>阎</t>
    </r>
    <r>
      <rPr>
        <sz val="11"/>
        <color theme="1"/>
        <rFont val="ＭＳ Ｐゴシック"/>
        <family val="3"/>
        <charset val="128"/>
        <scheme val="minor"/>
      </rPr>
      <t>广</t>
    </r>
    <r>
      <rPr>
        <sz val="11"/>
        <color theme="1"/>
        <rFont val="ＭＳ Ｐゴシック"/>
        <family val="3"/>
        <charset val="134"/>
        <scheme val="minor"/>
      </rPr>
      <t>财</t>
    </r>
  </si>
  <si>
    <r>
      <t>威士忌;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葡萄酒</t>
    </r>
  </si>
  <si>
    <t>晶峻</t>
  </si>
  <si>
    <r>
      <t>南京峻</t>
    </r>
    <r>
      <rPr>
        <sz val="11"/>
        <color theme="1"/>
        <rFont val="ＭＳ Ｐゴシック"/>
        <family val="3"/>
        <charset val="134"/>
        <scheme val="minor"/>
      </rPr>
      <t>泽农业发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</si>
  <si>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五加皮酒（中国混合烈酒）;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</si>
  <si>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瑞</t>
    </r>
    <r>
      <rPr>
        <sz val="11"/>
        <color theme="1"/>
        <rFont val="ＭＳ Ｐゴシック"/>
        <family val="3"/>
        <charset val="134"/>
        <scheme val="minor"/>
      </rPr>
      <t>贝</t>
    </r>
    <r>
      <rPr>
        <sz val="11"/>
        <color theme="1"/>
        <rFont val="ＭＳ Ｐゴシック"/>
        <family val="3"/>
        <charset val="128"/>
        <scheme val="minor"/>
      </rPr>
      <t>安·匠心</t>
    </r>
  </si>
  <si>
    <r>
      <t>汕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市小小狗生物医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</si>
  <si>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米酒;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食用酒精;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青稞酒</t>
    </r>
  </si>
  <si>
    <t>象乾</t>
  </si>
  <si>
    <r>
      <t>朱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娥</t>
    </r>
  </si>
  <si>
    <r>
      <t>黄酒; 食用酒精; 威士忌; 葡萄酒;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</si>
  <si>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成</t>
    </r>
    <r>
      <rPr>
        <sz val="11"/>
        <color theme="1"/>
        <rFont val="ＭＳ Ｐゴシック"/>
        <family val="3"/>
        <charset val="134"/>
        <scheme val="minor"/>
      </rPr>
      <t>锦烧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</si>
  <si>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冯</t>
    </r>
    <r>
      <rPr>
        <sz val="11"/>
        <color theme="1"/>
        <rFont val="ＭＳ Ｐゴシック"/>
        <family val="3"/>
        <charset val="128"/>
        <scheme val="minor"/>
      </rPr>
      <t>体健</t>
    </r>
  </si>
  <si>
    <r>
      <t xml:space="preserve">餐后酒（利口酒和烈酒）;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开胃酒; 黄酒</t>
    </r>
  </si>
  <si>
    <r>
      <t>神凰</t>
    </r>
    <r>
      <rPr>
        <sz val="11"/>
        <color theme="1"/>
        <rFont val="ＭＳ Ｐゴシック"/>
        <family val="3"/>
        <charset val="134"/>
        <scheme val="minor"/>
      </rPr>
      <t>赐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</si>
  <si>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>成都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尚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28"/>
        <scheme val="minor"/>
      </rPr>
      <t>品商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</si>
  <si>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米酒; 黄酒; 食用酒精; 威士忌</t>
    </r>
  </si>
  <si>
    <r>
      <t>荣承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</si>
  <si>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何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霞</t>
    </r>
  </si>
  <si>
    <r>
      <t xml:space="preserve">果酒（含酒精）; 青稞酒; 白酒;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米酒</t>
    </r>
  </si>
  <si>
    <t>熊猫蜀道山</t>
  </si>
  <si>
    <r>
      <t>台州柴古唐斯体育文化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</si>
  <si>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葡萄酒; 开胃酒; 白酒; 汽酒; 梨酒; 威士忌; 黄酒; 米酒; 日式甜米酒;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</si>
  <si>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述海</t>
  </si>
  <si>
    <r>
      <t>果酒（含酒精）; 葡萄酒;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</si>
  <si>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杭州御寿生物科技有限公司</t>
  </si>
  <si>
    <r>
      <t>露酒;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开胃酒; 黄酒; 葡萄酒</t>
    </r>
  </si>
  <si>
    <t>梓菲杏韵</t>
  </si>
  <si>
    <r>
      <t>宁夏梓菲葡萄酒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</si>
  <si>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食用酒精</t>
    </r>
  </si>
  <si>
    <r>
      <t>广迎福</t>
    </r>
    <r>
      <rPr>
        <sz val="11"/>
        <color theme="1"/>
        <rFont val="ＭＳ Ｐゴシック"/>
        <family val="3"/>
        <charset val="134"/>
        <scheme val="minor"/>
      </rPr>
      <t>宾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</si>
  <si>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州广福酒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</si>
  <si>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蜂蜜酒;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烈酒; 白酒;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</si>
  <si>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蛋火火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</si>
  <si>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州蛋火火文化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</si>
  <si>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</t>
    </r>
  </si>
  <si>
    <r>
      <t>柏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下</t>
    </r>
  </si>
  <si>
    <t>李清明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</si>
  <si>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威士忌; 高粱酒; 杜松子酒; 葡萄酒</t>
    </r>
  </si>
  <si>
    <r>
      <t>云</t>
    </r>
    <r>
      <rPr>
        <sz val="11"/>
        <color theme="1"/>
        <rFont val="ＭＳ Ｐゴシック"/>
        <family val="3"/>
        <charset val="134"/>
        <scheme val="minor"/>
      </rPr>
      <t>边</t>
    </r>
    <r>
      <rPr>
        <sz val="11"/>
        <color theme="1"/>
        <rFont val="ＭＳ Ｐゴシック"/>
        <family val="3"/>
        <charset val="128"/>
        <scheme val="minor"/>
      </rPr>
      <t>笑</t>
    </r>
  </si>
  <si>
    <t>李利斌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</si>
  <si>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</si>
  <si>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t>与林同行</t>
  </si>
  <si>
    <r>
      <t>广州</t>
    </r>
    <r>
      <rPr>
        <sz val="11"/>
        <color theme="1"/>
        <rFont val="ＭＳ Ｐゴシック"/>
        <family val="3"/>
        <charset val="134"/>
        <scheme val="minor"/>
      </rPr>
      <t>领绣</t>
    </r>
    <r>
      <rPr>
        <sz val="11"/>
        <color theme="1"/>
        <rFont val="ＭＳ Ｐゴシック"/>
        <family val="3"/>
        <charset val="128"/>
        <scheme val="minor"/>
      </rPr>
      <t>美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</si>
  <si>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苦味酒;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米酒; 果酒（含酒精）; 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朗姆酒</t>
    </r>
  </si>
  <si>
    <r>
      <t>悦云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</si>
  <si>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果酒（含酒精）; 葡萄酒; 清酒（日本米酒）; 白酒; 威士忌</t>
    </r>
  </si>
  <si>
    <r>
      <t>白窖</t>
    </r>
    <r>
      <rPr>
        <sz val="11"/>
        <color theme="1"/>
        <rFont val="ＭＳ Ｐゴシック"/>
        <family val="3"/>
        <charset val="134"/>
        <scheme val="minor"/>
      </rPr>
      <t>乡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</si>
  <si>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清酒（日本米酒）;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</si>
  <si>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江三特</t>
    </r>
    <r>
      <rPr>
        <sz val="11"/>
        <color theme="1"/>
        <rFont val="ＭＳ Ｐゴシック"/>
        <family val="3"/>
        <charset val="134"/>
        <scheme val="minor"/>
      </rPr>
      <t>纺织</t>
    </r>
    <r>
      <rPr>
        <sz val="11"/>
        <color theme="1"/>
        <rFont val="ＭＳ Ｐゴシック"/>
        <family val="3"/>
        <charset val="128"/>
        <scheme val="minor"/>
      </rPr>
      <t>服装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</si>
  <si>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含酒精的气泡水; 开胃酒; 葡萄酒;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白酒</t>
    </r>
  </si>
  <si>
    <t>咏万川</t>
  </si>
  <si>
    <r>
      <t xml:space="preserve">清酒（日本米酒）; 烈酒; 果酒（含酒精）;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黄酒;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</si>
  <si>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皖</t>
    </r>
    <r>
      <rPr>
        <sz val="11"/>
        <color theme="1"/>
        <rFont val="ＭＳ Ｐゴシック"/>
        <family val="3"/>
        <charset val="134"/>
        <scheme val="minor"/>
      </rPr>
      <t>蒌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</si>
  <si>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鞍山市皖</t>
    </r>
    <r>
      <rPr>
        <sz val="11"/>
        <color theme="1"/>
        <rFont val="ＭＳ Ｐゴシック"/>
        <family val="3"/>
        <charset val="134"/>
        <scheme val="minor"/>
      </rPr>
      <t>蒌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</si>
  <si>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威士忌; 白酒; 葡萄酒; 清酒; 果酒;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利口酒; 米酒</t>
    </r>
  </si>
  <si>
    <r>
      <t>埃斯特卡</t>
    </r>
    <r>
      <rPr>
        <sz val="11"/>
        <color theme="1"/>
        <rFont val="ＭＳ Ｐゴシック"/>
        <family val="3"/>
        <charset val="134"/>
        <scheme val="minor"/>
      </rPr>
      <t>纳</t>
    </r>
    <r>
      <rPr>
        <sz val="11"/>
        <color theme="1"/>
        <rFont val="ＭＳ Ｐゴシック"/>
        <family val="3"/>
        <charset val="128"/>
        <scheme val="minor"/>
      </rPr>
      <t>莱</t>
    </r>
  </si>
  <si>
    <r>
      <t>乔</t>
    </r>
    <r>
      <rPr>
        <sz val="11"/>
        <color theme="1"/>
        <rFont val="ＭＳ Ｐゴシック"/>
        <family val="3"/>
        <charset val="128"/>
        <scheme val="minor"/>
      </rPr>
      <t>凡尼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素和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素达</t>
    </r>
    <r>
      <rPr>
        <sz val="11"/>
        <color theme="1"/>
        <rFont val="ＭＳ Ｐゴシック"/>
        <family val="3"/>
        <charset val="134"/>
        <scheme val="minor"/>
      </rPr>
      <t>维</t>
    </r>
    <r>
      <rPr>
        <sz val="11"/>
        <color theme="1"/>
        <rFont val="ＭＳ Ｐゴシック"/>
        <family val="3"/>
        <charset val="128"/>
        <scheme val="minor"/>
      </rPr>
      <t>德酒庄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</si>
  <si>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</si>
  <si>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州元林商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</si>
  <si>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蜂蜜酒;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烈酒; 米酒; 葡萄酒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</si>
  <si>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琳</t>
    </r>
  </si>
  <si>
    <r>
      <t>兰</t>
    </r>
    <r>
      <rPr>
        <sz val="11"/>
        <color theme="1"/>
        <rFont val="ＭＳ Ｐゴシック"/>
        <family val="3"/>
        <charset val="128"/>
        <scheme val="minor"/>
      </rPr>
      <t>琳（福建）科技有限公司</t>
    </r>
  </si>
  <si>
    <r>
      <t xml:space="preserve">苹果酒; 白酒; 威士忌; 米酒; 青梅酒; 起泡白葡萄酒;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</si>
  <si>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修珍序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</si>
  <si>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晏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凌商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</si>
  <si>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食用酒精; 黄酒;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青稞酒</t>
    </r>
  </si>
  <si>
    <t>PECNE TE</t>
  </si>
  <si>
    <r>
      <t>门</t>
    </r>
    <r>
      <rPr>
        <sz val="11"/>
        <color theme="1"/>
        <rFont val="ＭＳ Ｐゴシック"/>
        <family val="3"/>
        <charset val="128"/>
        <scheme val="minor"/>
      </rPr>
      <t>德格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股份有限公司</t>
    </r>
  </si>
  <si>
    <r>
      <t>开胃酒;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汽酒; 白葡萄酒</t>
    </r>
  </si>
  <si>
    <r>
      <t>养</t>
    </r>
    <r>
      <rPr>
        <sz val="11"/>
        <color theme="1"/>
        <rFont val="ＭＳ Ｐゴシック"/>
        <family val="3"/>
        <charset val="134"/>
        <scheme val="minor"/>
      </rPr>
      <t>诀</t>
    </r>
  </si>
  <si>
    <r>
      <t>黄雪</t>
    </r>
    <r>
      <rPr>
        <sz val="11"/>
        <color theme="1"/>
        <rFont val="ＭＳ Ｐゴシック"/>
        <family val="3"/>
        <charset val="134"/>
        <scheme val="minor"/>
      </rPr>
      <t>焕</t>
    </r>
  </si>
  <si>
    <t>汽酒; 白酒; 米酒; 葡萄酒; 甜酒; 黄酒; 开胃酒; 清酒; 果酒; 食用酒精</t>
  </si>
  <si>
    <t>菜爽派</t>
  </si>
  <si>
    <t>四川江中源食品有限公司</t>
  </si>
  <si>
    <r>
      <t>葡萄酒; 白干酒（中国白酒）;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烈酒; 白酒</t>
    </r>
  </si>
  <si>
    <t>皖南仙</t>
  </si>
  <si>
    <r>
      <t>安徽呈乾水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</si>
  <si>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黄酒;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米酒; 白酒; 青稞酒</t>
    </r>
  </si>
  <si>
    <r>
      <t>清</t>
    </r>
    <r>
      <rPr>
        <sz val="11"/>
        <color theme="1"/>
        <rFont val="ＭＳ Ｐゴシック"/>
        <family val="3"/>
        <charset val="134"/>
        <scheme val="minor"/>
      </rPr>
      <t>澜</t>
    </r>
    <r>
      <rPr>
        <sz val="11"/>
        <color theme="1"/>
        <rFont val="ＭＳ Ｐゴシック"/>
        <family val="3"/>
        <charset val="128"/>
        <scheme val="minor"/>
      </rPr>
      <t>湾</t>
    </r>
  </si>
  <si>
    <r>
      <t>河南晋达酒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</si>
  <si>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黄酒</t>
    </r>
  </si>
  <si>
    <r>
      <t>封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化蝶</t>
    </r>
  </si>
  <si>
    <t>李平</t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</si>
  <si>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伏特加酒; 葡萄酒;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高粱酒; 果酒</t>
    </r>
  </si>
  <si>
    <r>
      <t>成寿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</si>
  <si>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果酒（含酒精）;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餐后酒（利口酒和烈酒）;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</si>
  <si>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r>
      <t>海</t>
    </r>
    <r>
      <rPr>
        <sz val="11"/>
        <color theme="1"/>
        <rFont val="ＭＳ Ｐゴシック"/>
        <family val="3"/>
        <charset val="134"/>
        <scheme val="minor"/>
      </rPr>
      <t>马凤</t>
    </r>
  </si>
  <si>
    <r>
      <t>中网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球（广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</si>
  <si>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清酒; 米酒;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酒(利口酒); 白酒</t>
    </r>
  </si>
  <si>
    <r>
      <t>傲</t>
    </r>
    <r>
      <rPr>
        <sz val="11"/>
        <color theme="1"/>
        <rFont val="ＭＳ Ｐゴシック"/>
        <family val="3"/>
        <charset val="134"/>
        <scheme val="minor"/>
      </rPr>
      <t>战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</si>
  <si>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葡萄酒;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</si>
  <si>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傲藏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</si>
  <si>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白酒;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</t>
    </r>
  </si>
  <si>
    <t>京台玉卜</t>
  </si>
  <si>
    <r>
      <t>葡萄酒; 白干酒（中国白酒）; 果酒（含酒精）;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</t>
    </r>
  </si>
  <si>
    <r>
      <t>郑晓</t>
    </r>
    <r>
      <rPr>
        <sz val="11"/>
        <color theme="1"/>
        <rFont val="ＭＳ Ｐゴシック"/>
        <family val="3"/>
        <charset val="128"/>
        <scheme val="minor"/>
      </rPr>
      <t>梅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</si>
  <si>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朗姆酒; 起泡白葡萄酒; 伏特加酒; 白酒; 以蒸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</t>
    </r>
  </si>
  <si>
    <r>
      <t>盛塾学</t>
    </r>
    <r>
      <rPr>
        <sz val="11"/>
        <color theme="1"/>
        <rFont val="ＭＳ Ｐゴシック"/>
        <family val="3"/>
        <charset val="134"/>
        <scheme val="minor"/>
      </rPr>
      <t>长</t>
    </r>
  </si>
  <si>
    <r>
      <t>四川焱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智慧</t>
    </r>
    <r>
      <rPr>
        <sz val="11"/>
        <color theme="1"/>
        <rFont val="ＭＳ Ｐゴシック"/>
        <family val="3"/>
        <charset val="134"/>
        <scheme val="minor"/>
      </rPr>
      <t>营销</t>
    </r>
    <r>
      <rPr>
        <sz val="11"/>
        <color theme="1"/>
        <rFont val="ＭＳ Ｐゴシック"/>
        <family val="3"/>
        <charset val="128"/>
        <scheme val="minor"/>
      </rPr>
      <t>策划有限公司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</si>
  <si>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白酒; 开胃酒; 青稞酒;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</si>
  <si>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福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河</t>
    </r>
  </si>
  <si>
    <r>
      <t>开胃酒;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</si>
  <si>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祝</t>
    </r>
    <r>
      <rPr>
        <sz val="11"/>
        <color theme="1"/>
        <rFont val="ＭＳ Ｐゴシック"/>
        <family val="3"/>
        <charset val="134"/>
        <scheme val="minor"/>
      </rPr>
      <t>欢</t>
    </r>
    <r>
      <rPr>
        <sz val="11"/>
        <color theme="1"/>
        <rFont val="ＭＳ Ｐゴシック"/>
        <family val="3"/>
        <charset val="128"/>
        <scheme val="minor"/>
      </rPr>
      <t>心</t>
    </r>
  </si>
  <si>
    <r>
      <t>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白酒; 果酒（含酒精）;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</si>
  <si>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春醉天下</t>
  </si>
  <si>
    <r>
      <t xml:space="preserve">白酒; 清酒;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高粱酒; 果酒;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</t>
    </r>
  </si>
  <si>
    <r>
      <t>荣范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</si>
  <si>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杜家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</si>
  <si>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 xml:space="preserve">果酒（含酒精）; 餐后酒（利口酒和烈酒）;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</si>
  <si>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升特</t>
  </si>
  <si>
    <r>
      <t>河北盛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隆食品有限公司</t>
    </r>
  </si>
  <si>
    <r>
      <t xml:space="preserve">开胃酒;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</t>
    </r>
  </si>
  <si>
    <t>果燃成乘</t>
  </si>
  <si>
    <t>黄河清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</si>
  <si>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米酒; 蜂蜜酒;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开胃酒; 葡萄酒</t>
    </r>
  </si>
  <si>
    <t>工匠三十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</si>
  <si>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葡萄酒</t>
    </r>
  </si>
  <si>
    <r>
      <t>鹤飞凤</t>
    </r>
    <r>
      <rPr>
        <sz val="11"/>
        <color theme="1"/>
        <rFont val="ＭＳ Ｐゴシック"/>
        <family val="3"/>
        <charset val="128"/>
        <scheme val="minor"/>
      </rPr>
      <t>舞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</si>
  <si>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米酒; 葡萄酒; 果酒; 蜂蜜酒;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</si>
  <si>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拙牛</t>
  </si>
  <si>
    <t>侯宝瑞</t>
  </si>
  <si>
    <r>
      <t>清酒; 白酒;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食用酒精; 伏特加酒; 开胃酒; 米酒; 薄荷酒;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</si>
  <si>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莱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泡</t>
    </r>
  </si>
  <si>
    <t>张欢</t>
  </si>
  <si>
    <r>
      <t>果酒（含酒精）;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</si>
  <si>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ZKAJ</t>
  </si>
  <si>
    <r>
      <t>中科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伽（天津）医用食品有限公司上海分公司</t>
    </r>
  </si>
  <si>
    <r>
      <t>葡萄酒;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果酒（含酒精）; 含酒精的气泡水;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</si>
  <si>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古山灵寿</t>
    </r>
    <r>
      <rPr>
        <sz val="11"/>
        <color theme="1"/>
        <rFont val="ＭＳ Ｐゴシック"/>
        <family val="3"/>
        <charset val="134"/>
        <scheme val="minor"/>
      </rPr>
      <t>农业专业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</si>
  <si>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米酒; 黄酒; 葡萄酒</t>
    </r>
  </si>
  <si>
    <r>
      <t>农</t>
    </r>
    <r>
      <rPr>
        <sz val="11"/>
        <color theme="1"/>
        <rFont val="ＭＳ Ｐゴシック"/>
        <family val="3"/>
        <charset val="128"/>
        <scheme val="minor"/>
      </rPr>
      <t>韵尚品</t>
    </r>
  </si>
  <si>
    <t>刘朋</t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</si>
  <si>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</si>
  <si>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渡云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</si>
  <si>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白酒; 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</si>
  <si>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叶小慧</t>
  </si>
  <si>
    <r>
      <t>南京叶</t>
    </r>
    <r>
      <rPr>
        <sz val="11"/>
        <color theme="1"/>
        <rFont val="ＭＳ Ｐゴシック"/>
        <family val="3"/>
        <charset val="134"/>
        <scheme val="minor"/>
      </rPr>
      <t>晓</t>
    </r>
    <r>
      <rPr>
        <sz val="11"/>
        <color theme="1"/>
        <rFont val="ＭＳ Ｐゴシック"/>
        <family val="3"/>
        <charset val="128"/>
        <scheme val="minor"/>
      </rPr>
      <t>慧餐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</si>
  <si>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开胃酒; 果酒（含酒精）</t>
    </r>
  </si>
  <si>
    <t>乾盂</t>
  </si>
  <si>
    <r>
      <t>乾盂（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南）企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</si>
  <si>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柑香酒;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白酒</t>
    </r>
  </si>
  <si>
    <t>煊·逸品</t>
  </si>
  <si>
    <r>
      <t>四川政泰智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</si>
  <si>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t>烈酒; 白酒</t>
  </si>
  <si>
    <t>KKLUV</t>
  </si>
  <si>
    <r>
      <t>阿布都那斯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·卡迪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</si>
  <si>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干型苹果酒;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汽酒</t>
    </r>
  </si>
  <si>
    <r>
      <t>纪</t>
    </r>
    <r>
      <rPr>
        <sz val="11"/>
        <color theme="1"/>
        <rFont val="ＭＳ Ｐゴシック"/>
        <family val="3"/>
        <charset val="128"/>
        <scheme val="minor"/>
      </rPr>
      <t>开元</t>
    </r>
  </si>
  <si>
    <t>郑帅龙</t>
  </si>
  <si>
    <r>
      <t xml:space="preserve">威士忌; 黄酒; 开胃酒; 果酒; 清酒（日本米酒）;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</si>
  <si>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r>
      <t>江南几</t>
    </r>
    <r>
      <rPr>
        <sz val="11"/>
        <color theme="1"/>
        <rFont val="ＭＳ Ｐゴシック"/>
        <family val="3"/>
        <charset val="134"/>
        <scheme val="minor"/>
      </rPr>
      <t>许</t>
    </r>
  </si>
  <si>
    <r>
      <t xml:space="preserve">白酒; 开胃酒;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</si>
  <si>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杏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井</t>
    </r>
  </si>
  <si>
    <t>于荣峰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</si>
  <si>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清酒;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葡萄酒; 梨酒; 利口酒; 黄酒</t>
    </r>
  </si>
  <si>
    <t>寻齐记</t>
  </si>
  <si>
    <t>李世裕</t>
  </si>
  <si>
    <r>
      <t xml:space="preserve">白酒; 黄酒; 高粱酒; 果酒; 苹果酒; 蜂蜜酒; 青梅酒;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水果汽酒; 米酒</t>
    </r>
  </si>
  <si>
    <r>
      <t>酩言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</si>
  <si>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果酒（含酒精）;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</si>
  <si>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爱</t>
    </r>
    <r>
      <rPr>
        <sz val="11"/>
        <color theme="1"/>
        <rFont val="ＭＳ Ｐゴシック"/>
        <family val="3"/>
        <charset val="128"/>
        <scheme val="minor"/>
      </rPr>
      <t>瑟</t>
    </r>
    <r>
      <rPr>
        <sz val="11"/>
        <color theme="1"/>
        <rFont val="ＭＳ Ｐゴシック"/>
        <family val="3"/>
        <charset val="134"/>
        <scheme val="minor"/>
      </rPr>
      <t>玛</t>
    </r>
    <r>
      <rPr>
        <sz val="11"/>
        <color theme="1"/>
        <rFont val="ＭＳ Ｐゴシック"/>
        <family val="3"/>
        <charset val="129"/>
        <scheme val="minor"/>
      </rPr>
      <t>菈</t>
    </r>
  </si>
  <si>
    <r>
      <t>西仁阿依·艾合</t>
    </r>
    <r>
      <rPr>
        <sz val="11"/>
        <color theme="1"/>
        <rFont val="ＭＳ Ｐゴシック"/>
        <family val="3"/>
        <charset val="134"/>
        <scheme val="minor"/>
      </rPr>
      <t>买</t>
    </r>
    <r>
      <rPr>
        <sz val="11"/>
        <color theme="1"/>
        <rFont val="ＭＳ Ｐゴシック"/>
        <family val="3"/>
        <charset val="128"/>
        <scheme val="minor"/>
      </rPr>
      <t>提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</si>
  <si>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草莓酒;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白酒</t>
    </r>
  </si>
  <si>
    <t>小巷口李阿姨</t>
  </si>
  <si>
    <t>李佳言</t>
  </si>
  <si>
    <r>
      <t xml:space="preserve">梅酒; 米酒; 威士忌; 白干酒（中国白酒）;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果酒; 青稞酒</t>
    </r>
  </si>
  <si>
    <r>
      <t>外</t>
    </r>
    <r>
      <rPr>
        <sz val="11"/>
        <color theme="1"/>
        <rFont val="ＭＳ Ｐゴシック"/>
        <family val="3"/>
        <charset val="134"/>
        <scheme val="minor"/>
      </rPr>
      <t>滩</t>
    </r>
    <r>
      <rPr>
        <sz val="11"/>
        <color theme="1"/>
        <rFont val="ＭＳ Ｐゴシック"/>
        <family val="3"/>
        <charset val="128"/>
        <scheme val="minor"/>
      </rPr>
      <t>·老市府</t>
    </r>
  </si>
  <si>
    <r>
      <t>上海外</t>
    </r>
    <r>
      <rPr>
        <sz val="11"/>
        <color theme="1"/>
        <rFont val="ＭＳ Ｐゴシック"/>
        <family val="3"/>
        <charset val="134"/>
        <scheme val="minor"/>
      </rPr>
      <t>滩</t>
    </r>
    <r>
      <rPr>
        <sz val="11"/>
        <color theme="1"/>
        <rFont val="ＭＳ Ｐゴシック"/>
        <family val="3"/>
        <charset val="128"/>
        <scheme val="minor"/>
      </rPr>
      <t>老建筑投</t>
    </r>
    <r>
      <rPr>
        <sz val="11"/>
        <color theme="1"/>
        <rFont val="ＭＳ Ｐゴシック"/>
        <family val="3"/>
        <charset val="134"/>
        <scheme val="minor"/>
      </rPr>
      <t>资发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</si>
  <si>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含酒精的气泡水; 果酒（含酒精）; 葡萄酒; 薄荷酒</t>
    </r>
  </si>
  <si>
    <r>
      <t>凯</t>
    </r>
    <r>
      <rPr>
        <sz val="11"/>
        <color theme="1"/>
        <rFont val="ＭＳ Ｐゴシック"/>
        <family val="3"/>
        <charset val="128"/>
        <scheme val="minor"/>
      </rPr>
      <t>河日曼</t>
    </r>
  </si>
  <si>
    <r>
      <t>阿布力米提·艾</t>
    </r>
    <r>
      <rPr>
        <sz val="11"/>
        <color theme="1"/>
        <rFont val="ＭＳ Ｐゴシック"/>
        <family val="3"/>
        <charset val="134"/>
        <scheme val="minor"/>
      </rPr>
      <t>买</t>
    </r>
    <r>
      <rPr>
        <sz val="11"/>
        <color theme="1"/>
        <rFont val="ＭＳ Ｐゴシック"/>
        <family val="3"/>
        <charset val="128"/>
        <scheme val="minor"/>
      </rPr>
      <t>提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</si>
  <si>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烈酒;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</si>
  <si>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快活</t>
    </r>
  </si>
  <si>
    <r>
      <t>叶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姣</t>
    </r>
  </si>
  <si>
    <r>
      <t xml:space="preserve">葡萄酒; 开胃酒;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</si>
  <si>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t>王勇</t>
  </si>
  <si>
    <r>
      <t>米酒; 白酒;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高粱酒; 果酒; 白干酒（中国白酒）;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</si>
  <si>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易可丰</t>
  </si>
  <si>
    <r>
      <t>李</t>
    </r>
    <r>
      <rPr>
        <sz val="11"/>
        <color theme="1"/>
        <rFont val="ＭＳ Ｐゴシック"/>
        <family val="3"/>
        <charset val="134"/>
        <scheme val="minor"/>
      </rPr>
      <t>远华</t>
    </r>
  </si>
  <si>
    <r>
      <t>黄酒; 葡萄酒; 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米酒; 蜂蜜酒; 汽酒;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</si>
  <si>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杏运</t>
    </r>
    <r>
      <rPr>
        <sz val="11"/>
        <color theme="1"/>
        <rFont val="ＭＳ Ｐゴシック"/>
        <family val="3"/>
        <charset val="134"/>
        <scheme val="minor"/>
      </rPr>
      <t>赋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</si>
  <si>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白酒</t>
    </r>
  </si>
  <si>
    <r>
      <t>青山</t>
    </r>
    <r>
      <rPr>
        <sz val="11"/>
        <color theme="1"/>
        <rFont val="ＭＳ Ｐゴシック"/>
        <family val="3"/>
        <charset val="134"/>
        <scheme val="minor"/>
      </rPr>
      <t>边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</si>
  <si>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白酒; 米酒;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</si>
  <si>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涎</t>
    </r>
  </si>
  <si>
    <r>
      <t>黄酒;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威士忌; 白酒; 开胃酒;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</si>
  <si>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裕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良人</t>
    </r>
  </si>
  <si>
    <r>
      <t>卢</t>
    </r>
    <r>
      <rPr>
        <sz val="11"/>
        <color theme="1"/>
        <rFont val="ＭＳ Ｐゴシック"/>
        <family val="3"/>
        <charset val="128"/>
        <scheme val="minor"/>
      </rPr>
      <t>嘉豪</t>
    </r>
  </si>
  <si>
    <r>
      <t>餐后酒（利口酒和烈酒）;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</t>
    </r>
  </si>
  <si>
    <r>
      <t>陛</t>
    </r>
    <r>
      <rPr>
        <sz val="11"/>
        <color theme="1"/>
        <rFont val="ＭＳ Ｐゴシック"/>
        <family val="3"/>
        <charset val="134"/>
        <scheme val="minor"/>
      </rPr>
      <t>驰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</si>
  <si>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>阚</t>
    </r>
    <r>
      <rPr>
        <sz val="11"/>
        <color theme="1"/>
        <rFont val="ＭＳ Ｐゴシック"/>
        <family val="3"/>
        <charset val="128"/>
        <scheme val="minor"/>
      </rPr>
      <t>宏</t>
    </r>
    <r>
      <rPr>
        <sz val="11"/>
        <color theme="1"/>
        <rFont val="ＭＳ Ｐゴシック"/>
        <family val="3"/>
        <charset val="134"/>
        <scheme val="minor"/>
      </rPr>
      <t>刚</t>
    </r>
  </si>
  <si>
    <r>
      <t>葡萄酒; 食用酒精; 米酒;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</si>
  <si>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成秦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</si>
  <si>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果酒（含酒精）</t>
    </r>
  </si>
  <si>
    <t>金厚源</t>
  </si>
  <si>
    <r>
      <t>和</t>
    </r>
    <r>
      <rPr>
        <sz val="11"/>
        <color theme="1"/>
        <rFont val="ＭＳ Ｐゴシック"/>
        <family val="3"/>
        <charset val="134"/>
        <scheme val="minor"/>
      </rPr>
      <t>顺县</t>
    </r>
    <r>
      <rPr>
        <sz val="11"/>
        <color theme="1"/>
        <rFont val="ＭＳ Ｐゴシック"/>
        <family val="3"/>
        <charset val="128"/>
        <scheme val="minor"/>
      </rPr>
      <t>厚源酒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</si>
  <si>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白干酒（中国白酒）;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烈性干酒;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</si>
  <si>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梓菲</t>
    </r>
    <r>
      <rPr>
        <sz val="11"/>
        <color theme="1"/>
        <rFont val="ＭＳ Ｐゴシック"/>
        <family val="3"/>
        <charset val="134"/>
        <scheme val="minor"/>
      </rPr>
      <t>颂</t>
    </r>
    <r>
      <rPr>
        <sz val="11"/>
        <color theme="1"/>
        <rFont val="ＭＳ Ｐゴシック"/>
        <family val="3"/>
        <charset val="128"/>
        <scheme val="minor"/>
      </rPr>
      <t>瑞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</si>
  <si>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</si>
  <si>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远</t>
    </r>
    <r>
      <rPr>
        <sz val="11"/>
        <color theme="1"/>
        <rFont val="ＭＳ Ｐゴシック"/>
        <family val="3"/>
        <charset val="128"/>
        <scheme val="minor"/>
      </rPr>
      <t>瞳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</si>
  <si>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蒸煮提取物（利口酒和烈酒）; 白酒; 开胃酒; 果酒（含酒精）; 葡萄酒; 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</si>
  <si>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夜木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</si>
  <si>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蒸煮提取物（利口酒和烈酒）; 果酒（含酒精）; 食用酒精; 利口酒;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</si>
  <si>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时</t>
    </r>
    <r>
      <rPr>
        <sz val="11"/>
        <color theme="1"/>
        <rFont val="ＭＳ Ｐゴシック"/>
        <family val="3"/>
        <charset val="128"/>
        <scheme val="minor"/>
      </rPr>
      <t>珍</t>
    </r>
    <r>
      <rPr>
        <sz val="11"/>
        <color theme="1"/>
        <rFont val="ＭＳ Ｐゴシック"/>
        <family val="3"/>
        <charset val="134"/>
        <scheme val="minor"/>
      </rPr>
      <t>门</t>
    </r>
  </si>
  <si>
    <r>
      <t>贾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锋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</si>
  <si>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食用酒精;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</si>
  <si>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里巴斯和阿</t>
    </r>
    <r>
      <rPr>
        <sz val="11"/>
        <color theme="1"/>
        <rFont val="ＭＳ Ｐゴシック"/>
        <family val="3"/>
        <charset val="134"/>
        <scheme val="minor"/>
      </rPr>
      <t>让</t>
    </r>
    <r>
      <rPr>
        <sz val="11"/>
        <color theme="1"/>
        <rFont val="ＭＳ Ｐゴシック"/>
        <family val="3"/>
        <charset val="128"/>
        <scheme val="minor"/>
      </rPr>
      <t>堤耶</t>
    </r>
    <r>
      <rPr>
        <sz val="11"/>
        <color theme="1"/>
        <rFont val="ＭＳ Ｐゴシック"/>
        <family val="3"/>
        <charset val="134"/>
        <scheme val="minor"/>
      </rPr>
      <t>农业联</t>
    </r>
    <r>
      <rPr>
        <sz val="11"/>
        <color theme="1"/>
        <rFont val="ＭＳ Ｐゴシック"/>
        <family val="3"/>
        <charset val="128"/>
        <scheme val="minor"/>
      </rPr>
      <t>合公司</t>
    </r>
  </si>
  <si>
    <r>
      <t>白葡萄酒;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果酒（含酒精）</t>
    </r>
  </si>
  <si>
    <t>北粮翁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</si>
  <si>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江五稻瑞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作物种植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</si>
  <si>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开胃酒; 黄酒; 葡萄酒; 清酒;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</si>
  <si>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煊·政泰</t>
  </si>
  <si>
    <r>
      <t xml:space="preserve">烈酒; 白酒; 烈性干酒; 白葡萄酒;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</si>
  <si>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r>
      <t>那若悉</t>
    </r>
    <r>
      <rPr>
        <sz val="11"/>
        <color theme="1"/>
        <rFont val="ＭＳ Ｐゴシック"/>
        <family val="3"/>
        <charset val="134"/>
        <scheme val="minor"/>
      </rPr>
      <t>坛</t>
    </r>
  </si>
  <si>
    <r>
      <t>北京那若悉</t>
    </r>
    <r>
      <rPr>
        <sz val="11"/>
        <color theme="1"/>
        <rFont val="ＭＳ Ｐゴシック"/>
        <family val="3"/>
        <charset val="134"/>
        <scheme val="minor"/>
      </rPr>
      <t>坛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</si>
  <si>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</t>
    </r>
  </si>
  <si>
    <t>逸葫</t>
  </si>
  <si>
    <r>
      <t>众合匠心（天津）国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</si>
  <si>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露酒; 葡萄酒; 高粱酒;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白干酒（中国白酒）</t>
    </r>
  </si>
  <si>
    <r>
      <t>览</t>
    </r>
    <r>
      <rPr>
        <sz val="11"/>
        <color theme="1"/>
        <rFont val="ＭＳ Ｐゴシック"/>
        <family val="3"/>
        <charset val="128"/>
        <scheme val="minor"/>
      </rPr>
      <t>八方</t>
    </r>
  </si>
  <si>
    <r>
      <t>葡萄酒; 清酒（日本米酒）;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</si>
  <si>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CO-SIGNAL</t>
  </si>
  <si>
    <t>上海重境品牌管理有限公司</t>
  </si>
  <si>
    <r>
      <t>朗姆酒;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伏特加酒; 薄荷酒; 苦味酒; 茴芹酒（利口酒）;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</si>
  <si>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将源</t>
  </si>
  <si>
    <r>
      <t>宣沅（北京）信息文化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</si>
  <si>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开胃酒;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</si>
  <si>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半生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</si>
  <si>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清酒（日本米酒）; 果酒</t>
    </r>
  </si>
  <si>
    <t>婉粮春</t>
  </si>
  <si>
    <r>
      <t>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威士忌; 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米酒</t>
    </r>
  </si>
  <si>
    <t>梁小甜</t>
  </si>
  <si>
    <r>
      <t>梁安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</si>
  <si>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白酒; 威士忌</t>
    </r>
  </si>
  <si>
    <r>
      <t>观</t>
    </r>
    <r>
      <rPr>
        <sz val="11"/>
        <color theme="1"/>
        <rFont val="ＭＳ Ｐゴシック"/>
        <family val="3"/>
        <charset val="128"/>
        <scheme val="minor"/>
      </rPr>
      <t>粮谷韵</t>
    </r>
  </si>
  <si>
    <r>
      <t>依</t>
    </r>
    <r>
      <rPr>
        <sz val="11"/>
        <color theme="1"/>
        <rFont val="ＭＳ Ｐゴシック"/>
        <family val="3"/>
        <charset val="134"/>
        <scheme val="minor"/>
      </rPr>
      <t>诗诺</t>
    </r>
    <r>
      <rPr>
        <sz val="11"/>
        <color theme="1"/>
        <rFont val="ＭＳ Ｐゴシック"/>
        <family val="3"/>
        <charset val="128"/>
        <scheme val="minor"/>
      </rPr>
      <t>（秦皇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</si>
  <si>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利口酒; 伏特加酒; 清酒（日本米酒）;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</si>
  <si>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SPQR</t>
  </si>
  <si>
    <r>
      <t>杭州君祺酒店管理有限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</si>
  <si>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</t>
    </r>
  </si>
  <si>
    <t>HIEYEIOS</t>
  </si>
  <si>
    <r>
      <t>佳木斯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仁医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器械有限公司</t>
    </r>
  </si>
  <si>
    <r>
      <t>葡萄酒; 清酒（日本米酒）; 白酒; 果酒（含酒精）;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</si>
  <si>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魔力蛇</t>
  </si>
  <si>
    <r>
      <t>陈</t>
    </r>
    <r>
      <rPr>
        <sz val="11"/>
        <color theme="1"/>
        <rFont val="ＭＳ Ｐゴシック"/>
        <family val="3"/>
        <charset val="128"/>
        <scheme val="minor"/>
      </rPr>
      <t>娥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</si>
  <si>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汽酒; 葡萄酒;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利口酒</t>
    </r>
  </si>
  <si>
    <r>
      <t>韩</t>
    </r>
    <r>
      <rPr>
        <sz val="11"/>
        <color theme="1"/>
        <rFont val="ＭＳ Ｐゴシック"/>
        <family val="3"/>
        <charset val="128"/>
        <scheme val="minor"/>
      </rPr>
      <t>浦洞</t>
    </r>
  </si>
  <si>
    <r>
      <t>唐山市厨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源大酒店有限公司</t>
    </r>
  </si>
  <si>
    <r>
      <t>苹果酒; 黄酒; 食用酒精;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餐后酒（利口酒和烈酒）; 葡萄酒; 蜂蜜酒;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</t>
    </r>
  </si>
  <si>
    <r>
      <t>舒坦</t>
    </r>
    <r>
      <rPr>
        <sz val="11"/>
        <color theme="1"/>
        <rFont val="ＭＳ Ｐゴシック"/>
        <family val="3"/>
        <charset val="134"/>
        <scheme val="minor"/>
      </rPr>
      <t>柠</t>
    </r>
    <r>
      <rPr>
        <sz val="11"/>
        <color theme="1"/>
        <rFont val="ＭＳ Ｐゴシック"/>
        <family val="3"/>
        <charset val="128"/>
        <scheme val="minor"/>
      </rPr>
      <t xml:space="preserve"> SEVENLOVE</t>
    </r>
  </si>
  <si>
    <r>
      <t>中城免保税品（重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</si>
  <si>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果酒（含酒精）; 米酒; 白酒; 水果汽酒;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蜂蜜酒; 甜果酒;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</t>
    </r>
  </si>
  <si>
    <t>述星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</si>
  <si>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白酒; 开胃酒;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蒸煮提取物（利口酒和烈酒）</t>
    </r>
  </si>
  <si>
    <r>
      <t>荣儒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</si>
  <si>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伏特加酒; 青稞酒; 开胃酒;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餐后酒（利口酒和烈酒）</t>
    </r>
  </si>
  <si>
    <t>蕉小芽</t>
  </si>
  <si>
    <t>上海昕米智能科技有限公司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</si>
  <si>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葡萄酒; 食用酒精; 白酒;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</si>
  <si>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t>墨梅臻</t>
  </si>
  <si>
    <t>墨梅（漳州）食品科技有限公司</t>
  </si>
  <si>
    <r>
      <t xml:space="preserve">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黄酒; 白酒; 米酒; 青梅酒;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</si>
  <si>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亚</t>
    </r>
    <r>
      <rPr>
        <sz val="11"/>
        <color theme="1"/>
        <rFont val="ＭＳ Ｐゴシック"/>
        <family val="3"/>
        <charset val="128"/>
        <scheme val="minor"/>
      </rPr>
      <t>威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</si>
  <si>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深圳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>威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技</t>
    </r>
    <r>
      <rPr>
        <sz val="11"/>
        <color theme="1"/>
        <rFont val="ＭＳ Ｐゴシック"/>
        <family val="3"/>
        <charset val="134"/>
        <scheme val="minor"/>
      </rPr>
      <t>术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</si>
  <si>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烈酒; 白酒; 米酒; 葡萄酒; 果酒; 伏特加酒; 开胃酒; 食用酒精;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</si>
  <si>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乔</t>
    </r>
    <r>
      <rPr>
        <sz val="11"/>
        <color theme="1"/>
        <rFont val="ＭＳ Ｐゴシック"/>
        <family val="3"/>
        <charset val="128"/>
        <scheme val="minor"/>
      </rPr>
      <t>瓦尼</t>
    </r>
  </si>
  <si>
    <t>正香逢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</si>
  <si>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威士忌</t>
    </r>
  </si>
  <si>
    <r>
      <t>润</t>
    </r>
    <r>
      <rPr>
        <sz val="11"/>
        <color theme="1"/>
        <rFont val="ＭＳ Ｐゴシック"/>
        <family val="3"/>
        <charset val="128"/>
        <scheme val="minor"/>
      </rPr>
      <t>宸山</t>
    </r>
  </si>
  <si>
    <t>侍学松</t>
  </si>
  <si>
    <r>
      <t xml:space="preserve">黄酒;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威士忌;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</si>
  <si>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祁宛春</t>
  </si>
  <si>
    <r>
      <t>李</t>
    </r>
    <r>
      <rPr>
        <sz val="11"/>
        <color theme="1"/>
        <rFont val="ＭＳ Ｐゴシック"/>
        <family val="3"/>
        <charset val="134"/>
        <scheme val="minor"/>
      </rPr>
      <t>帅</t>
    </r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</si>
  <si>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苦艾酒; 青梅酒; 葡萄酒; 开胃酒; 米酒; 果酒; 高粱酒</t>
    </r>
  </si>
  <si>
    <t>班卡思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</si>
  <si>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臻品尚酒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</si>
  <si>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</t>
    </r>
  </si>
  <si>
    <r>
      <t>王家</t>
    </r>
    <r>
      <rPr>
        <sz val="11"/>
        <color theme="1"/>
        <rFont val="ＭＳ Ｐゴシック"/>
        <family val="3"/>
        <charset val="134"/>
        <scheme val="minor"/>
      </rPr>
      <t>战鹏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</si>
  <si>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战鹏</t>
    </r>
    <r>
      <rPr>
        <sz val="11"/>
        <color theme="1"/>
        <rFont val="ＭＳ Ｐゴシック"/>
        <family val="3"/>
        <charset val="128"/>
        <scheme val="minor"/>
      </rPr>
      <t>集中式快速充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站有限公司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</si>
  <si>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葡萄酒; 白酒; 开胃酒; 米酒; 利口酒; 果酒（含酒精）; 黄酒</t>
    </r>
  </si>
  <si>
    <t>皇冠榕</t>
  </si>
  <si>
    <r>
      <t>榆</t>
    </r>
    <r>
      <rPr>
        <sz val="11"/>
        <color theme="1"/>
        <rFont val="ＭＳ Ｐゴシック"/>
        <family val="3"/>
        <charset val="128"/>
        <scheme val="minor"/>
      </rPr>
      <t>林百谷源商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</si>
  <si>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</t>
    </r>
  </si>
  <si>
    <r>
      <t>钢</t>
    </r>
    <r>
      <rPr>
        <sz val="11"/>
        <color theme="1"/>
        <rFont val="ＭＳ Ｐゴシック"/>
        <family val="3"/>
        <charset val="128"/>
        <scheme val="minor"/>
      </rPr>
      <t>敢</t>
    </r>
  </si>
  <si>
    <r>
      <t>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</si>
  <si>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娇颜</t>
    </r>
    <r>
      <rPr>
        <sz val="11"/>
        <color theme="1"/>
        <rFont val="ＭＳ Ｐゴシック"/>
        <family val="3"/>
        <charset val="128"/>
        <scheme val="minor"/>
      </rPr>
      <t>日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</si>
  <si>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果酒（含酒精）; 白酒; 米酒</t>
    </r>
  </si>
  <si>
    <t>FARYONMANOR 法园酒庄</t>
  </si>
  <si>
    <r>
      <t xml:space="preserve">黄酒; 葡萄酒;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开胃酒;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</t>
    </r>
  </si>
  <si>
    <r>
      <t>高福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天</t>
    </r>
  </si>
  <si>
    <r>
      <t>河北省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齐</t>
    </r>
    <r>
      <rPr>
        <sz val="11"/>
        <color theme="1"/>
        <rFont val="ＭＳ Ｐゴシック"/>
        <family val="3"/>
        <charset val="128"/>
        <scheme val="minor"/>
      </rPr>
      <t>福文化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</si>
  <si>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白酒; 果酒（含酒精）;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</t>
    </r>
  </si>
  <si>
    <r>
      <t>述</t>
    </r>
    <r>
      <rPr>
        <sz val="11"/>
        <color theme="1"/>
        <rFont val="ＭＳ Ｐゴシック"/>
        <family val="3"/>
        <charset val="134"/>
        <scheme val="minor"/>
      </rPr>
      <t>涧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</si>
  <si>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开胃酒; 白酒; 葡萄酒; 蒸煮提取物（利口酒和烈酒）;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</t>
    </r>
  </si>
  <si>
    <t>PURONI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</si>
  <si>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清酒（日本米酒）;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</si>
  <si>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r>
      <t>海川</t>
    </r>
    <r>
      <rPr>
        <sz val="11"/>
        <color theme="1"/>
        <rFont val="ＭＳ Ｐゴシック"/>
        <family val="3"/>
        <charset val="134"/>
        <scheme val="minor"/>
      </rPr>
      <t>贵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</si>
  <si>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州海川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源酒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</si>
  <si>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食用酒精;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开胃酒;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</si>
  <si>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仕</t>
    </r>
    <r>
      <rPr>
        <sz val="11"/>
        <color theme="1"/>
        <rFont val="ＭＳ Ｐゴシック"/>
        <family val="3"/>
        <charset val="134"/>
        <scheme val="minor"/>
      </rPr>
      <t>缇纷</t>
    </r>
  </si>
  <si>
    <r>
      <t>葡</t>
    </r>
    <r>
      <rPr>
        <sz val="11"/>
        <color theme="1"/>
        <rFont val="ＭＳ Ｐゴシック"/>
        <family val="3"/>
        <charset val="134"/>
        <scheme val="minor"/>
      </rPr>
      <t>闻</t>
    </r>
    <r>
      <rPr>
        <sz val="11"/>
        <color theme="1"/>
        <rFont val="ＭＳ Ｐゴシック"/>
        <family val="3"/>
        <charset val="128"/>
        <scheme val="minor"/>
      </rPr>
      <t>嘉道（北京）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</si>
  <si>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葡萄酒; 白酒;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米酒; 甜酒; 汽酒</t>
    </r>
  </si>
  <si>
    <r>
      <t>一梅</t>
    </r>
    <r>
      <rPr>
        <sz val="11"/>
        <color theme="1"/>
        <rFont val="ＭＳ Ｐゴシック"/>
        <family val="3"/>
        <charset val="134"/>
        <scheme val="minor"/>
      </rPr>
      <t>见</t>
    </r>
    <r>
      <rPr>
        <sz val="11"/>
        <color theme="1"/>
        <rFont val="ＭＳ Ｐゴシック"/>
        <family val="3"/>
        <charset val="128"/>
        <scheme val="minor"/>
      </rPr>
      <t>云</t>
    </r>
  </si>
  <si>
    <t>于茜</t>
  </si>
  <si>
    <r>
      <t>白酒; 黄酒; 葡萄酒; 白干酒（中国白酒）; 高粱酒;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</si>
  <si>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来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福酒庄</t>
    </r>
  </si>
  <si>
    <r>
      <t>河南福之玖酒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</si>
  <si>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食用酒精; 果酒（含酒精）; 开胃酒; 黄酒</t>
    </r>
  </si>
  <si>
    <t>擎文</t>
  </si>
  <si>
    <r>
      <t>万</t>
    </r>
    <r>
      <rPr>
        <sz val="11"/>
        <color theme="1"/>
        <rFont val="ＭＳ Ｐゴシック"/>
        <family val="3"/>
        <charset val="134"/>
        <scheme val="minor"/>
      </rPr>
      <t>伟琼</t>
    </r>
  </si>
  <si>
    <r>
      <t xml:space="preserve">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果酒; 白酒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</si>
  <si>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摘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山生物科技有限公司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</si>
  <si>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苹果酒; 开胃酒; 葡萄酒; 梨酒;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蒸煮提取物（利口酒和烈酒）;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</si>
  <si>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亿</t>
    </r>
    <r>
      <rPr>
        <sz val="11"/>
        <color theme="1"/>
        <rFont val="ＭＳ Ｐゴシック"/>
        <family val="3"/>
        <charset val="128"/>
        <scheme val="minor"/>
      </rPr>
      <t>杯禧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</si>
  <si>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清酒（日本米酒）;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米酒; 白酒; 开胃酒</t>
    </r>
  </si>
  <si>
    <t>竹生力</t>
  </si>
  <si>
    <r>
      <t>长兴</t>
    </r>
    <r>
      <rPr>
        <sz val="11"/>
        <color theme="1"/>
        <rFont val="ＭＳ Ｐゴシック"/>
        <family val="3"/>
        <charset val="128"/>
        <scheme val="minor"/>
      </rPr>
      <t>山竹酒坊</t>
    </r>
  </si>
  <si>
    <r>
      <t>果酒（含酒精）; 开胃酒; 米酒; 黄酒; 白酒; 葡萄酒;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</si>
  <si>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五醍</t>
    </r>
    <r>
      <rPr>
        <sz val="11"/>
        <color theme="1"/>
        <rFont val="ＭＳ Ｐゴシック"/>
        <family val="3"/>
        <charset val="134"/>
        <scheme val="minor"/>
      </rPr>
      <t>浆</t>
    </r>
    <r>
      <rPr>
        <sz val="11"/>
        <color theme="1"/>
        <rFont val="ＭＳ Ｐゴシック"/>
        <family val="3"/>
        <charset val="128"/>
        <scheme val="minor"/>
      </rPr>
      <t>鹿</t>
    </r>
    <r>
      <rPr>
        <sz val="11"/>
        <color theme="1"/>
        <rFont val="ＭＳ Ｐゴシック"/>
        <family val="3"/>
        <charset val="134"/>
        <scheme val="minor"/>
      </rPr>
      <t>鸣</t>
    </r>
  </si>
  <si>
    <r>
      <t>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</si>
  <si>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宋宴序</t>
  </si>
  <si>
    <t>黄厚游</t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</si>
  <si>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果酒（含酒精）; 威士忌; 米酒;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梅酒; 白酒; 清酒（日本米酒）</t>
    </r>
  </si>
  <si>
    <r>
      <t>白露</t>
    </r>
    <r>
      <rPr>
        <sz val="11"/>
        <color theme="1"/>
        <rFont val="ＭＳ Ｐゴシック"/>
        <family val="3"/>
        <charset val="134"/>
        <scheme val="minor"/>
      </rPr>
      <t>谣</t>
    </r>
  </si>
  <si>
    <r>
      <t xml:space="preserve">清酒（日本米酒）;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果酒（含酒精）; 葡萄酒;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</si>
  <si>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白露关</t>
  </si>
  <si>
    <r>
      <t xml:space="preserve">清酒（日本米酒）;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</si>
  <si>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t>北魁南果夫人</t>
  </si>
  <si>
    <r>
      <t>辽</t>
    </r>
    <r>
      <rPr>
        <sz val="11"/>
        <color theme="1"/>
        <rFont val="ＭＳ Ｐゴシック"/>
        <family val="3"/>
        <charset val="128"/>
        <scheme val="minor"/>
      </rPr>
      <t>宁北魁生</t>
    </r>
    <r>
      <rPr>
        <sz val="11"/>
        <color theme="1"/>
        <rFont val="ＭＳ Ｐゴシック"/>
        <family val="3"/>
        <charset val="134"/>
        <scheme val="minor"/>
      </rPr>
      <t>态酿</t>
    </r>
    <r>
      <rPr>
        <sz val="11"/>
        <color theme="1"/>
        <rFont val="ＭＳ Ｐゴシック"/>
        <family val="3"/>
        <charset val="128"/>
        <scheme val="minor"/>
      </rPr>
      <t>酒有限公司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</si>
  <si>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米酒; 汽酒; 葡萄酒;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</t>
    </r>
  </si>
  <si>
    <r>
      <t>碛</t>
    </r>
    <r>
      <rPr>
        <sz val="11"/>
        <color theme="1"/>
        <rFont val="ＭＳ Ｐゴシック"/>
        <family val="3"/>
        <charset val="128"/>
        <scheme val="minor"/>
      </rPr>
      <t>口林家</t>
    </r>
  </si>
  <si>
    <t>林宝玉</t>
  </si>
  <si>
    <r>
      <t xml:space="preserve">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清酒（日本米酒）; 青稞酒;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</si>
  <si>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龙场诸</t>
    </r>
    <r>
      <rPr>
        <sz val="11"/>
        <color theme="1"/>
        <rFont val="ＭＳ Ｐゴシック"/>
        <family val="3"/>
        <charset val="128"/>
        <scheme val="minor"/>
      </rPr>
      <t>生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</si>
  <si>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友旅游投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</si>
  <si>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汽酒; 高粱酒; 米酒; 蒸煮提取物（利口酒和烈酒）; 黄酒</t>
    </r>
  </si>
  <si>
    <r>
      <t>来</t>
    </r>
    <r>
      <rPr>
        <sz val="11"/>
        <color theme="1"/>
        <rFont val="ＭＳ Ｐゴシック"/>
        <family val="3"/>
        <charset val="134"/>
        <scheme val="minor"/>
      </rPr>
      <t>财</t>
    </r>
    <r>
      <rPr>
        <sz val="11"/>
        <color theme="1"/>
        <rFont val="ＭＳ Ｐゴシック"/>
        <family val="3"/>
        <charset val="128"/>
        <scheme val="minor"/>
      </rPr>
      <t>福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</si>
  <si>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果酒（含酒精）;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汽酒</t>
    </r>
  </si>
  <si>
    <r>
      <t>汉凤</t>
    </r>
    <r>
      <rPr>
        <sz val="11"/>
        <color theme="1"/>
        <rFont val="ＭＳ Ｐゴシック"/>
        <family val="3"/>
        <charset val="128"/>
        <scheme val="minor"/>
      </rPr>
      <t>臻</t>
    </r>
  </si>
  <si>
    <r>
      <t>河南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渠粮酒供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</si>
  <si>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白酒; 黄酒; 米酒; 果酒（含酒精）;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葡萄酒</t>
    </r>
  </si>
  <si>
    <t>麓漫漫</t>
  </si>
  <si>
    <r>
      <t>宁夏合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信达科技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</si>
  <si>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利口酒;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</si>
  <si>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起航（山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</si>
  <si>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威士忌; 白酒; 薄荷酒;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</si>
  <si>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味</t>
    </r>
    <r>
      <rPr>
        <sz val="11"/>
        <color theme="1"/>
        <rFont val="ＭＳ Ｐゴシック"/>
        <family val="3"/>
        <charset val="134"/>
        <scheme val="minor"/>
      </rPr>
      <t>鸿坝</t>
    </r>
  </si>
  <si>
    <r>
      <t>江西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瑞</t>
    </r>
    <r>
      <rPr>
        <sz val="11"/>
        <color theme="1"/>
        <rFont val="ＭＳ Ｐゴシック"/>
        <family val="3"/>
        <charset val="134"/>
        <scheme val="minor"/>
      </rPr>
      <t>缘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</si>
  <si>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米酒; 黄酒;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薄荷酒;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</si>
  <si>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白王</t>
    </r>
    <r>
      <rPr>
        <sz val="11"/>
        <color theme="1"/>
        <rFont val="ＭＳ Ｐゴシック"/>
        <family val="3"/>
        <charset val="134"/>
        <scheme val="minor"/>
      </rPr>
      <t>爷</t>
    </r>
  </si>
  <si>
    <r>
      <t>清酒（日本米酒）; 烈酒; 果酒（含酒精）; 开胃酒;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葡萄酒</t>
    </r>
  </si>
  <si>
    <r>
      <t>蓝</t>
    </r>
    <r>
      <rPr>
        <sz val="11"/>
        <color theme="1"/>
        <rFont val="ＭＳ Ｐゴシック"/>
        <family val="3"/>
        <charset val="128"/>
        <scheme val="minor"/>
      </rPr>
      <t>粮虎</t>
    </r>
  </si>
  <si>
    <r>
      <t>海南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粮科技有限公司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</si>
  <si>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食用酒精; 米酒; 伏特加酒;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果酒（含酒精）</t>
    </r>
  </si>
  <si>
    <t>威德天下</t>
  </si>
  <si>
    <r>
      <t>于古</t>
    </r>
    <r>
      <rPr>
        <sz val="11"/>
        <color theme="1"/>
        <rFont val="ＭＳ Ｐゴシック"/>
        <family val="3"/>
        <charset val="129"/>
        <scheme val="minor"/>
      </rPr>
      <t>朵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</si>
  <si>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清酒; 露酒; 白酒;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黄酒; 果酒; 米酒</t>
    </r>
  </si>
  <si>
    <r>
      <t>用</t>
    </r>
    <r>
      <rPr>
        <sz val="11"/>
        <color theme="1"/>
        <rFont val="ＭＳ Ｐゴシック"/>
        <family val="3"/>
        <charset val="134"/>
        <scheme val="minor"/>
      </rPr>
      <t>獭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</si>
  <si>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家口众景健康科技有限公司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</si>
  <si>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白酒; 米酒; 葡萄酒; 果酒（含酒精）</t>
    </r>
  </si>
  <si>
    <t>乾坤十五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</si>
  <si>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伏特加酒;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</si>
  <si>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瓷水河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</si>
  <si>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开胃酒; 清酒（日本米酒）;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蜂蜜酒; 黄酒</t>
    </r>
  </si>
  <si>
    <r>
      <t>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白干酒（中国白酒）</t>
    </r>
  </si>
  <si>
    <r>
      <t>果酒（含酒精）; 白干酒（中国白酒）;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</si>
  <si>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绵</t>
    </r>
    <r>
      <rPr>
        <sz val="11"/>
        <color theme="1"/>
        <rFont val="ＭＳ Ｐゴシック"/>
        <family val="3"/>
        <charset val="128"/>
        <scheme val="minor"/>
      </rPr>
      <t>王</t>
    </r>
    <r>
      <rPr>
        <sz val="11"/>
        <color theme="1"/>
        <rFont val="ＭＳ Ｐゴシック"/>
        <family val="3"/>
        <charset val="134"/>
        <scheme val="minor"/>
      </rPr>
      <t>绵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</si>
  <si>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徐建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</si>
  <si>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果酒（含酒精）; 利口酒;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</si>
  <si>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小醺</t>
    </r>
  </si>
  <si>
    <r>
      <t>朱</t>
    </r>
    <r>
      <rPr>
        <sz val="11"/>
        <color theme="1"/>
        <rFont val="ＭＳ Ｐゴシック"/>
        <family val="3"/>
        <charset val="134"/>
        <scheme val="minor"/>
      </rPr>
      <t>鹤</t>
    </r>
    <r>
      <rPr>
        <sz val="11"/>
        <color theme="1"/>
        <rFont val="ＭＳ Ｐゴシック"/>
        <family val="3"/>
        <charset val="128"/>
        <scheme val="minor"/>
      </rPr>
      <t>汀(</t>
    </r>
    <r>
      <rPr>
        <sz val="11"/>
        <color theme="1"/>
        <rFont val="ＭＳ Ｐゴシック"/>
        <family val="3"/>
        <charset val="134"/>
        <scheme val="minor"/>
      </rPr>
      <t>绍兴</t>
    </r>
    <r>
      <rPr>
        <sz val="11"/>
        <color theme="1"/>
        <rFont val="ＭＳ Ｐゴシック"/>
        <family val="3"/>
        <charset val="128"/>
        <scheme val="minor"/>
      </rPr>
      <t>)黄酒文化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</si>
  <si>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甘蔗制烈酒; 米酒;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</si>
  <si>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鳛</t>
    </r>
    <r>
      <rPr>
        <sz val="11"/>
        <color theme="1"/>
        <rFont val="ＭＳ Ｐゴシック"/>
        <family val="3"/>
        <charset val="128"/>
        <scheme val="minor"/>
      </rPr>
      <t>国故里文化</t>
    </r>
    <r>
      <rPr>
        <sz val="11"/>
        <color theme="1"/>
        <rFont val="ＭＳ Ｐゴシック"/>
        <family val="3"/>
        <charset val="134"/>
        <scheme val="minor"/>
      </rPr>
      <t>产业发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</si>
  <si>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 xml:space="preserve">威士忌;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</si>
  <si>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极光王</t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</si>
  <si>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梨酒; 苹果酒; 葡萄酒;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蜂蜜酒; 米酒</t>
    </r>
  </si>
  <si>
    <t>古夜赫韵</t>
  </si>
  <si>
    <r>
      <t xml:space="preserve">开胃酒;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白酒</t>
    </r>
  </si>
  <si>
    <r>
      <t>荣</t>
    </r>
    <r>
      <rPr>
        <sz val="11"/>
        <color theme="1"/>
        <rFont val="ＭＳ Ｐゴシック"/>
        <family val="3"/>
        <charset val="134"/>
        <scheme val="minor"/>
      </rPr>
      <t>亚烧</t>
    </r>
    <r>
      <rPr>
        <sz val="11"/>
        <color theme="1"/>
        <rFont val="ＭＳ Ｐゴシック"/>
        <family val="3"/>
        <charset val="128"/>
        <scheme val="minor"/>
      </rPr>
      <t>坊</t>
    </r>
  </si>
  <si>
    <r>
      <t>青稞酒; 白酒; 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清酒（日本米酒）; 开胃酒</t>
    </r>
  </si>
  <si>
    <t>阿克哈巴</t>
  </si>
  <si>
    <r>
      <t>闫</t>
    </r>
    <r>
      <rPr>
        <sz val="11"/>
        <color theme="1"/>
        <rFont val="ＭＳ Ｐゴシック"/>
        <family val="3"/>
        <charset val="128"/>
        <scheme val="minor"/>
      </rPr>
      <t>明月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</si>
  <si>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开胃酒;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</si>
  <si>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东</t>
    </r>
    <r>
      <rPr>
        <sz val="11"/>
        <color theme="1"/>
        <rFont val="ＭＳ Ｐゴシック"/>
        <family val="3"/>
        <charset val="128"/>
        <scheme val="minor"/>
      </rPr>
      <t>若夏</t>
    </r>
  </si>
  <si>
    <r>
      <t>容城</t>
    </r>
    <r>
      <rPr>
        <sz val="11"/>
        <color theme="1"/>
        <rFont val="ＭＳ Ｐゴシック"/>
        <family val="3"/>
        <charset val="134"/>
        <scheme val="minor"/>
      </rPr>
      <t>县铭</t>
    </r>
    <r>
      <rPr>
        <sz val="11"/>
        <color theme="1"/>
        <rFont val="ＭＳ Ｐゴシック"/>
        <family val="3"/>
        <charset val="128"/>
        <scheme val="minor"/>
      </rPr>
      <t>玖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</si>
  <si>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食用酒精;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含酒精的气泡水;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汽酒</t>
    </r>
  </si>
  <si>
    <t>LOU MAO HOENG</t>
  </si>
  <si>
    <r>
      <t>陈</t>
    </r>
    <r>
      <rPr>
        <sz val="11"/>
        <color theme="1"/>
        <rFont val="ＭＳ Ｐゴシック"/>
        <family val="3"/>
        <charset val="128"/>
        <scheme val="minor"/>
      </rPr>
      <t>耀光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</si>
  <si>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杜松子酒; 朗姆酒; 白酒; 威士忌; 米酒; 葡萄酒; 伏特加酒</t>
    </r>
  </si>
  <si>
    <t>王保姆</t>
  </si>
  <si>
    <r>
      <t>龙</t>
    </r>
    <r>
      <rPr>
        <sz val="11"/>
        <color theme="1"/>
        <rFont val="ＭＳ Ｐゴシック"/>
        <family val="3"/>
        <charset val="128"/>
        <scheme val="minor"/>
      </rPr>
      <t>海市澄福食品有限公司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</si>
  <si>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米酒; 开胃酒;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果酒（含酒精）; 葡萄酒; 汽酒</t>
    </r>
  </si>
  <si>
    <r>
      <t>谢</t>
    </r>
    <r>
      <rPr>
        <sz val="11"/>
        <color theme="1"/>
        <rFont val="ＭＳ Ｐゴシック"/>
        <family val="3"/>
        <charset val="128"/>
        <scheme val="minor"/>
      </rPr>
      <t>阳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</si>
  <si>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葡萄酒; 黄酒; 威士忌; 清酒; 白酒; 伏特加酒</t>
    </r>
  </si>
  <si>
    <r>
      <t>呼</t>
    </r>
    <r>
      <rPr>
        <sz val="11"/>
        <color theme="1"/>
        <rFont val="ＭＳ Ｐゴシック"/>
        <family val="3"/>
        <charset val="134"/>
        <scheme val="minor"/>
      </rPr>
      <t>伦贝尔</t>
    </r>
    <r>
      <rPr>
        <sz val="11"/>
        <color theme="1"/>
        <rFont val="ＭＳ Ｐゴシック"/>
        <family val="3"/>
        <charset val="128"/>
        <scheme val="minor"/>
      </rPr>
      <t>蒙旗家商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</si>
  <si>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薄荷酒; 食用酒精;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</si>
  <si>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大</t>
    </r>
  </si>
  <si>
    <r>
      <t>济</t>
    </r>
    <r>
      <rPr>
        <sz val="11"/>
        <color theme="1"/>
        <rFont val="ＭＳ Ｐゴシック"/>
        <family val="3"/>
        <charset val="128"/>
        <scheme val="minor"/>
      </rPr>
      <t>南大学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</si>
  <si>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白葡萄酒; 白酒;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果酒（含酒精）; 水果汽酒</t>
    </r>
  </si>
  <si>
    <t>深言</t>
  </si>
  <si>
    <r>
      <t>刘</t>
    </r>
    <r>
      <rPr>
        <sz val="11"/>
        <color theme="1"/>
        <rFont val="ＭＳ Ｐゴシック"/>
        <family val="3"/>
        <charset val="134"/>
        <scheme val="minor"/>
      </rPr>
      <t>勋</t>
    </r>
  </si>
  <si>
    <r>
      <t>开胃酒; 果酒（含酒精）; 烈酒;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葡萄酒; 清酒（日本米酒）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</si>
  <si>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鎏</t>
    </r>
  </si>
  <si>
    <t>梁国荣</t>
  </si>
  <si>
    <r>
      <t xml:space="preserve">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白酒; 开胃酒; 清酒（日本米酒）;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</si>
  <si>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蕉往</t>
  </si>
  <si>
    <r>
      <t>义乌</t>
    </r>
    <r>
      <rPr>
        <sz val="11"/>
        <color theme="1"/>
        <rFont val="ＭＳ Ｐゴシック"/>
        <family val="3"/>
        <charset val="128"/>
        <scheme val="minor"/>
      </rPr>
      <t>市港田企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</si>
  <si>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白酒; 薄荷酒;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果酒; 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</si>
  <si>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湖北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夫子酒店有限公司</t>
    </r>
  </si>
  <si>
    <r>
      <t xml:space="preserve">露酒; 黄酒; 白酒; 清酒; 甜酒;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果酒; 米酒</t>
    </r>
  </si>
  <si>
    <t>珩大</t>
  </si>
  <si>
    <r>
      <t>雷春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</si>
  <si>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>米酒;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葡萄酒; 蜂蜜酒; 黄酒; 白酒; 汽酒</t>
    </r>
  </si>
  <si>
    <r>
      <t>廉</t>
    </r>
    <r>
      <rPr>
        <sz val="11"/>
        <color theme="1"/>
        <rFont val="ＭＳ Ｐゴシック"/>
        <family val="3"/>
        <charset val="134"/>
        <scheme val="minor"/>
      </rPr>
      <t>释</t>
    </r>
  </si>
  <si>
    <r>
      <t>山西羚羊文</t>
    </r>
    <r>
      <rPr>
        <sz val="11"/>
        <color theme="1"/>
        <rFont val="ＭＳ Ｐゴシック"/>
        <family val="3"/>
        <charset val="134"/>
        <scheme val="minor"/>
      </rPr>
      <t>创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</si>
  <si>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新</t>
    </r>
    <r>
      <rPr>
        <sz val="11"/>
        <color theme="1"/>
        <rFont val="ＭＳ Ｐゴシック"/>
        <family val="3"/>
        <charset val="134"/>
        <scheme val="minor"/>
      </rPr>
      <t>桦树</t>
    </r>
    <r>
      <rPr>
        <sz val="11"/>
        <color theme="1"/>
        <rFont val="ＭＳ Ｐゴシック"/>
        <family val="3"/>
        <charset val="128"/>
        <scheme val="minor"/>
      </rPr>
      <t>人</t>
    </r>
  </si>
  <si>
    <t>虎林市杰杰食品有限公司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</si>
  <si>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黄酒; 高粱酒; 汽酒</t>
    </r>
  </si>
  <si>
    <r>
      <t>刘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哥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</si>
  <si>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市江津区当津酒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</si>
  <si>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梅酒; 米酒;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黄酒; 清酒; 葡萄酒;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高粱酒</t>
    </r>
  </si>
  <si>
    <t>敬千朝</t>
  </si>
  <si>
    <r>
      <t>清酒（日本米酒）;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烈酒; 开胃酒; 葡萄酒</t>
    </r>
  </si>
  <si>
    <r>
      <t>昌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延美</t>
    </r>
  </si>
  <si>
    <t>聊城市延美食品有限公司</t>
  </si>
  <si>
    <r>
      <t>米酒; 果酒（含酒精）; 开胃酒; 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高粱酒</t>
    </r>
  </si>
  <si>
    <t>春福姐</t>
  </si>
  <si>
    <t>袁迎春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</si>
  <si>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果酒（含酒精）; 葡萄酒; 威士忌; 黄酒; 米酒</t>
    </r>
  </si>
  <si>
    <r>
      <t>享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宝</t>
    </r>
  </si>
  <si>
    <r>
      <t>四川省众生未来干</t>
    </r>
    <r>
      <rPr>
        <sz val="11"/>
        <color theme="1"/>
        <rFont val="ＭＳ Ｐゴシック"/>
        <family val="3"/>
        <charset val="134"/>
        <scheme val="minor"/>
      </rPr>
      <t>细</t>
    </r>
    <r>
      <rPr>
        <sz val="11"/>
        <color theme="1"/>
        <rFont val="ＭＳ Ｐゴシック"/>
        <family val="3"/>
        <charset val="128"/>
        <scheme val="minor"/>
      </rPr>
      <t>胞科技有限公司</t>
    </r>
  </si>
  <si>
    <r>
      <t>葡萄酒;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青稞酒; 食用酒精</t>
    </r>
  </si>
  <si>
    <t>法舒蔓</t>
  </si>
  <si>
    <r>
      <t>香港梵笛儿国</t>
    </r>
    <r>
      <rPr>
        <sz val="11"/>
        <color theme="1"/>
        <rFont val="ＭＳ Ｐゴシック"/>
        <family val="3"/>
        <charset val="134"/>
        <scheme val="minor"/>
      </rPr>
      <t>际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</si>
  <si>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白酒;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开胃酒; 威士忌; 葡萄酒</t>
    </r>
  </si>
  <si>
    <r>
      <t>鸿</t>
    </r>
    <r>
      <rPr>
        <sz val="11"/>
        <color theme="1"/>
        <rFont val="ＭＳ Ｐゴシック"/>
        <family val="3"/>
        <charset val="128"/>
        <scheme val="minor"/>
      </rPr>
      <t>乾福</t>
    </r>
    <r>
      <rPr>
        <sz val="11"/>
        <color theme="1"/>
        <rFont val="ＭＳ Ｐゴシック"/>
        <family val="3"/>
        <charset val="134"/>
        <scheme val="minor"/>
      </rPr>
      <t>济</t>
    </r>
    <r>
      <rPr>
        <sz val="11"/>
        <color theme="1"/>
        <rFont val="ＭＳ Ｐゴシック"/>
        <family val="3"/>
        <charset val="128"/>
        <scheme val="minor"/>
      </rPr>
      <t>安</t>
    </r>
  </si>
  <si>
    <r>
      <t>张</t>
    </r>
    <r>
      <rPr>
        <sz val="11"/>
        <color theme="1"/>
        <rFont val="ＭＳ Ｐゴシック"/>
        <family val="3"/>
        <charset val="129"/>
        <scheme val="minor"/>
      </rPr>
      <t>洁</t>
    </r>
  </si>
  <si>
    <r>
      <t>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食用酒精; 露酒;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白酒; 烈酒;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果酒; 高粱酒; 黄酒</t>
    </r>
  </si>
  <si>
    <t>黔磊</t>
  </si>
  <si>
    <t>林尤安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</si>
  <si>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威士忌; 烈酒; 高粱酒; 白酒; 果酒（含酒精）</t>
    </r>
  </si>
  <si>
    <t>梁貊</t>
  </si>
  <si>
    <r>
      <t>梁十二</t>
    </r>
    <r>
      <rPr>
        <sz val="11"/>
        <color theme="1"/>
        <rFont val="ＭＳ Ｐゴシック"/>
        <family val="3"/>
        <charset val="134"/>
        <scheme val="minor"/>
      </rPr>
      <t>艺术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（海南）有限公司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</si>
  <si>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</si>
  <si>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玖</t>
    </r>
    <r>
      <rPr>
        <sz val="11"/>
        <color theme="1"/>
        <rFont val="ＭＳ Ｐゴシック"/>
        <family val="3"/>
        <charset val="134"/>
        <scheme val="minor"/>
      </rPr>
      <t>酝</t>
    </r>
    <r>
      <rPr>
        <sz val="11"/>
        <color theme="1"/>
        <rFont val="ＭＳ Ｐゴシック"/>
        <family val="3"/>
        <charset val="128"/>
        <scheme val="minor"/>
      </rPr>
      <t>客</t>
    </r>
  </si>
  <si>
    <r>
      <t>保定九</t>
    </r>
    <r>
      <rPr>
        <sz val="11"/>
        <color theme="1"/>
        <rFont val="ＭＳ Ｐゴシック"/>
        <family val="3"/>
        <charset val="134"/>
        <scheme val="minor"/>
      </rPr>
      <t>酝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</si>
  <si>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朗姆酒; 伏特加酒; 黄酒; 利口酒</t>
    </r>
  </si>
  <si>
    <t>知雄</t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</si>
  <si>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瀛元酒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</si>
  <si>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高粱酒; 果酒</t>
    </r>
  </si>
  <si>
    <r>
      <t>天津市大天津食品商厦有限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</si>
  <si>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果酒（含酒精）; 薄荷酒;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黄酒</t>
    </r>
  </si>
  <si>
    <r>
      <t>落</t>
    </r>
    <r>
      <rPr>
        <sz val="11"/>
        <color theme="1"/>
        <rFont val="ＭＳ Ｐゴシック"/>
        <family val="3"/>
        <charset val="134"/>
        <scheme val="minor"/>
      </rPr>
      <t>蓝</t>
    </r>
  </si>
  <si>
    <r>
      <t>上海落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</si>
  <si>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 xml:space="preserve">利口酒;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含酒精的气泡水; 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</si>
  <si>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轲澜沣</t>
  </si>
  <si>
    <r>
      <t>陈锡</t>
    </r>
    <r>
      <rPr>
        <sz val="11"/>
        <color theme="1"/>
        <rFont val="ＭＳ Ｐゴシック"/>
        <family val="3"/>
        <charset val="128"/>
        <scheme val="minor"/>
      </rPr>
      <t>川</t>
    </r>
  </si>
  <si>
    <r>
      <t>黄酒;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高粱酒</t>
    </r>
  </si>
  <si>
    <t>美达达</t>
  </si>
  <si>
    <r>
      <t>莒南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美达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力</t>
    </r>
    <r>
      <rPr>
        <sz val="11"/>
        <color theme="1"/>
        <rFont val="ＭＳ Ｐゴシック"/>
        <family val="3"/>
        <charset val="134"/>
        <scheme val="minor"/>
      </rPr>
      <t>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</si>
  <si>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黄酒; 干型苹果酒;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不起泡葡萄酒; 汽酒; 开胃酒</t>
    </r>
  </si>
  <si>
    <t>天武将</t>
  </si>
  <si>
    <t>周天武</t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</si>
  <si>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</si>
  <si>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丁阿福</t>
  </si>
  <si>
    <t>宋霞</t>
  </si>
  <si>
    <r>
      <t>葡萄酒; 黄酒; 果酒（含酒精）;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白酒; 米酒; 清酒</t>
    </r>
  </si>
  <si>
    <r>
      <t>辰星</t>
    </r>
    <r>
      <rPr>
        <sz val="11"/>
        <color theme="1"/>
        <rFont val="ＭＳ Ｐゴシック"/>
        <family val="3"/>
        <charset val="134"/>
        <scheme val="minor"/>
      </rPr>
      <t>欢</t>
    </r>
    <r>
      <rPr>
        <sz val="11"/>
        <color theme="1"/>
        <rFont val="ＭＳ Ｐゴシック"/>
        <family val="3"/>
        <charset val="128"/>
        <scheme val="minor"/>
      </rPr>
      <t>伯</t>
    </r>
  </si>
  <si>
    <r>
      <t>北京辰星</t>
    </r>
    <r>
      <rPr>
        <sz val="11"/>
        <color theme="1"/>
        <rFont val="ＭＳ Ｐゴシック"/>
        <family val="3"/>
        <charset val="134"/>
        <scheme val="minor"/>
      </rPr>
      <t>欢</t>
    </r>
    <r>
      <rPr>
        <sz val="11"/>
        <color theme="1"/>
        <rFont val="ＭＳ Ｐゴシック"/>
        <family val="3"/>
        <charset val="128"/>
        <scheme val="minor"/>
      </rPr>
      <t>伯品牌管理有限公司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</si>
  <si>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青稞酒; 葡萄酒; 甜酒; 清酒（日本米酒）; 米酒; 威士忌; 餐后酒（利口酒和烈酒）; 白酒; 黄酒</t>
    </r>
  </si>
  <si>
    <t>亮泉台子</t>
  </si>
  <si>
    <r>
      <t>辽</t>
    </r>
    <r>
      <rPr>
        <sz val="11"/>
        <color theme="1"/>
        <rFont val="ＭＳ Ｐゴシック"/>
        <family val="3"/>
        <charset val="128"/>
        <scheme val="minor"/>
      </rPr>
      <t>宁省亮泉酒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</si>
  <si>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烈酒; 黄酒; 果酒;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</t>
    </r>
  </si>
  <si>
    <t>白露吟</t>
  </si>
  <si>
    <r>
      <t>黄酒; 果酒（含酒精）;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烈酒;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清酒（日本米酒）</t>
    </r>
  </si>
  <si>
    <r>
      <t>探野</t>
    </r>
    <r>
      <rPr>
        <sz val="11"/>
        <color theme="1"/>
        <rFont val="ＭＳ Ｐゴシック"/>
        <family val="3"/>
        <charset val="134"/>
        <scheme val="minor"/>
      </rPr>
      <t>觅</t>
    </r>
    <r>
      <rPr>
        <sz val="11"/>
        <color theme="1"/>
        <rFont val="ＭＳ Ｐゴシック"/>
        <family val="3"/>
        <charset val="128"/>
        <scheme val="minor"/>
      </rPr>
      <t>珍</t>
    </r>
  </si>
  <si>
    <r>
      <t>厦</t>
    </r>
    <r>
      <rPr>
        <sz val="11"/>
        <color theme="1"/>
        <rFont val="ＭＳ Ｐゴシック"/>
        <family val="3"/>
        <charset val="134"/>
        <scheme val="minor"/>
      </rPr>
      <t>门</t>
    </r>
    <r>
      <rPr>
        <sz val="11"/>
        <color theme="1"/>
        <rFont val="ＭＳ Ｐゴシック"/>
        <family val="3"/>
        <charset val="128"/>
        <scheme val="minor"/>
      </rPr>
      <t>奥</t>
    </r>
    <r>
      <rPr>
        <sz val="11"/>
        <color theme="1"/>
        <rFont val="ＭＳ Ｐゴシック"/>
        <family val="3"/>
        <charset val="134"/>
        <scheme val="minor"/>
      </rPr>
      <t>扬传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</si>
  <si>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葡萄酒; 白酒;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米酒; 伏特加酒; 清酒; 青梅酒; 水果汽酒</t>
    </r>
  </si>
  <si>
    <t>雪福勒城堡</t>
  </si>
  <si>
    <r>
      <t>北京醇香美</t>
    </r>
    <r>
      <rPr>
        <sz val="11"/>
        <color theme="1"/>
        <rFont val="ＭＳ Ｐゴシック"/>
        <family val="3"/>
        <charset val="134"/>
        <scheme val="minor"/>
      </rPr>
      <t>汇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</si>
  <si>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烈酒; 葡萄酒; 威士忌;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</si>
  <si>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红</t>
    </r>
    <r>
      <rPr>
        <sz val="11"/>
        <color theme="1"/>
        <rFont val="ＭＳ Ｐゴシック"/>
        <family val="3"/>
        <charset val="128"/>
        <scheme val="minor"/>
      </rPr>
      <t>魔漫</t>
    </r>
    <r>
      <rPr>
        <sz val="11"/>
        <color theme="1"/>
        <rFont val="ＭＳ Ｐゴシック"/>
        <family val="3"/>
        <charset val="134"/>
        <scheme val="minor"/>
      </rPr>
      <t>联</t>
    </r>
  </si>
  <si>
    <r>
      <t>上海魔都梦国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</si>
  <si>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伏特加酒;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</si>
  <si>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r>
      <t>垭</t>
    </r>
    <r>
      <rPr>
        <sz val="11"/>
        <color theme="1"/>
        <rFont val="ＭＳ Ｐゴシック"/>
        <family val="3"/>
        <charset val="128"/>
        <scheme val="minor"/>
      </rPr>
      <t>玫</t>
    </r>
    <r>
      <rPr>
        <sz val="11"/>
        <color theme="1"/>
        <rFont val="ＭＳ Ｐゴシック"/>
        <family val="3"/>
        <charset val="134"/>
        <scheme val="minor"/>
      </rPr>
      <t>风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</si>
  <si>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州京</t>
    </r>
    <r>
      <rPr>
        <sz val="11"/>
        <color theme="1"/>
        <rFont val="ＭＳ Ｐゴシック"/>
        <family val="3"/>
        <charset val="134"/>
        <scheme val="minor"/>
      </rPr>
      <t>谭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</si>
  <si>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主的中式白酒; 黄酒; 白干酒（中国白酒）</t>
    </r>
  </si>
  <si>
    <t>穗千粱</t>
  </si>
  <si>
    <t>李吉春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</si>
  <si>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餐后酒（利口酒和烈酒）;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葡萄酒; 白酒</t>
    </r>
  </si>
  <si>
    <r>
      <t>葡野</t>
    </r>
    <r>
      <rPr>
        <sz val="11"/>
        <color theme="1"/>
        <rFont val="ＭＳ Ｐゴシック"/>
        <family val="3"/>
        <charset val="134"/>
        <scheme val="minor"/>
      </rPr>
      <t>枫</t>
    </r>
  </si>
  <si>
    <r>
      <t>邯</t>
    </r>
    <r>
      <rPr>
        <sz val="11"/>
        <color theme="1"/>
        <rFont val="ＭＳ Ｐゴシック"/>
        <family val="3"/>
        <charset val="134"/>
        <scheme val="minor"/>
      </rPr>
      <t>郸</t>
    </r>
    <r>
      <rPr>
        <sz val="11"/>
        <color theme="1"/>
        <rFont val="ＭＳ Ｐゴシック"/>
        <family val="3"/>
        <charset val="128"/>
        <scheme val="minor"/>
      </rPr>
      <t>丰</t>
    </r>
    <r>
      <rPr>
        <sz val="11"/>
        <color theme="1"/>
        <rFont val="ＭＳ Ｐゴシック"/>
        <family val="3"/>
        <charset val="134"/>
        <scheme val="minor"/>
      </rPr>
      <t>烁农业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</si>
  <si>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水果汽酒; 白葡萄酒;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</si>
  <si>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疆上天羽</t>
  </si>
  <si>
    <t>薛梅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</si>
  <si>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高粱酒; 白酒; 梅酒; 梨酒; 甜酒; 清酒; 白干酒（中国白酒）</t>
    </r>
  </si>
  <si>
    <t>稻岳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</si>
  <si>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清酒（日本米酒）; 威士忌; 果酒（含酒精）; 白酒; 烈酒;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</t>
    </r>
  </si>
  <si>
    <t>得尽台子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</si>
  <si>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白酒; 黄酒; 葡萄酒; 米酒;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</si>
  <si>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湖南店商豹网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</si>
  <si>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黄酒; 苹果酒; 伏特加酒;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</t>
    </r>
  </si>
  <si>
    <t>那山禧物</t>
  </si>
  <si>
    <r>
      <t>桂林那山文化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</si>
  <si>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白酒;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食用酒精;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</si>
  <si>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花溪沐</t>
  </si>
  <si>
    <t>本溪花溪沐温泉酒店有限公司</t>
  </si>
  <si>
    <r>
      <t xml:space="preserve">青梅酒; 果酒;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白酒; 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</si>
  <si>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福筠</t>
  </si>
  <si>
    <t>于帆</t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</si>
  <si>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甜酒;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</si>
  <si>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铃</t>
    </r>
    <r>
      <rPr>
        <sz val="11"/>
        <color theme="1"/>
        <rFont val="ＭＳ Ｐゴシック"/>
        <family val="3"/>
        <charset val="128"/>
        <scheme val="minor"/>
      </rPr>
      <t>音谷</t>
    </r>
  </si>
  <si>
    <r>
      <t>龚</t>
    </r>
    <r>
      <rPr>
        <sz val="11"/>
        <color theme="1"/>
        <rFont val="ＭＳ Ｐゴシック"/>
        <family val="3"/>
        <charset val="128"/>
        <scheme val="minor"/>
      </rPr>
      <t>忠祥</t>
    </r>
  </si>
  <si>
    <r>
      <t xml:space="preserve">果酒（含酒精）; 草莓酒; 葡萄酒;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梅酒; 果酒; 白酒; 高粱酒; 甜果酒; 米酒; 苹果酒</t>
    </r>
  </si>
  <si>
    <t>津小沪</t>
  </si>
  <si>
    <r>
      <t>杨</t>
    </r>
    <r>
      <rPr>
        <sz val="11"/>
        <color theme="1"/>
        <rFont val="ＭＳ Ｐゴシック"/>
        <family val="3"/>
        <charset val="128"/>
        <scheme val="minor"/>
      </rPr>
      <t>海健</t>
    </r>
  </si>
  <si>
    <r>
      <t xml:space="preserve">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果酒; 米酒; 葡萄酒; 白酒; 黄酒; 甜酒</t>
    </r>
  </si>
  <si>
    <r>
      <t>汮</t>
    </r>
    <r>
      <rPr>
        <sz val="11"/>
        <color theme="1"/>
        <rFont val="ＭＳ Ｐゴシック"/>
        <family val="3"/>
        <charset val="128"/>
        <scheme val="minor"/>
      </rPr>
      <t>沾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</si>
  <si>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清酒（日本米酒）; 烈酒; 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青稞酒</t>
    </r>
  </si>
  <si>
    <t>夺赢</t>
  </si>
  <si>
    <r>
      <t>黄酒;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葡萄酒; 白酒; 果酒; 开胃酒</t>
    </r>
  </si>
  <si>
    <r>
      <t>耘</t>
    </r>
    <r>
      <rPr>
        <sz val="11"/>
        <color theme="1"/>
        <rFont val="ＭＳ Ｐゴシック"/>
        <family val="3"/>
        <charset val="134"/>
        <scheme val="minor"/>
      </rPr>
      <t>穑</t>
    </r>
    <r>
      <rPr>
        <sz val="11"/>
        <color theme="1"/>
        <rFont val="ＭＳ Ｐゴシック"/>
        <family val="3"/>
        <charset val="128"/>
        <scheme val="minor"/>
      </rPr>
      <t>美</t>
    </r>
  </si>
  <si>
    <r>
      <t>云南名</t>
    </r>
    <r>
      <rPr>
        <sz val="11"/>
        <color theme="1"/>
        <rFont val="ＭＳ Ｐゴシック"/>
        <family val="3"/>
        <charset val="134"/>
        <scheme val="minor"/>
      </rPr>
      <t>扬</t>
    </r>
    <r>
      <rPr>
        <sz val="11"/>
        <color theme="1"/>
        <rFont val="ＭＳ Ｐゴシック"/>
        <family val="3"/>
        <charset val="128"/>
        <scheme val="minor"/>
      </rPr>
      <t>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</si>
  <si>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白酒; 露酒; 甜酒;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蜂蜜酒;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梅酒; 蝮蛇酒; 果酒（含酒精）</t>
    </r>
  </si>
  <si>
    <r>
      <t>美双</t>
    </r>
    <r>
      <rPr>
        <sz val="11"/>
        <color theme="1"/>
        <rFont val="ＭＳ Ｐゴシック"/>
        <family val="3"/>
        <charset val="134"/>
        <scheme val="minor"/>
      </rPr>
      <t>树</t>
    </r>
  </si>
  <si>
    <r>
      <t>刘海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</si>
  <si>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</si>
  <si>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VILLA DENSON</t>
  </si>
  <si>
    <t>李秋来</t>
  </si>
  <si>
    <r>
      <t>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苹果酒; 白酒; 开胃酒;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</si>
  <si>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西域腊妃</t>
  </si>
  <si>
    <t>任新庄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</si>
  <si>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汽酒;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</si>
  <si>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上魁</t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</si>
  <si>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开胃酒;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威士忌</t>
    </r>
  </si>
  <si>
    <r>
      <t>享</t>
    </r>
    <r>
      <rPr>
        <sz val="11"/>
        <color theme="1"/>
        <rFont val="ＭＳ Ｐゴシック"/>
        <family val="3"/>
        <charset val="134"/>
        <scheme val="minor"/>
      </rPr>
      <t>爱贝</t>
    </r>
  </si>
  <si>
    <r>
      <t xml:space="preserve">葡萄酒; 米酒; 烈酒;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青稞酒; 食用酒精; 黄酒; 清酒（日本米酒）</t>
    </r>
  </si>
  <si>
    <t>老涛</t>
  </si>
  <si>
    <r>
      <t>葡萄酒; 开胃酒; 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</t>
    </r>
  </si>
  <si>
    <t>秘之基</t>
  </si>
  <si>
    <r>
      <t>韩</t>
    </r>
    <r>
      <rPr>
        <sz val="11"/>
        <color theme="1"/>
        <rFont val="ＭＳ Ｐゴシック"/>
        <family val="3"/>
        <charset val="128"/>
        <scheme val="minor"/>
      </rPr>
      <t>斌武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</si>
  <si>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果酒（含酒精）;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伏特加酒;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</si>
  <si>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舟仙</t>
    </r>
  </si>
  <si>
    <t>朱秀梅</t>
  </si>
  <si>
    <r>
      <t>葡萄酒; 开胃酒;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</si>
  <si>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攀</t>
    </r>
    <r>
      <rPr>
        <sz val="11"/>
        <color theme="1"/>
        <rFont val="ＭＳ Ｐゴシック"/>
        <family val="3"/>
        <charset val="134"/>
        <scheme val="minor"/>
      </rPr>
      <t>师</t>
    </r>
    <r>
      <rPr>
        <sz val="11"/>
        <color theme="1"/>
        <rFont val="ＭＳ Ｐゴシック"/>
        <family val="3"/>
        <charset val="128"/>
        <scheme val="minor"/>
      </rPr>
      <t>傅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</si>
  <si>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海攀</t>
    </r>
  </si>
  <si>
    <r>
      <t xml:space="preserve">果酒（含酒精）; 白酒; 米酒; 开胃酒;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</t>
    </r>
  </si>
  <si>
    <t>苗盛伊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</si>
  <si>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州苗盛伊健康科技有限公司</t>
    </r>
  </si>
  <si>
    <r>
      <t xml:space="preserve">葡萄酒; 米酒; 白酒; 高粱酒; 清酒;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</si>
  <si>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SINGFOLDS</t>
  </si>
  <si>
    <r>
      <t>黎巴左岸（深圳）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</si>
  <si>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杜松子酒;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汽酒; 朗姆酒; 伏特加酒;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</si>
  <si>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神意</t>
    </r>
    <r>
      <rPr>
        <sz val="11"/>
        <color theme="1"/>
        <rFont val="ＭＳ Ｐゴシック"/>
        <family val="3"/>
        <charset val="134"/>
        <scheme val="minor"/>
      </rPr>
      <t>顺</t>
    </r>
  </si>
  <si>
    <r>
      <t>河源市万</t>
    </r>
    <r>
      <rPr>
        <sz val="11"/>
        <color theme="1"/>
        <rFont val="ＭＳ Ｐゴシック"/>
        <family val="3"/>
        <charset val="134"/>
        <scheme val="minor"/>
      </rPr>
      <t>绿农</t>
    </r>
    <r>
      <rPr>
        <sz val="11"/>
        <color theme="1"/>
        <rFont val="ＭＳ Ｐゴシック"/>
        <family val="3"/>
        <charset val="128"/>
        <scheme val="minor"/>
      </rPr>
      <t>夫食品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</si>
  <si>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黄酒; 果酒（含酒精）; 烈酒;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佐餐酒;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白酒;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</si>
  <si>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佶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</si>
  <si>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福建佶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机械科技股份有限公司</t>
    </r>
  </si>
  <si>
    <r>
      <t xml:space="preserve">蒸煮提取物（利口酒和烈酒）;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白干酒（中国白酒）; 清酒</t>
    </r>
  </si>
  <si>
    <r>
      <t>沽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裕民</t>
    </r>
  </si>
  <si>
    <r>
      <t>沽源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丰</t>
    </r>
    <r>
      <rPr>
        <sz val="11"/>
        <color theme="1"/>
        <rFont val="ＭＳ Ｐゴシック"/>
        <family val="3"/>
        <charset val="134"/>
        <scheme val="minor"/>
      </rPr>
      <t>硕</t>
    </r>
    <r>
      <rPr>
        <sz val="11"/>
        <color theme="1"/>
        <rFont val="ＭＳ Ｐゴシック"/>
        <family val="3"/>
        <charset val="128"/>
        <scheme val="minor"/>
      </rPr>
      <t>种植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</si>
  <si>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食用酒精; 白酒; 葡萄酒; 青稞酒; 米酒;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</si>
  <si>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昇今墨</t>
    </r>
  </si>
  <si>
    <r>
      <t>江</t>
    </r>
    <r>
      <rPr>
        <sz val="11"/>
        <color theme="1"/>
        <rFont val="ＭＳ Ｐゴシック"/>
        <family val="3"/>
        <charset val="134"/>
        <scheme val="minor"/>
      </rPr>
      <t>苏龙</t>
    </r>
    <r>
      <rPr>
        <sz val="11"/>
        <color theme="1"/>
        <rFont val="ＭＳ Ｐゴシック"/>
        <family val="3"/>
        <charset val="128"/>
        <scheme val="minor"/>
      </rPr>
      <t>昇生物科技有限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</si>
  <si>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烈酒;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</si>
  <si>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r>
      <t>腾</t>
    </r>
    <r>
      <rPr>
        <sz val="11"/>
        <color theme="1"/>
        <rFont val="ＭＳ Ｐゴシック"/>
        <family val="3"/>
        <charset val="128"/>
        <scheme val="minor"/>
      </rPr>
      <t>客利</t>
    </r>
  </si>
  <si>
    <r>
      <t>福歌</t>
    </r>
    <r>
      <rPr>
        <sz val="11"/>
        <color theme="1"/>
        <rFont val="ＭＳ Ｐゴシック"/>
        <family val="3"/>
        <charset val="134"/>
        <scheme val="minor"/>
      </rPr>
      <t>陆</t>
    </r>
    <r>
      <rPr>
        <sz val="11"/>
        <color theme="1"/>
        <rFont val="ＭＳ Ｐゴシック"/>
        <family val="3"/>
        <charset val="128"/>
        <scheme val="minor"/>
      </rPr>
      <t>地空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科技（重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</si>
  <si>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 xml:space="preserve">利口酒; 米酒; 葡萄酒;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</si>
  <si>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圣</t>
    </r>
    <r>
      <rPr>
        <sz val="11"/>
        <color theme="1"/>
        <rFont val="ＭＳ Ｐゴシック"/>
        <family val="3"/>
        <charset val="129"/>
        <scheme val="minor"/>
      </rPr>
      <t>查</t>
    </r>
    <r>
      <rPr>
        <sz val="11"/>
        <color theme="1"/>
        <rFont val="ＭＳ Ｐゴシック"/>
        <family val="3"/>
        <charset val="128"/>
        <scheme val="minor"/>
      </rPr>
      <t>理曼</t>
    </r>
  </si>
  <si>
    <r>
      <t>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白酒; 葡萄酒; 威士忌; 黄酒; 烈酒</t>
    </r>
  </si>
  <si>
    <t>火星眼泪</t>
  </si>
  <si>
    <r>
      <t>黄酒; 威士忌; 青稞酒;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露酒; 果酒（含酒精）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</si>
  <si>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人宴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</si>
  <si>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市茅台</t>
    </r>
    <r>
      <rPr>
        <sz val="11"/>
        <color theme="1"/>
        <rFont val="ＭＳ Ｐゴシック"/>
        <family val="3"/>
        <charset val="134"/>
        <scheme val="minor"/>
      </rPr>
      <t>镇财</t>
    </r>
    <r>
      <rPr>
        <sz val="11"/>
        <color theme="1"/>
        <rFont val="ＭＳ Ｐゴシック"/>
        <family val="3"/>
        <charset val="128"/>
        <scheme val="minor"/>
      </rPr>
      <t>富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酒（集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</si>
  <si>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烈酒; 葡萄酒; 白酒; 果酒;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白干酒（中国白酒）; 黄酒</t>
    </r>
  </si>
  <si>
    <t>晨哨</t>
  </si>
  <si>
    <r>
      <t>李</t>
    </r>
    <r>
      <rPr>
        <sz val="11"/>
        <color theme="1"/>
        <rFont val="ＭＳ Ｐゴシック"/>
        <family val="3"/>
        <charset val="134"/>
        <scheme val="minor"/>
      </rPr>
      <t>继</t>
    </r>
    <r>
      <rPr>
        <sz val="11"/>
        <color theme="1"/>
        <rFont val="ＭＳ Ｐゴシック"/>
        <family val="3"/>
        <charset val="128"/>
        <scheme val="minor"/>
      </rPr>
      <t>忠</t>
    </r>
  </si>
  <si>
    <r>
      <t>薄荷酒; 青稞酒; 清酒（日本米酒）; 米酒; 葡萄酒; 黄酒; 食用酒精;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</si>
  <si>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蚪喑</t>
  </si>
  <si>
    <t>龙彻</t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</si>
  <si>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白干酒（中国白酒）;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开胃酒; 利口酒; 高粱酒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</si>
  <si>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红艳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</si>
  <si>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果酒（含酒精）;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</si>
  <si>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帅尔</t>
    </r>
    <r>
      <rPr>
        <sz val="11"/>
        <color theme="1"/>
        <rFont val="ＭＳ Ｐゴシック"/>
        <family val="3"/>
        <charset val="128"/>
        <scheme val="minor"/>
      </rPr>
      <t>多</t>
    </r>
    <r>
      <rPr>
        <sz val="11"/>
        <color theme="1"/>
        <rFont val="ＭＳ Ｐゴシック"/>
        <family val="3"/>
        <charset val="134"/>
        <scheme val="minor"/>
      </rPr>
      <t>丝</t>
    </r>
  </si>
  <si>
    <r>
      <t>太康海恩</t>
    </r>
    <r>
      <rPr>
        <sz val="11"/>
        <color theme="1"/>
        <rFont val="ＭＳ Ｐゴシック"/>
        <family val="3"/>
        <charset val="134"/>
        <scheme val="minor"/>
      </rPr>
      <t>药业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</si>
  <si>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葡萄酒;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</si>
  <si>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香来</t>
    </r>
  </si>
  <si>
    <r>
      <t>杭州</t>
    </r>
    <r>
      <rPr>
        <sz val="11"/>
        <color theme="1"/>
        <rFont val="ＭＳ Ｐゴシック"/>
        <family val="3"/>
        <charset val="134"/>
        <scheme val="minor"/>
      </rPr>
      <t>马</t>
    </r>
    <r>
      <rPr>
        <sz val="11"/>
        <color theme="1"/>
        <rFont val="ＭＳ Ｐゴシック"/>
        <family val="3"/>
        <charset val="128"/>
        <scheme val="minor"/>
      </rPr>
      <t>多米服</t>
    </r>
    <r>
      <rPr>
        <sz val="11"/>
        <color theme="1"/>
        <rFont val="ＭＳ Ｐゴシック"/>
        <family val="3"/>
        <charset val="134"/>
        <scheme val="minor"/>
      </rPr>
      <t>饰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</si>
  <si>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白干酒（中国白酒）</t>
    </r>
  </si>
  <si>
    <t>泰当当</t>
  </si>
  <si>
    <r>
      <t>泰安市泰山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</si>
  <si>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开胃酒;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白酒; 清酒; 葡萄酒;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</si>
  <si>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t>好溢</t>
  </si>
  <si>
    <r>
      <t>开胃酒; 果酒;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黄酒</t>
    </r>
  </si>
  <si>
    <t>漫找</t>
  </si>
  <si>
    <r>
      <t>陶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</si>
  <si>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米酒;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甜酒; 黄酒; 含酒精的气泡水; 高粱酒;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</t>
    </r>
  </si>
  <si>
    <r>
      <t>赖</t>
    </r>
    <r>
      <rPr>
        <sz val="11"/>
        <color theme="1"/>
        <rFont val="ＭＳ Ｐゴシック"/>
        <family val="3"/>
        <charset val="128"/>
        <scheme val="minor"/>
      </rPr>
      <t>潭</t>
    </r>
  </si>
  <si>
    <r>
      <t>河南射</t>
    </r>
    <r>
      <rPr>
        <sz val="11"/>
        <color theme="1"/>
        <rFont val="ＭＳ Ｐゴシック"/>
        <family val="3"/>
        <charset val="134"/>
        <scheme val="minor"/>
      </rPr>
      <t>线</t>
    </r>
    <r>
      <rPr>
        <sz val="11"/>
        <color theme="1"/>
        <rFont val="ＭＳ Ｐゴシック"/>
        <family val="3"/>
        <charset val="128"/>
        <scheme val="minor"/>
      </rPr>
      <t>广告有限公司</t>
    </r>
  </si>
  <si>
    <r>
      <t xml:space="preserve">葡萄酒; 威士忌; 果酒（含酒精）; 露酒;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青稞酒</t>
    </r>
  </si>
  <si>
    <r>
      <t>彭勇</t>
    </r>
    <r>
      <rPr>
        <sz val="11"/>
        <color theme="1"/>
        <rFont val="ＭＳ Ｐゴシック"/>
        <family val="3"/>
        <charset val="134"/>
        <scheme val="minor"/>
      </rPr>
      <t>伟</t>
    </r>
  </si>
  <si>
    <r>
      <t>遵</t>
    </r>
    <r>
      <rPr>
        <sz val="11"/>
        <color theme="1"/>
        <rFont val="ＭＳ Ｐゴシック"/>
        <family val="3"/>
        <charset val="134"/>
        <scheme val="minor"/>
      </rPr>
      <t>义</t>
    </r>
    <r>
      <rPr>
        <sz val="11"/>
        <color theme="1"/>
        <rFont val="ＭＳ Ｐゴシック"/>
        <family val="3"/>
        <charset val="128"/>
        <scheme val="minor"/>
      </rPr>
      <t>聚量网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</si>
  <si>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加烈葡萄酒; 果酒（含酒精）; 葡萄酒; 葡萄汽酒; 葡萄潘趣酒;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</si>
  <si>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悬</t>
    </r>
    <r>
      <rPr>
        <sz val="11"/>
        <color theme="1"/>
        <rFont val="ＭＳ Ｐゴシック"/>
        <family val="3"/>
        <charset val="128"/>
        <scheme val="minor"/>
      </rPr>
      <t>湖</t>
    </r>
  </si>
  <si>
    <r>
      <t>洪</t>
    </r>
    <r>
      <rPr>
        <sz val="11"/>
        <color theme="1"/>
        <rFont val="ＭＳ Ｐゴシック"/>
        <family val="3"/>
        <charset val="134"/>
        <scheme val="minor"/>
      </rPr>
      <t>泽县腾龙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</si>
  <si>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果酒（含酒精）;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葡萄酒; 白酒; 食用酒精;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</si>
  <si>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摩院</t>
  </si>
  <si>
    <r>
      <t>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开胃酒;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干型苹果酒; 白酒; 黄酒; 不起泡葡萄酒</t>
    </r>
  </si>
  <si>
    <t>南定川</t>
  </si>
  <si>
    <r>
      <t>泸</t>
    </r>
    <r>
      <rPr>
        <sz val="11"/>
        <color theme="1"/>
        <rFont val="ＭＳ Ｐゴシック"/>
        <family val="3"/>
        <charset val="128"/>
        <scheme val="minor"/>
      </rPr>
      <t>州市南定楼酒庄有限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</si>
  <si>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果酒;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加烈葡萄酒;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梨酒; 米酒; 麦芽威士忌</t>
    </r>
  </si>
  <si>
    <r>
      <t>马</t>
    </r>
    <r>
      <rPr>
        <sz val="11"/>
        <color theme="1"/>
        <rFont val="ＭＳ Ｐゴシック"/>
        <family val="3"/>
        <charset val="128"/>
        <scheme val="minor"/>
      </rPr>
      <t>多米</t>
    </r>
  </si>
  <si>
    <r>
      <t>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白干酒（中国白酒）; 米酒</t>
    </r>
  </si>
  <si>
    <t>肖寒杉</t>
  </si>
  <si>
    <r>
      <t>白酒; 米酒; 葡萄酒; 黄酒; 露酒;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威士忌</t>
    </r>
  </si>
  <si>
    <t>怡舍</t>
  </si>
  <si>
    <r>
      <t>白酒; 开胃酒; 葡萄酒; 威士忌; 果酒; 清酒（日本米酒）;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</si>
  <si>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KATIELONG</t>
  </si>
  <si>
    <r>
      <t>泉州万</t>
    </r>
    <r>
      <rPr>
        <sz val="11"/>
        <color theme="1"/>
        <rFont val="ＭＳ Ｐゴシック"/>
        <family val="3"/>
        <charset val="134"/>
        <scheme val="minor"/>
      </rPr>
      <t>赢</t>
    </r>
    <r>
      <rPr>
        <sz val="11"/>
        <color theme="1"/>
        <rFont val="ＭＳ Ｐゴシック"/>
        <family val="3"/>
        <charset val="128"/>
        <scheme val="minor"/>
      </rPr>
      <t>达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</si>
  <si>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威士忌</t>
    </r>
  </si>
  <si>
    <r>
      <t>远</t>
    </r>
    <r>
      <rPr>
        <sz val="11"/>
        <color theme="1"/>
        <rFont val="ＭＳ Ｐゴシック"/>
        <family val="3"/>
        <charset val="128"/>
        <scheme val="minor"/>
      </rPr>
      <t>富秀山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</si>
  <si>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秋伍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</si>
  <si>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苹果酒; 甘蔗制酒精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露酒; 餐后酒（利口酒和烈酒）</t>
    </r>
  </si>
  <si>
    <t>大国匠品(北京)科技有限公司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</si>
  <si>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五加皮酒（中国混合烈酒）;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甜果酒; 白酒; 烈酒</t>
    </r>
  </si>
  <si>
    <r>
      <t>回水</t>
    </r>
    <r>
      <rPr>
        <sz val="11"/>
        <color theme="1"/>
        <rFont val="ＭＳ Ｐゴシック"/>
        <family val="3"/>
        <charset val="134"/>
        <scheme val="minor"/>
      </rPr>
      <t>阵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</si>
  <si>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燕彬</t>
    </r>
  </si>
  <si>
    <r>
      <t xml:space="preserve">葡萄酒; 白酒; 高粱酒;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黄酒</t>
    </r>
  </si>
  <si>
    <t>明征</t>
  </si>
  <si>
    <r>
      <t>邢江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</si>
  <si>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白酒;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</si>
  <si>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臻俄多多</t>
  </si>
  <si>
    <r>
      <t>沈阳理念文化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</si>
  <si>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>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</si>
  <si>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特客利</t>
  </si>
  <si>
    <r>
      <t>利口酒;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清酒（日本米酒）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</si>
  <si>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34"/>
        <scheme val="minor"/>
      </rPr>
      <t>谦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</si>
  <si>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果酒（含酒精）; 餐后酒（利口酒和烈酒）;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苹果酒;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露酒; 葡萄酒</t>
    </r>
  </si>
  <si>
    <r>
      <t>皖</t>
    </r>
    <r>
      <rPr>
        <sz val="11"/>
        <color theme="1"/>
        <rFont val="ＭＳ Ｐゴシック"/>
        <family val="3"/>
        <charset val="134"/>
        <scheme val="minor"/>
      </rPr>
      <t>辈</t>
    </r>
  </si>
  <si>
    <r>
      <t>黄酒; 清酒（日本米酒）;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威士忌; 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</si>
  <si>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九五韶</t>
    </r>
    <r>
      <rPr>
        <sz val="11"/>
        <color theme="1"/>
        <rFont val="ＭＳ Ｐゴシック"/>
        <family val="3"/>
        <charset val="134"/>
        <scheme val="minor"/>
      </rPr>
      <t>华</t>
    </r>
  </si>
  <si>
    <t>郑艳辉</t>
  </si>
  <si>
    <r>
      <t xml:space="preserve">黄酒; 清酒（日本米酒）; 果酒;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</si>
  <si>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酣初</t>
  </si>
  <si>
    <r>
      <t>威士忌; 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葡萄酒; 开胃酒</t>
    </r>
  </si>
  <si>
    <t>黔杯留香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</si>
  <si>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州黔杯茶科技服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</si>
  <si>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黄酒; 茴芹酒（利口酒）; 葡萄酒;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果酒（含酒精）; 茴香酒（利口酒）;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</si>
  <si>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龙</t>
    </r>
    <r>
      <rPr>
        <sz val="11"/>
        <color theme="1"/>
        <rFont val="ＭＳ Ｐゴシック"/>
        <family val="3"/>
        <charset val="128"/>
        <scheme val="minor"/>
      </rPr>
      <t>昇天目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</si>
  <si>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</t>
    </r>
  </si>
  <si>
    <t>上屋宝莱</t>
  </si>
  <si>
    <r>
      <t>河北达旺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</si>
  <si>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米酒; 开胃酒; 蒸煮提取物（利口酒和烈酒）; 汽酒</t>
    </r>
  </si>
  <si>
    <t>肖氏父子</t>
  </si>
  <si>
    <r>
      <t>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露酒; 青稞酒; 米酒; 威士忌</t>
    </r>
  </si>
  <si>
    <t>花之雨</t>
  </si>
  <si>
    <r>
      <t>梁</t>
    </r>
    <r>
      <rPr>
        <sz val="11"/>
        <color theme="1"/>
        <rFont val="ＭＳ Ｐゴシック"/>
        <family val="3"/>
        <charset val="134"/>
        <scheme val="minor"/>
      </rPr>
      <t>闽</t>
    </r>
  </si>
  <si>
    <r>
      <t xml:space="preserve">葡萄酒; 果酒（含酒精）; 蒸煮提取物（利口酒和烈酒）;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蜂蜜酒; 黄酒; 开胃酒</t>
    </r>
  </si>
  <si>
    <t>乘象</t>
  </si>
  <si>
    <r>
      <t>依</t>
    </r>
    <r>
      <rPr>
        <sz val="11"/>
        <color theme="1"/>
        <rFont val="ＭＳ Ｐゴシック"/>
        <family val="3"/>
        <charset val="134"/>
        <scheme val="minor"/>
      </rPr>
      <t>闷</t>
    </r>
  </si>
  <si>
    <r>
      <t>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白干酒（中国白酒）; 清酒; 青梅酒;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</si>
  <si>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弘鼎丰</t>
    </r>
    <r>
      <rPr>
        <sz val="11"/>
        <color theme="1"/>
        <rFont val="ＭＳ Ｐゴシック"/>
        <family val="3"/>
        <charset val="134"/>
        <scheme val="minor"/>
      </rPr>
      <t>银</t>
    </r>
  </si>
  <si>
    <r>
      <t>法露酒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）有限公司</t>
    </r>
  </si>
  <si>
    <r>
      <t>威士忌; 米酒; 白酒; 葡萄酒;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朗姆酒;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</si>
  <si>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上海谷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禾布国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</si>
  <si>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黄酒; 餐后酒（利口酒和烈酒）; 白酒; 汽酒;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利口酒; 露酒; 果酒; 五加皮酒（中国混合烈酒）; 米酒</t>
    </r>
  </si>
  <si>
    <r>
      <t>画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渊</t>
    </r>
  </si>
  <si>
    <r>
      <t>深圳市醉三品酒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</si>
  <si>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茴香酒（利口酒）;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苹果酒;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</si>
  <si>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t>茉雅</t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</si>
  <si>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混合威士忌酒; 威士忌; 食用酒精; 朗姆酒; 黄酒;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果酒（含酒精）</t>
    </r>
  </si>
  <si>
    <t>MELLOW SEASON</t>
  </si>
  <si>
    <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主的开胃酒; 朗姆酒; 黄酒; 白酒; 果酒（含酒精）; 混合威士忌酒; 威士忌; 葡萄酒; 食用酒精</t>
    </r>
  </si>
  <si>
    <t>䚶䀖</t>
  </si>
  <si>
    <r>
      <t>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骅驰</t>
    </r>
    <r>
      <rPr>
        <sz val="11"/>
        <color theme="1"/>
        <rFont val="ＭＳ Ｐゴシック"/>
        <family val="3"/>
        <charset val="128"/>
        <scheme val="minor"/>
      </rPr>
      <t>建筑</t>
    </r>
    <r>
      <rPr>
        <sz val="11"/>
        <color theme="1"/>
        <rFont val="ＭＳ Ｐゴシック"/>
        <family val="3"/>
        <charset val="134"/>
        <scheme val="minor"/>
      </rPr>
      <t>劳务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</si>
  <si>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苦味酒; 烈酒; 以高粱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主的中式白酒;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白干酒（中国白酒）;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开胃酒; 食用酒精; 五加皮酒（中国混合烈酒）; 高粱酒; 朗姆酒</t>
    </r>
  </si>
  <si>
    <r>
      <t>不</t>
    </r>
    <r>
      <rPr>
        <sz val="11"/>
        <color theme="1"/>
        <rFont val="ＭＳ Ｐゴシック"/>
        <family val="3"/>
        <charset val="134"/>
        <scheme val="minor"/>
      </rPr>
      <t>羁</t>
    </r>
    <r>
      <rPr>
        <sz val="11"/>
        <color theme="1"/>
        <rFont val="ＭＳ Ｐゴシック"/>
        <family val="3"/>
        <charset val="128"/>
        <scheme val="minor"/>
      </rPr>
      <t>的青春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</si>
  <si>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露酒; 葡萄酒; 米酒; 威士忌; 果酒（含酒精）; 黄酒; 青稞酒</t>
    </r>
  </si>
  <si>
    <r>
      <t>婧</t>
    </r>
    <r>
      <rPr>
        <sz val="11"/>
        <color theme="1"/>
        <rFont val="ＭＳ Ｐゴシック"/>
        <family val="3"/>
        <charset val="134"/>
        <scheme val="minor"/>
      </rPr>
      <t>爱</t>
    </r>
    <r>
      <rPr>
        <sz val="11"/>
        <color theme="1"/>
        <rFont val="ＭＳ Ｐゴシック"/>
        <family val="3"/>
        <charset val="128"/>
        <scheme val="minor"/>
      </rPr>
      <t>一生</t>
    </r>
  </si>
  <si>
    <t>何小婧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</si>
  <si>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米酒; 白酒; 蜂蜜酒; 清酒（日本米酒）;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</si>
  <si>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r>
      <t>狮</t>
    </r>
    <r>
      <rPr>
        <sz val="11"/>
        <color theme="1"/>
        <rFont val="ＭＳ Ｐゴシック"/>
        <family val="3"/>
        <charset val="128"/>
        <scheme val="minor"/>
      </rPr>
      <t>敢当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</si>
  <si>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清酒; 米酒; 开胃酒</t>
    </r>
  </si>
  <si>
    <t>野意</t>
  </si>
  <si>
    <r>
      <t>吴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</si>
  <si>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果酒(含酒精); 白酒; 食用酒精;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蜂蜜酒;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料(啤酒除外)</t>
    </r>
  </si>
  <si>
    <t>青宸道养 QINGCHEN MAINTENANCE</t>
  </si>
  <si>
    <t>四川众志养怡生命健康科技有限公司</t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</si>
  <si>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果酒（含酒精）; 米酒; 果酒; 开胃酒; 草本型利口酒</t>
    </r>
  </si>
  <si>
    <t>MOOYIA</t>
  </si>
  <si>
    <r>
      <t>葡萄酒; 朗姆酒;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主的开胃酒; 黄酒; 食用酒精; 白酒; 混合威士忌酒; 威士忌;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果酒（含酒精）</t>
    </r>
  </si>
  <si>
    <r>
      <t>骏</t>
    </r>
    <r>
      <rPr>
        <sz val="11"/>
        <color theme="1"/>
        <rFont val="ＭＳ Ｐゴシック"/>
        <family val="3"/>
        <charset val="128"/>
        <scheme val="minor"/>
      </rPr>
      <t>意</t>
    </r>
  </si>
  <si>
    <r>
      <t>果酒（含酒精）; 葡萄酒; 清酒;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烈酒; 威士忌; 米酒;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</si>
  <si>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安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旧</t>
    </r>
    <r>
      <rPr>
        <sz val="11"/>
        <color theme="1"/>
        <rFont val="ＭＳ Ｐゴシック"/>
        <family val="3"/>
        <charset val="134"/>
        <scheme val="minor"/>
      </rPr>
      <t>岁</t>
    </r>
    <r>
      <rPr>
        <sz val="11"/>
        <color theme="1"/>
        <rFont val="ＭＳ Ｐゴシック"/>
        <family val="3"/>
        <charset val="128"/>
        <scheme val="minor"/>
      </rPr>
      <t>月</t>
    </r>
  </si>
  <si>
    <r>
      <t>四川宜</t>
    </r>
    <r>
      <rPr>
        <sz val="11"/>
        <color theme="1"/>
        <rFont val="ＭＳ Ｐゴシック"/>
        <family val="3"/>
        <charset val="134"/>
        <scheme val="minor"/>
      </rPr>
      <t>宾汉</t>
    </r>
    <r>
      <rPr>
        <sz val="11"/>
        <color theme="1"/>
        <rFont val="ＭＳ Ｐゴシック"/>
        <family val="3"/>
        <charset val="128"/>
        <scheme val="minor"/>
      </rPr>
      <t>安老窖酒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</si>
  <si>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食用酒精;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</si>
  <si>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酌醁</t>
  </si>
  <si>
    <t>郑凯</t>
  </si>
  <si>
    <r>
      <t>果酒; 果酒（含酒精）;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甜酒; 汽酒; 黄酒; 葡萄酒</t>
    </r>
  </si>
  <si>
    <t>天目韵</t>
  </si>
  <si>
    <r>
      <t>米酒;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利口酒; 烈酒;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</si>
  <si>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深度四海</t>
  </si>
  <si>
    <r>
      <t>郑</t>
    </r>
    <r>
      <rPr>
        <sz val="11"/>
        <color theme="1"/>
        <rFont val="ＭＳ Ｐゴシック"/>
        <family val="3"/>
        <charset val="128"/>
        <scheme val="minor"/>
      </rPr>
      <t>文关</t>
    </r>
  </si>
  <si>
    <r>
      <t>朗姆酒（酒精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清酒;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果酒; 蜂蜜酒; 青稞酒;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</si>
  <si>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纷</t>
    </r>
    <r>
      <rPr>
        <sz val="11"/>
        <color theme="1"/>
        <rFont val="ＭＳ Ｐゴシック"/>
        <family val="3"/>
        <charset val="128"/>
        <scheme val="minor"/>
      </rPr>
      <t>醇世嘉</t>
    </r>
  </si>
  <si>
    <r>
      <t>山西极度酒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</si>
  <si>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果酒; 开胃酒; 汽酒; 高粱酒;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食用酒精</t>
    </r>
  </si>
  <si>
    <t>甬供</t>
  </si>
  <si>
    <r>
      <t>宁波供</t>
    </r>
    <r>
      <rPr>
        <sz val="11"/>
        <color theme="1"/>
        <rFont val="ＭＳ Ｐゴシック"/>
        <family val="3"/>
        <charset val="134"/>
        <scheme val="minor"/>
      </rPr>
      <t>销电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</si>
  <si>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清酒; 伏特加酒;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果酒（含酒精）; 米酒;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</si>
  <si>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洪朝沙</t>
  </si>
  <si>
    <r>
      <t>白酒; 葡萄酒;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</t>
    </r>
  </si>
  <si>
    <t>裴六哥</t>
  </si>
  <si>
    <r>
      <t>裴英</t>
    </r>
    <r>
      <rPr>
        <sz val="11"/>
        <color theme="1"/>
        <rFont val="ＭＳ Ｐゴシック"/>
        <family val="3"/>
        <charset val="134"/>
        <scheme val="minor"/>
      </rPr>
      <t>权</t>
    </r>
  </si>
  <si>
    <r>
      <t>烈性干酒; 开胃酒; 米酒; 白干酒（中国白酒）; 天然汽酒;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黄酒; 白酒; 日式甜米酒; 朝</t>
    </r>
    <r>
      <rPr>
        <sz val="11"/>
        <color theme="1"/>
        <rFont val="ＭＳ Ｐゴシック"/>
        <family val="3"/>
        <charset val="134"/>
        <scheme val="minor"/>
      </rPr>
      <t>鲜烧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</si>
  <si>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眉州君品</t>
  </si>
  <si>
    <r>
      <t>眉山市正好醇酒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</si>
  <si>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白酒; 清酒; 葡萄酒;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威士忌</t>
    </r>
  </si>
  <si>
    <t>九州拓跋</t>
  </si>
  <si>
    <r>
      <t>贺</t>
    </r>
    <r>
      <rPr>
        <sz val="11"/>
        <color theme="1"/>
        <rFont val="ＭＳ Ｐゴシック"/>
        <family val="3"/>
        <charset val="128"/>
        <scheme val="minor"/>
      </rPr>
      <t>美臻沙（宁夏）酒庄有限公司</t>
    </r>
  </si>
  <si>
    <r>
      <t xml:space="preserve">食用酒精; 白酒; 开胃酒; 米酒; 葡萄酒; 青稞酒;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</si>
  <si>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t>彪熊</t>
  </si>
  <si>
    <r>
      <t>孙</t>
    </r>
    <r>
      <rPr>
        <sz val="11"/>
        <color theme="1"/>
        <rFont val="ＭＳ Ｐゴシック"/>
        <family val="3"/>
        <charset val="128"/>
        <scheme val="minor"/>
      </rPr>
      <t>明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</si>
  <si>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果酒（含酒精）; 利口酒</t>
    </r>
  </si>
  <si>
    <r>
      <t>觅</t>
    </r>
    <r>
      <rPr>
        <sz val="11"/>
        <color theme="1"/>
        <rFont val="ＭＳ Ｐゴシック"/>
        <family val="3"/>
        <charset val="128"/>
        <scheme val="minor"/>
      </rPr>
      <t>汁堂</t>
    </r>
  </si>
  <si>
    <r>
      <t>湖南广之源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</si>
  <si>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烈酒; 清酒; 利口酒; 食用酒精;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</t>
    </r>
  </si>
  <si>
    <t>河洛清花</t>
  </si>
  <si>
    <t>王画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</si>
  <si>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高粱酒; 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餐后酒（利口酒和烈酒）</t>
    </r>
  </si>
  <si>
    <t>英童</t>
  </si>
  <si>
    <r>
      <t>陕</t>
    </r>
    <r>
      <rPr>
        <sz val="11"/>
        <color theme="1"/>
        <rFont val="ＭＳ Ｐゴシック"/>
        <family val="3"/>
        <charset val="128"/>
        <scheme val="minor"/>
      </rPr>
      <t>西英童乳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</si>
  <si>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威士忌; 朗姆酒;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</si>
  <si>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金戈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</si>
  <si>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 xml:space="preserve">食用酒精;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利口酒; 米酒; 果酒（含酒精）; 葡萄酒</t>
    </r>
  </si>
  <si>
    <t>相粤豫商</t>
  </si>
  <si>
    <r>
      <t>深圳市鑫欣嘉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</si>
  <si>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伏特加酒;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</t>
    </r>
  </si>
  <si>
    <t>世莫知</t>
  </si>
  <si>
    <r>
      <t>郭嘉</t>
    </r>
    <r>
      <rPr>
        <sz val="11"/>
        <color theme="1"/>
        <rFont val="ＭＳ Ｐゴシック"/>
        <family val="3"/>
        <charset val="134"/>
        <scheme val="minor"/>
      </rPr>
      <t>烨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</si>
  <si>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烈酒; 白干酒（中国白酒）;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甜果酒;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</si>
  <si>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听孤</t>
  </si>
  <si>
    <r>
      <t>白干酒（中国白酒）;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甜果酒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</si>
  <si>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廷匠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</si>
  <si>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廷酒厂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</si>
  <si>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高粱酒; 利口酒;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</t>
    </r>
  </si>
  <si>
    <t>首邑</t>
  </si>
  <si>
    <t>刘志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</si>
  <si>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</si>
  <si>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福禄珍和园</t>
  </si>
  <si>
    <r>
      <t>辽</t>
    </r>
    <r>
      <rPr>
        <sz val="11"/>
        <color theme="1"/>
        <rFont val="ＭＳ Ｐゴシック"/>
        <family val="3"/>
        <charset val="128"/>
        <scheme val="minor"/>
      </rPr>
      <t>宁珍和园牧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</si>
  <si>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</si>
  <si>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唐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柏年</t>
    </r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</si>
  <si>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白酒; 餐后酒（利口酒和烈酒）;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高粱酒;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</si>
  <si>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眉府玉液</t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</si>
  <si>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清酒; 开胃酒; 蜂蜜酒; 米酒; 白酒</t>
    </r>
  </si>
  <si>
    <r>
      <t>葭</t>
    </r>
    <r>
      <rPr>
        <sz val="11"/>
        <color theme="1"/>
        <rFont val="ＭＳ Ｐゴシック"/>
        <family val="3"/>
        <charset val="134"/>
        <scheme val="minor"/>
      </rPr>
      <t>苇</t>
    </r>
  </si>
  <si>
    <r>
      <t>策略工</t>
    </r>
    <r>
      <rPr>
        <sz val="11"/>
        <color theme="1"/>
        <rFont val="ＭＳ Ｐゴシック"/>
        <family val="3"/>
        <charset val="134"/>
        <scheme val="minor"/>
      </rPr>
      <t>场</t>
    </r>
    <r>
      <rPr>
        <sz val="11"/>
        <color theme="1"/>
        <rFont val="ＭＳ Ｐゴシック"/>
        <family val="3"/>
        <charset val="128"/>
        <scheme val="minor"/>
      </rPr>
      <t>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）品牌</t>
    </r>
    <r>
      <rPr>
        <sz val="11"/>
        <color theme="1"/>
        <rFont val="ＭＳ Ｐゴシック"/>
        <family val="3"/>
        <charset val="134"/>
        <scheme val="minor"/>
      </rPr>
      <t>营销</t>
    </r>
    <r>
      <rPr>
        <sz val="11"/>
        <color theme="1"/>
        <rFont val="ＭＳ Ｐゴシック"/>
        <family val="3"/>
        <charset val="128"/>
        <scheme val="minor"/>
      </rPr>
      <t>策划有限公司</t>
    </r>
  </si>
  <si>
    <r>
      <t xml:space="preserve">果酒; 清酒; 青梅酒; </t>
    </r>
    <r>
      <rPr>
        <sz val="11"/>
        <color theme="1"/>
        <rFont val="ＭＳ Ｐゴシック"/>
        <family val="3"/>
        <charset val="134"/>
        <scheme val="minor"/>
      </rPr>
      <t>预调</t>
    </r>
    <r>
      <rPr>
        <sz val="11"/>
        <color theme="1"/>
        <rFont val="ＭＳ Ｐゴシック"/>
        <family val="3"/>
        <charset val="128"/>
        <scheme val="minor"/>
      </rPr>
      <t>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水果汽酒; 梅酒; 露酒; 米酒; 黄酒</t>
    </r>
  </si>
  <si>
    <r>
      <t>山行</t>
    </r>
    <r>
      <rPr>
        <sz val="11"/>
        <color theme="1"/>
        <rFont val="ＭＳ Ｐゴシック"/>
        <family val="3"/>
        <charset val="134"/>
        <scheme val="minor"/>
      </rPr>
      <t>见</t>
    </r>
  </si>
  <si>
    <r>
      <t>果酒; 米酒; 清酒; 水果汽酒; 梅酒; 黄酒; 青梅酒;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白酒; 露酒</t>
    </r>
  </si>
  <si>
    <t>江冀青</t>
  </si>
  <si>
    <r>
      <t>青海冀青商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</si>
  <si>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水果汽酒; 清酒;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</si>
  <si>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庭匠</t>
    </r>
  </si>
  <si>
    <r>
      <t>利口酒;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酒（烈酒）; 高粱酒; 果酒（含酒精）;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</si>
  <si>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r>
      <t>君</t>
    </r>
    <r>
      <rPr>
        <sz val="11"/>
        <color theme="1"/>
        <rFont val="ＭＳ Ｐゴシック"/>
        <family val="3"/>
        <charset val="134"/>
        <scheme val="minor"/>
      </rPr>
      <t>东临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</si>
  <si>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蜂蜜酒; 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</si>
  <si>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塞上腰坊</t>
  </si>
  <si>
    <r>
      <t>内蒙古十八老腰坊酒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</si>
  <si>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朗姆酒; 伏特加酒;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</t>
    </r>
  </si>
  <si>
    <r>
      <t>赤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沙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</si>
  <si>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市名甫家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业销</t>
    </r>
    <r>
      <rPr>
        <sz val="11"/>
        <color theme="1"/>
        <rFont val="ＭＳ Ｐゴシック"/>
        <family val="3"/>
        <charset val="128"/>
        <scheme val="minor"/>
      </rPr>
      <t>售有限公司</t>
    </r>
  </si>
  <si>
    <r>
      <t xml:space="preserve">烈酒;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</si>
  <si>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t>QILIN PIXIU</t>
  </si>
  <si>
    <t>葛然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</si>
  <si>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</si>
  <si>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文开心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</si>
  <si>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州文开心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文旅开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</si>
  <si>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白酒;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</t>
    </r>
  </si>
  <si>
    <t>逍遥叙</t>
  </si>
  <si>
    <r>
      <t>勐海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松籍</t>
    </r>
    <r>
      <rPr>
        <sz val="11"/>
        <color theme="1"/>
        <rFont val="ＭＳ Ｐゴシック"/>
        <family val="3"/>
        <charset val="134"/>
        <scheme val="minor"/>
      </rPr>
      <t>诠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</si>
  <si>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威士忌;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梅酒;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白酒</t>
    </r>
  </si>
  <si>
    <r>
      <t>蓝诚</t>
    </r>
    <r>
      <rPr>
        <sz val="11"/>
        <color theme="1"/>
        <rFont val="ＭＳ Ｐゴシック"/>
        <family val="3"/>
        <charset val="128"/>
        <scheme val="minor"/>
      </rPr>
      <t>海</t>
    </r>
  </si>
  <si>
    <r>
      <t>瑞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市君</t>
    </r>
    <r>
      <rPr>
        <sz val="11"/>
        <color theme="1"/>
        <rFont val="ＭＳ Ｐゴシック"/>
        <family val="3"/>
        <charset val="134"/>
        <scheme val="minor"/>
      </rPr>
      <t>沥</t>
    </r>
    <r>
      <rPr>
        <sz val="11"/>
        <color theme="1"/>
        <rFont val="ＭＳ Ｐゴシック"/>
        <family val="3"/>
        <charset val="128"/>
        <scheme val="minor"/>
      </rPr>
      <t>信息咨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部（个体工商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</si>
  <si>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利口酒; 米酒</t>
    </r>
  </si>
  <si>
    <t>混四喜</t>
  </si>
  <si>
    <r>
      <t>杭州就得拌商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</si>
  <si>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果酒（含酒精）; 利口酒;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</t>
    </r>
  </si>
  <si>
    <r>
      <t>彦彭</t>
    </r>
    <r>
      <rPr>
        <sz val="11"/>
        <color theme="1"/>
        <rFont val="ＭＳ Ｐゴシック"/>
        <family val="3"/>
        <charset val="134"/>
        <scheme val="minor"/>
      </rPr>
      <t>嵘</t>
    </r>
  </si>
  <si>
    <r>
      <t>公</t>
    </r>
    <r>
      <rPr>
        <sz val="11"/>
        <color theme="1"/>
        <rFont val="ＭＳ Ｐゴシック"/>
        <family val="3"/>
        <charset val="134"/>
        <scheme val="minor"/>
      </rPr>
      <t>伟宾</t>
    </r>
  </si>
  <si>
    <r>
      <t xml:space="preserve">黄酒; 食用酒精;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</si>
  <si>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汉</t>
    </r>
    <r>
      <rPr>
        <sz val="11"/>
        <color theme="1"/>
        <rFont val="ＭＳ Ｐゴシック"/>
        <family val="3"/>
        <charset val="128"/>
        <scheme val="minor"/>
      </rPr>
      <t>廷梦</t>
    </r>
  </si>
  <si>
    <r>
      <t>葡萄酒;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利口酒; 高粱酒;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白酒</t>
    </r>
  </si>
  <si>
    <r>
      <t>狮</t>
    </r>
    <r>
      <rPr>
        <sz val="11"/>
        <color theme="1"/>
        <rFont val="ＭＳ Ｐゴシック"/>
        <family val="3"/>
        <charset val="128"/>
        <scheme val="minor"/>
      </rPr>
      <t>戈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</si>
  <si>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利口酒; 食用酒精; 苦味酒; 果酒（含酒精）</t>
    </r>
  </si>
  <si>
    <t>香蔓蕾</t>
  </si>
  <si>
    <r>
      <t>诺赛联</t>
    </r>
    <r>
      <rPr>
        <sz val="11"/>
        <color theme="1"/>
        <rFont val="ＭＳ Ｐゴシック"/>
        <family val="3"/>
        <charset val="128"/>
        <scheme val="minor"/>
      </rPr>
      <t>合(香港)生物医学控股集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</si>
  <si>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黄酒; 清酒; 果酒（含酒精）; 白酒;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汽酒; 葡萄酒</t>
    </r>
  </si>
  <si>
    <t>BUSY MING</t>
  </si>
  <si>
    <r>
      <t>湖南</t>
    </r>
    <r>
      <rPr>
        <sz val="11"/>
        <color theme="1"/>
        <rFont val="ＭＳ Ｐゴシック"/>
        <family val="3"/>
        <charset val="134"/>
        <scheme val="minor"/>
      </rPr>
      <t>鸣鸣</t>
    </r>
    <r>
      <rPr>
        <sz val="11"/>
        <color theme="1"/>
        <rFont val="ＭＳ Ｐゴシック"/>
        <family val="3"/>
        <charset val="128"/>
        <scheme val="minor"/>
      </rPr>
      <t>很忙商</t>
    </r>
    <r>
      <rPr>
        <sz val="11"/>
        <color theme="1"/>
        <rFont val="ＭＳ Ｐゴシック"/>
        <family val="3"/>
        <charset val="134"/>
        <scheme val="minor"/>
      </rPr>
      <t>业连锁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</si>
  <si>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蜂蜜酒;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葡萄酒; 果酒（含酒精）; 白酒</t>
    </r>
  </si>
  <si>
    <r>
      <t>金戈</t>
    </r>
    <r>
      <rPr>
        <sz val="11"/>
        <color theme="1"/>
        <rFont val="ＭＳ Ｐゴシック"/>
        <family val="3"/>
        <charset val="134"/>
        <scheme val="minor"/>
      </rPr>
      <t>狮</t>
    </r>
  </si>
  <si>
    <r>
      <t xml:space="preserve">白酒; 食用酒精; 苦味酒;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果酒（含酒精）</t>
    </r>
  </si>
  <si>
    <r>
      <t>西屋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气制造有限公司（</t>
    </r>
    <r>
      <rPr>
        <sz val="11"/>
        <color theme="1"/>
        <rFont val="ＭＳ Ｐゴシック"/>
        <family val="3"/>
        <charset val="134"/>
        <scheme val="minor"/>
      </rPr>
      <t>营业</t>
    </r>
    <r>
      <rPr>
        <sz val="11"/>
        <color theme="1"/>
        <rFont val="ＭＳ Ｐゴシック"/>
        <family val="3"/>
        <charset val="128"/>
        <scheme val="minor"/>
      </rPr>
      <t>名称：西屋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气公司）</t>
    </r>
  </si>
  <si>
    <r>
      <t>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利口酒;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伏特加酒;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汽酒; 食用酒精; 开胃酒;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</t>
    </r>
  </si>
  <si>
    <t>立敏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</si>
  <si>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州达天下商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</si>
  <si>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苹果酒; 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露酒; 餐后酒（利口酒和烈酒）; 果酒（含酒精）</t>
    </r>
  </si>
  <si>
    <r>
      <t>石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人</t>
    </r>
  </si>
  <si>
    <t>邱智惠</t>
  </si>
  <si>
    <r>
      <t xml:space="preserve">米酒; 果酒; 葡萄酒; 烈酒; 白酒; 露酒;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果酒（含酒精）;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</si>
  <si>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SWETIFUL</t>
  </si>
  <si>
    <r>
      <t>赢发</t>
    </r>
    <r>
      <rPr>
        <sz val="11"/>
        <color theme="1"/>
        <rFont val="ＭＳ Ｐゴシック"/>
        <family val="3"/>
        <charset val="128"/>
        <scheme val="minor"/>
      </rPr>
      <t>在</t>
    </r>
    <r>
      <rPr>
        <sz val="11"/>
        <color theme="1"/>
        <rFont val="ＭＳ Ｐゴシック"/>
        <family val="3"/>
        <charset val="134"/>
        <scheme val="minor"/>
      </rPr>
      <t>线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际贸</t>
    </r>
    <r>
      <rPr>
        <sz val="11"/>
        <color theme="1"/>
        <rFont val="ＭＳ Ｐゴシック"/>
        <family val="3"/>
        <charset val="128"/>
        <scheme val="minor"/>
      </rPr>
      <t>易(湖北省)有限公司</t>
    </r>
  </si>
  <si>
    <r>
      <t>白酒; 果酒（含酒精）;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米酒;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</si>
  <si>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芬</t>
    </r>
    <r>
      <rPr>
        <sz val="11"/>
        <color theme="1"/>
        <rFont val="ＭＳ Ｐゴシック"/>
        <family val="3"/>
        <charset val="134"/>
        <scheme val="minor"/>
      </rPr>
      <t>诺</t>
    </r>
    <r>
      <rPr>
        <sz val="11"/>
        <color theme="1"/>
        <rFont val="ＭＳ Ｐゴシック"/>
        <family val="3"/>
        <charset val="128"/>
        <scheme val="minor"/>
      </rPr>
      <t>（珠海）企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</si>
  <si>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</si>
  <si>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雷池孝之邦</t>
  </si>
  <si>
    <t>葛子奎</t>
  </si>
  <si>
    <r>
      <t xml:space="preserve">果酒（含酒精）;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料（除啤酒外）; 含水果的酒精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葡萄酒</t>
    </r>
  </si>
  <si>
    <t>情醉稻都</t>
  </si>
  <si>
    <r>
      <t>邓</t>
    </r>
    <r>
      <rPr>
        <sz val="11"/>
        <color theme="1"/>
        <rFont val="ＭＳ Ｐゴシック"/>
        <family val="3"/>
        <charset val="128"/>
        <scheme val="minor"/>
      </rPr>
      <t>宗平</t>
    </r>
  </si>
  <si>
    <r>
      <t xml:space="preserve">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高粱酒; 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</si>
  <si>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t>养森森林</t>
  </si>
  <si>
    <t>高保平</t>
  </si>
  <si>
    <r>
      <t>米酒;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蜂蜜酒; 高粱酒;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开胃酒; 葡萄酒</t>
    </r>
  </si>
  <si>
    <t>BOBOBABA</t>
  </si>
  <si>
    <r>
      <t>湖南</t>
    </r>
    <r>
      <rPr>
        <sz val="11"/>
        <color theme="1"/>
        <rFont val="ＭＳ Ｐゴシック"/>
        <family val="3"/>
        <charset val="134"/>
        <scheme val="minor"/>
      </rPr>
      <t>红蓝</t>
    </r>
    <r>
      <rPr>
        <sz val="11"/>
        <color theme="1"/>
        <rFont val="ＭＳ Ｐゴシック"/>
        <family val="3"/>
        <charset val="128"/>
        <scheme val="minor"/>
      </rPr>
      <t>万磁科技有限公司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</si>
  <si>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咖啡利口酒;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水果汽酒</t>
    </r>
  </si>
  <si>
    <t>斛健年</t>
  </si>
  <si>
    <r>
      <t>谭</t>
    </r>
    <r>
      <rPr>
        <sz val="11"/>
        <color theme="1"/>
        <rFont val="ＭＳ Ｐゴシック"/>
        <family val="3"/>
        <charset val="128"/>
        <scheme val="minor"/>
      </rPr>
      <t>湘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</si>
  <si>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</si>
  <si>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颜凯</t>
    </r>
    <r>
      <rPr>
        <sz val="11"/>
        <color theme="1"/>
        <rFont val="ＭＳ Ｐゴシック"/>
        <family val="3"/>
        <charset val="128"/>
        <scheme val="minor"/>
      </rPr>
      <t>爵</t>
    </r>
  </si>
  <si>
    <t>王名亮</t>
  </si>
  <si>
    <r>
      <t xml:space="preserve">果酒（含酒精）;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</si>
  <si>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r>
      <t>趣熹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</si>
  <si>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白干酒（中国白酒）; 烈酒; 米酒; 甜果酒;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</si>
  <si>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胡秀</t>
    </r>
    <r>
      <rPr>
        <sz val="11"/>
        <color theme="1"/>
        <rFont val="ＭＳ Ｐゴシック"/>
        <family val="3"/>
        <charset val="134"/>
        <scheme val="minor"/>
      </rPr>
      <t>贝</t>
    </r>
  </si>
  <si>
    <r>
      <t>苹果酒;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蜂蜜酒; 开胃酒; 食用酒精; 果酒（含酒精）; 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</si>
  <si>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爵王府</t>
  </si>
  <si>
    <r>
      <t>谢</t>
    </r>
    <r>
      <rPr>
        <sz val="11"/>
        <color theme="1"/>
        <rFont val="ＭＳ Ｐゴシック"/>
        <family val="3"/>
        <charset val="128"/>
        <scheme val="minor"/>
      </rPr>
      <t>国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</si>
  <si>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>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清酒（日本米酒）; 葡萄酒; 米酒; 黄酒</t>
    </r>
  </si>
  <si>
    <t>九州留名</t>
  </si>
  <si>
    <t>陈创</t>
  </si>
  <si>
    <r>
      <t>葡萄酒; 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清酒（日本米酒）; 果酒（含酒精）; 米酒;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威士忌</t>
    </r>
  </si>
  <si>
    <r>
      <t>鹑</t>
    </r>
    <r>
      <rPr>
        <sz val="11"/>
        <color theme="1"/>
        <rFont val="ＭＳ Ｐゴシック"/>
        <family val="3"/>
        <charset val="128"/>
        <scheme val="minor"/>
      </rPr>
      <t>觚秦酒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</si>
  <si>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肃鹑</t>
    </r>
    <r>
      <rPr>
        <sz val="11"/>
        <color theme="1"/>
        <rFont val="ＭＳ Ｐゴシック"/>
        <family val="3"/>
        <charset val="128"/>
        <scheme val="minor"/>
      </rPr>
      <t>觚供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</si>
  <si>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葡萄酒; 青稞酒;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</si>
  <si>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瑜我同型</t>
  </si>
  <si>
    <r>
      <t>上海稻池网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</si>
  <si>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果酒（含酒精）;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食用酒精; 米酒</t>
    </r>
  </si>
  <si>
    <r>
      <t>方</t>
    </r>
    <r>
      <rPr>
        <sz val="11"/>
        <color theme="1"/>
        <rFont val="ＭＳ Ｐゴシック"/>
        <family val="3"/>
        <charset val="134"/>
        <scheme val="minor"/>
      </rPr>
      <t>锋</t>
    </r>
    <r>
      <rPr>
        <sz val="11"/>
        <color theme="1"/>
        <rFont val="ＭＳ Ｐゴシック"/>
        <family val="3"/>
        <charset val="128"/>
        <scheme val="minor"/>
      </rPr>
      <t>林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</si>
  <si>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白酒; 清酒; 食用酒精;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高粱酒; 葡萄酒; 米酒</t>
    </r>
  </si>
  <si>
    <t>BT</t>
  </si>
  <si>
    <r>
      <t>闫晓</t>
    </r>
    <r>
      <rPr>
        <sz val="11"/>
        <color theme="1"/>
        <rFont val="ＭＳ Ｐゴシック"/>
        <family val="3"/>
        <charset val="128"/>
        <scheme val="minor"/>
      </rPr>
      <t>荣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</si>
  <si>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</si>
  <si>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千姿美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</si>
  <si>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南京千姿美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生物科技有限公司</t>
    </r>
  </si>
  <si>
    <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</si>
  <si>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华</t>
    </r>
    <r>
      <rPr>
        <sz val="11"/>
        <color theme="1"/>
        <rFont val="ＭＳ Ｐゴシック"/>
        <family val="3"/>
        <charset val="128"/>
        <scheme val="minor"/>
      </rPr>
      <t>古夏田</t>
    </r>
  </si>
  <si>
    <r>
      <t>邹</t>
    </r>
    <r>
      <rPr>
        <sz val="11"/>
        <color theme="1"/>
        <rFont val="ＭＳ Ｐゴシック"/>
        <family val="3"/>
        <charset val="128"/>
        <scheme val="minor"/>
      </rPr>
      <t>俊</t>
    </r>
    <r>
      <rPr>
        <sz val="11"/>
        <color theme="1"/>
        <rFont val="ＭＳ Ｐゴシック"/>
        <family val="3"/>
        <charset val="134"/>
        <scheme val="minor"/>
      </rPr>
      <t>诚</t>
    </r>
  </si>
  <si>
    <r>
      <t xml:space="preserve">葡萄酒;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</si>
  <si>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同小玉</t>
  </si>
  <si>
    <r>
      <t>厦</t>
    </r>
    <r>
      <rPr>
        <sz val="11"/>
        <color theme="1"/>
        <rFont val="ＭＳ Ｐゴシック"/>
        <family val="3"/>
        <charset val="134"/>
        <scheme val="minor"/>
      </rPr>
      <t>门习</t>
    </r>
    <r>
      <rPr>
        <sz val="11"/>
        <color theme="1"/>
        <rFont val="ＭＳ Ｐゴシック"/>
        <family val="3"/>
        <charset val="128"/>
        <scheme val="minor"/>
      </rPr>
      <t>玉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</si>
  <si>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果酒; 白酒; 高粱酒;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清酒</t>
    </r>
  </si>
  <si>
    <t>仁恋</t>
  </si>
  <si>
    <r>
      <t>郭建</t>
    </r>
    <r>
      <rPr>
        <sz val="11"/>
        <color theme="1"/>
        <rFont val="ＭＳ Ｐゴシック"/>
        <family val="3"/>
        <charset val="134"/>
        <scheme val="minor"/>
      </rPr>
      <t>华</t>
    </r>
  </si>
  <si>
    <r>
      <t xml:space="preserve">米酒; 烈酒; 清酒（日本米酒）;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茴香酒; 威士忌</t>
    </r>
  </si>
  <si>
    <r>
      <t>冯</t>
    </r>
    <r>
      <rPr>
        <sz val="11"/>
        <color theme="1"/>
        <rFont val="ＭＳ Ｐゴシック"/>
        <family val="3"/>
        <charset val="128"/>
        <scheme val="minor"/>
      </rPr>
      <t>台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</si>
  <si>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州省木黄酒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  <r>
      <rPr>
        <sz val="11"/>
        <color theme="1"/>
        <rFont val="ＭＳ Ｐゴシック"/>
        <family val="3"/>
        <charset val="134"/>
        <scheme val="minor"/>
      </rPr>
      <t>冯</t>
    </r>
    <r>
      <rPr>
        <sz val="11"/>
        <color theme="1"/>
        <rFont val="ＭＳ Ｐゴシック"/>
        <family val="3"/>
        <charset val="128"/>
        <scheme val="minor"/>
      </rPr>
      <t>台分公司</t>
    </r>
  </si>
  <si>
    <r>
      <t xml:space="preserve">蒸煮提取物（利口酒和烈酒）;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</si>
  <si>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为</t>
    </r>
    <r>
      <rPr>
        <sz val="11"/>
        <color theme="1"/>
        <rFont val="ＭＳ Ｐゴシック"/>
        <family val="3"/>
        <charset val="128"/>
        <scheme val="minor"/>
      </rPr>
      <t>同</t>
    </r>
  </si>
  <si>
    <r>
      <t>颜</t>
    </r>
    <r>
      <rPr>
        <sz val="11"/>
        <color theme="1"/>
        <rFont val="ＭＳ Ｐゴシック"/>
        <family val="3"/>
        <charset val="128"/>
        <scheme val="minor"/>
      </rPr>
      <t>淑霞</t>
    </r>
  </si>
  <si>
    <r>
      <t>葡萄酒; 伏特加酒;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黄酒; 威士忌;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</si>
  <si>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t>美年景</t>
  </si>
  <si>
    <r>
      <t>陈</t>
    </r>
    <r>
      <rPr>
        <sz val="11"/>
        <color theme="1"/>
        <rFont val="ＭＳ Ｐゴシック"/>
        <family val="3"/>
        <charset val="128"/>
        <scheme val="minor"/>
      </rPr>
      <t>浪******************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</si>
  <si>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食用酒精</t>
    </r>
  </si>
  <si>
    <r>
      <t>酝</t>
    </r>
    <r>
      <rPr>
        <sz val="11"/>
        <color theme="1"/>
        <rFont val="ＭＳ Ｐゴシック"/>
        <family val="3"/>
        <charset val="128"/>
        <scheme val="minor"/>
      </rPr>
      <t>千臻</t>
    </r>
  </si>
  <si>
    <r>
      <t xml:space="preserve">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食用酒精;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</si>
  <si>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t>思虚公</t>
  </si>
  <si>
    <r>
      <t>张</t>
    </r>
    <r>
      <rPr>
        <sz val="11"/>
        <color theme="1"/>
        <rFont val="ＭＳ Ｐゴシック"/>
        <family val="3"/>
        <charset val="128"/>
        <scheme val="minor"/>
      </rPr>
      <t>世</t>
    </r>
    <r>
      <rPr>
        <sz val="11"/>
        <color theme="1"/>
        <rFont val="ＭＳ Ｐゴシック"/>
        <family val="3"/>
        <charset val="134"/>
        <scheme val="minor"/>
      </rPr>
      <t>玮</t>
    </r>
  </si>
  <si>
    <r>
      <t>黄酒; 葡萄酒; 梨酒;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白酒</t>
    </r>
  </si>
  <si>
    <r>
      <t>柯小</t>
    </r>
    <r>
      <rPr>
        <sz val="11"/>
        <color theme="1"/>
        <rFont val="ＭＳ Ｐゴシック"/>
        <family val="3"/>
        <charset val="134"/>
        <scheme val="minor"/>
      </rPr>
      <t>欢</t>
    </r>
  </si>
  <si>
    <r>
      <t>黄</t>
    </r>
    <r>
      <rPr>
        <sz val="11"/>
        <color theme="1"/>
        <rFont val="ＭＳ Ｐゴシック"/>
        <family val="3"/>
        <charset val="134"/>
        <scheme val="minor"/>
      </rPr>
      <t>岛</t>
    </r>
    <r>
      <rPr>
        <sz val="11"/>
        <color theme="1"/>
        <rFont val="ＭＳ Ｐゴシック"/>
        <family val="3"/>
        <charset val="128"/>
        <scheme val="minor"/>
      </rPr>
      <t>区李</t>
    </r>
    <r>
      <rPr>
        <sz val="11"/>
        <color theme="1"/>
        <rFont val="ＭＳ Ｐゴシック"/>
        <family val="3"/>
        <charset val="134"/>
        <scheme val="minor"/>
      </rPr>
      <t>记</t>
    </r>
    <r>
      <rPr>
        <sz val="11"/>
        <color theme="1"/>
        <rFont val="ＭＳ Ｐゴシック"/>
        <family val="3"/>
        <charset val="128"/>
        <scheme val="minor"/>
      </rPr>
      <t>匠心酒坊</t>
    </r>
  </si>
  <si>
    <r>
      <t>薄荷酒;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果酒（含酒精）; 清酒; 米酒</t>
    </r>
  </si>
  <si>
    <t>拂若里</t>
  </si>
  <si>
    <r>
      <t>苏</t>
    </r>
    <r>
      <rPr>
        <sz val="11"/>
        <color theme="1"/>
        <rFont val="ＭＳ Ｐゴシック"/>
        <family val="3"/>
        <charset val="128"/>
        <scheme val="minor"/>
      </rPr>
      <t>州梵鑫雨念化</t>
    </r>
    <r>
      <rPr>
        <sz val="11"/>
        <color theme="1"/>
        <rFont val="ＭＳ Ｐゴシック"/>
        <family val="3"/>
        <charset val="134"/>
        <scheme val="minor"/>
      </rPr>
      <t>妆</t>
    </r>
    <r>
      <rPr>
        <sz val="11"/>
        <color theme="1"/>
        <rFont val="ＭＳ Ｐゴシック"/>
        <family val="3"/>
        <charset val="128"/>
        <scheme val="minor"/>
      </rPr>
      <t>品有限公司</t>
    </r>
  </si>
  <si>
    <r>
      <t>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高粱酒; 果酒; 黄酒</t>
    </r>
  </si>
  <si>
    <r>
      <t>见</t>
    </r>
    <r>
      <rPr>
        <sz val="11"/>
        <color theme="1"/>
        <rFont val="ＭＳ Ｐゴシック"/>
        <family val="3"/>
        <charset val="128"/>
        <scheme val="minor"/>
      </rPr>
      <t>康星</t>
    </r>
  </si>
  <si>
    <r>
      <t>佛山</t>
    </r>
    <r>
      <rPr>
        <sz val="11"/>
        <color theme="1"/>
        <rFont val="ＭＳ Ｐゴシック"/>
        <family val="3"/>
        <charset val="134"/>
        <scheme val="minor"/>
      </rPr>
      <t>领</t>
    </r>
    <r>
      <rPr>
        <sz val="11"/>
        <color theme="1"/>
        <rFont val="ＭＳ Ｐゴシック"/>
        <family val="3"/>
        <charset val="128"/>
        <scheme val="minor"/>
      </rPr>
      <t>航康养科技有限公司</t>
    </r>
  </si>
  <si>
    <r>
      <t>蒸煮提取物（利口酒和烈酒）;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果酒（含酒精）;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白酒</t>
    </r>
  </si>
  <si>
    <t>牧臣雪</t>
  </si>
  <si>
    <r>
      <t>马桥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</si>
  <si>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葡萄酒; 米酒;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含酒精的气泡水;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</si>
  <si>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书</t>
    </r>
    <r>
      <rPr>
        <sz val="11"/>
        <color theme="1"/>
        <rFont val="ＭＳ Ｐゴシック"/>
        <family val="3"/>
        <charset val="128"/>
        <scheme val="minor"/>
      </rPr>
      <t>年</t>
    </r>
  </si>
  <si>
    <r>
      <t>赵</t>
    </r>
    <r>
      <rPr>
        <sz val="11"/>
        <color theme="1"/>
        <rFont val="ＭＳ Ｐゴシック"/>
        <family val="3"/>
        <charset val="128"/>
        <scheme val="minor"/>
      </rPr>
      <t>保</t>
    </r>
    <r>
      <rPr>
        <sz val="11"/>
        <color theme="1"/>
        <rFont val="ＭＳ Ｐゴシック"/>
        <family val="3"/>
        <charset val="134"/>
        <scheme val="minor"/>
      </rPr>
      <t>莹</t>
    </r>
  </si>
  <si>
    <r>
      <t xml:space="preserve">清酒;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甜酒; 食用酒精; 白酒; 果酒; 葡萄酒; 汽酒; 黄酒</t>
    </r>
  </si>
  <si>
    <t>知心伴</t>
  </si>
  <si>
    <t>晏水玲</t>
  </si>
  <si>
    <r>
      <t>白酒; 开胃酒;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果酒（含酒精）; 米酒;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</si>
  <si>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渡</t>
    </r>
    <r>
      <rPr>
        <sz val="11"/>
        <color theme="1"/>
        <rFont val="ＭＳ Ｐゴシック"/>
        <family val="3"/>
        <charset val="134"/>
        <scheme val="minor"/>
      </rPr>
      <t>浔</t>
    </r>
  </si>
  <si>
    <r>
      <t xml:space="preserve">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威士忌; 烈酒; 清酒（日本米酒）</t>
    </r>
  </si>
  <si>
    <t>婧益康</t>
  </si>
  <si>
    <r>
      <t>艾婧雯医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管理（天津）有限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</si>
  <si>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薄荷酒;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果酒（含酒精）; 餐后酒（利口酒和烈酒）;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</si>
  <si>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当戈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</si>
  <si>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米酒; 烈酒; 威士忌; 葡萄酒</t>
    </r>
  </si>
  <si>
    <r>
      <t>顶</t>
    </r>
    <r>
      <rPr>
        <sz val="11"/>
        <color theme="1"/>
        <rFont val="ＭＳ Ｐゴシック"/>
        <family val="3"/>
        <charset val="128"/>
        <scheme val="minor"/>
      </rPr>
      <t>添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</si>
  <si>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烈酒;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黄酒</t>
    </r>
  </si>
  <si>
    <t>魁星福</t>
  </si>
  <si>
    <r>
      <t>陈进</t>
    </r>
    <r>
      <rPr>
        <sz val="11"/>
        <color theme="1"/>
        <rFont val="ＭＳ Ｐゴシック"/>
        <family val="3"/>
        <charset val="128"/>
        <scheme val="minor"/>
      </rPr>
      <t>祥</t>
    </r>
  </si>
  <si>
    <r>
      <t xml:space="preserve">威士忌; 黄酒; 米酒; 果酒（含酒精）; 清酒（日本米酒）;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</si>
  <si>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鹿养宁</t>
  </si>
  <si>
    <t>胡亮</t>
  </si>
  <si>
    <r>
      <t>青稞酒; 食用酒精; 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威士忌;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</si>
  <si>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樽空</t>
    </r>
    <r>
      <rPr>
        <sz val="11"/>
        <color theme="1"/>
        <rFont val="ＭＳ Ｐゴシック"/>
        <family val="3"/>
        <charset val="134"/>
        <scheme val="minor"/>
      </rPr>
      <t>对</t>
    </r>
    <r>
      <rPr>
        <sz val="11"/>
        <color theme="1"/>
        <rFont val="ＭＳ Ｐゴシック"/>
        <family val="3"/>
        <charset val="128"/>
        <scheme val="minor"/>
      </rPr>
      <t>月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</si>
  <si>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西德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堂中医</t>
    </r>
    <r>
      <rPr>
        <sz val="11"/>
        <color theme="1"/>
        <rFont val="ＭＳ Ｐゴシック"/>
        <family val="3"/>
        <charset val="134"/>
        <scheme val="minor"/>
      </rPr>
      <t>药</t>
    </r>
    <r>
      <rPr>
        <sz val="11"/>
        <color theme="1"/>
        <rFont val="ＭＳ Ｐゴシック"/>
        <family val="3"/>
        <charset val="128"/>
        <scheme val="minor"/>
      </rPr>
      <t>科技有限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</si>
  <si>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白干酒（中国白酒）; 高粱酒;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烈性干酒; 水果汽酒;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</si>
  <si>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邢卯</t>
  </si>
  <si>
    <r>
      <t>穿梭（广州）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</si>
  <si>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清酒（日本米酒）; 高粱酒; 青稞酒;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朗姆酒;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白干酒（中国白酒）;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白葡萄酒;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</si>
  <si>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毛</t>
    </r>
    <r>
      <rPr>
        <sz val="11"/>
        <color theme="1"/>
        <rFont val="ＭＳ Ｐゴシック"/>
        <family val="3"/>
        <charset val="134"/>
        <scheme val="minor"/>
      </rPr>
      <t>坝</t>
    </r>
    <r>
      <rPr>
        <sz val="11"/>
        <color theme="1"/>
        <rFont val="ＭＳ Ｐゴシック"/>
        <family val="3"/>
        <charset val="128"/>
        <scheme val="minor"/>
      </rPr>
      <t>河</t>
    </r>
  </si>
  <si>
    <r>
      <t>镇</t>
    </r>
    <r>
      <rPr>
        <sz val="11"/>
        <color theme="1"/>
        <rFont val="ＭＳ Ｐゴシック"/>
        <family val="3"/>
        <charset val="128"/>
        <scheme val="minor"/>
      </rPr>
      <t>坪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瑞和春</t>
    </r>
    <r>
      <rPr>
        <sz val="11"/>
        <color theme="1"/>
        <rFont val="ＭＳ Ｐゴシック"/>
        <family val="3"/>
        <charset val="134"/>
        <scheme val="minor"/>
      </rPr>
      <t>农业农</t>
    </r>
    <r>
      <rPr>
        <sz val="11"/>
        <color theme="1"/>
        <rFont val="ＭＳ Ｐゴシック"/>
        <family val="3"/>
        <charset val="128"/>
        <scheme val="minor"/>
      </rPr>
      <t>民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</si>
  <si>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 xml:space="preserve">果酒（含酒精）; 清酒（日本米酒）;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白酒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</si>
  <si>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烈性干酒;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水果汽酒; 果酒（含酒精）; 高粱酒</t>
    </r>
  </si>
  <si>
    <t>熊猫如愿</t>
  </si>
  <si>
    <t>深圳市三易康养科技有限公司</t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</si>
  <si>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薄荷酒;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</t>
    </r>
  </si>
  <si>
    <r>
      <t>玮</t>
    </r>
    <r>
      <rPr>
        <sz val="11"/>
        <color theme="1"/>
        <rFont val="ＭＳ Ｐゴシック"/>
        <family val="3"/>
        <charset val="128"/>
        <scheme val="minor"/>
      </rPr>
      <t>熙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</si>
  <si>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 xml:space="preserve">梨酒; 白酒;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黄酒;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>族米酒</t>
    </r>
  </si>
  <si>
    <t>百匠吟</t>
  </si>
  <si>
    <r>
      <t xml:space="preserve">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烈酒;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威士忌;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</si>
  <si>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t>李命佳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</si>
  <si>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你命佳餐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</si>
  <si>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果酒（含酒精）; 苹果酒; 白酒; 米酒;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伏特加酒;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薄荷酒</t>
    </r>
  </si>
  <si>
    <r>
      <t>一心靠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</si>
  <si>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阜南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会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三粮酒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</si>
  <si>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白干酒（中国白酒）;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</si>
  <si>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王坤</t>
  </si>
  <si>
    <r>
      <t>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桃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</si>
  <si>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t>甘囊香</t>
  </si>
  <si>
    <r>
      <t>顾</t>
    </r>
    <r>
      <rPr>
        <sz val="11"/>
        <color theme="1"/>
        <rFont val="ＭＳ Ｐゴシック"/>
        <family val="3"/>
        <charset val="128"/>
        <scheme val="minor"/>
      </rPr>
      <t>政法</t>
    </r>
  </si>
  <si>
    <r>
      <t>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米酒; 开胃酒; 黄酒;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</si>
  <si>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YUCHENGMAI</t>
  </si>
  <si>
    <r>
      <t>广州</t>
    </r>
    <r>
      <rPr>
        <sz val="11"/>
        <color theme="1"/>
        <rFont val="ＭＳ Ｐゴシック"/>
        <family val="3"/>
        <charset val="134"/>
        <scheme val="minor"/>
      </rPr>
      <t>钰</t>
    </r>
    <r>
      <rPr>
        <sz val="11"/>
        <color theme="1"/>
        <rFont val="ＭＳ Ｐゴシック"/>
        <family val="3"/>
        <charset val="128"/>
        <scheme val="minor"/>
      </rPr>
      <t>麦网</t>
    </r>
    <r>
      <rPr>
        <sz val="11"/>
        <color theme="1"/>
        <rFont val="ＭＳ Ｐゴシック"/>
        <family val="3"/>
        <charset val="134"/>
        <scheme val="minor"/>
      </rPr>
      <t>络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</si>
  <si>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威士忌;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伏特加酒</t>
    </r>
  </si>
  <si>
    <t>芸浠庄园</t>
  </si>
  <si>
    <r>
      <t>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永生商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</si>
  <si>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t>葡萄酒; 果酒（含酒精）; 高粱酒; 苹果酒; 开胃酒; 白酒; 蜂蜜酒; 米酒; 甜酒; 青稞酒</t>
  </si>
  <si>
    <t>追青春</t>
  </si>
  <si>
    <r>
      <t xml:space="preserve">茴香酒; 白酒; 烈酒; 黄酒; 米酒; 果酒（含酒精）;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</si>
  <si>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r>
      <t>乾都壹</t>
    </r>
    <r>
      <rPr>
        <sz val="11"/>
        <color theme="1"/>
        <rFont val="ＭＳ Ｐゴシック"/>
        <family val="3"/>
        <charset val="134"/>
        <scheme val="minor"/>
      </rPr>
      <t>叁</t>
    </r>
    <r>
      <rPr>
        <sz val="11"/>
        <color theme="1"/>
        <rFont val="ＭＳ Ｐゴシック"/>
        <family val="3"/>
        <charset val="128"/>
        <scheme val="minor"/>
      </rPr>
      <t>捌号</t>
    </r>
  </si>
  <si>
    <r>
      <t>雷</t>
    </r>
    <r>
      <rPr>
        <sz val="11"/>
        <color theme="1"/>
        <rFont val="ＭＳ Ｐゴシック"/>
        <family val="3"/>
        <charset val="134"/>
        <scheme val="minor"/>
      </rPr>
      <t>婵</t>
    </r>
  </si>
  <si>
    <r>
      <t xml:space="preserve">黄酒; 清酒; 果酒;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开胃酒; 白酒</t>
    </r>
  </si>
  <si>
    <t>INSIDE FLOW</t>
  </si>
  <si>
    <r>
      <t>果酒;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高粱酒;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</si>
  <si>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</t>
    </r>
    <r>
      <rPr>
        <sz val="11"/>
        <color theme="1"/>
        <rFont val="ＭＳ Ｐゴシック"/>
        <family val="3"/>
        <charset val="134"/>
        <scheme val="minor"/>
      </rPr>
      <t>宫</t>
    </r>
    <r>
      <rPr>
        <sz val="11"/>
        <color theme="1"/>
        <rFont val="ＭＳ Ｐゴシック"/>
        <family val="3"/>
        <charset val="128"/>
        <scheme val="minor"/>
      </rPr>
      <t>保上品食品有限公司</t>
    </r>
  </si>
  <si>
    <r>
      <t xml:space="preserve">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高粱酒</t>
    </r>
  </si>
  <si>
    <r>
      <t>鲜</t>
    </r>
    <r>
      <rPr>
        <sz val="11"/>
        <color theme="1"/>
        <rFont val="ＭＳ Ｐゴシック"/>
        <family val="3"/>
        <charset val="128"/>
        <scheme val="minor"/>
      </rPr>
      <t>瑾</t>
    </r>
    <r>
      <rPr>
        <sz val="11"/>
        <color theme="1"/>
        <rFont val="ＭＳ Ｐゴシック"/>
        <family val="3"/>
        <charset val="134"/>
        <scheme val="minor"/>
      </rPr>
      <t>态</t>
    </r>
  </si>
  <si>
    <r>
      <t>汕</t>
    </r>
    <r>
      <rPr>
        <sz val="11"/>
        <color theme="1"/>
        <rFont val="ＭＳ Ｐゴシック"/>
        <family val="3"/>
        <charset val="134"/>
        <scheme val="minor"/>
      </rPr>
      <t>头</t>
    </r>
    <r>
      <rPr>
        <sz val="11"/>
        <color theme="1"/>
        <rFont val="ＭＳ Ｐゴシック"/>
        <family val="3"/>
        <charset val="128"/>
        <scheme val="minor"/>
      </rPr>
      <t>市</t>
    </r>
    <r>
      <rPr>
        <sz val="11"/>
        <color theme="1"/>
        <rFont val="ＭＳ Ｐゴシック"/>
        <family val="3"/>
        <charset val="134"/>
        <scheme val="minor"/>
      </rPr>
      <t>鲜态</t>
    </r>
    <r>
      <rPr>
        <sz val="11"/>
        <color theme="1"/>
        <rFont val="ＭＳ Ｐゴシック"/>
        <family val="3"/>
        <charset val="128"/>
        <scheme val="minor"/>
      </rPr>
      <t>园供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</si>
  <si>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高粱酒;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米酒; 白酒; 果酒</t>
    </r>
  </si>
  <si>
    <r>
      <t>潮天</t>
    </r>
    <r>
      <rPr>
        <sz val="11"/>
        <color theme="1"/>
        <rFont val="ＭＳ Ｐゴシック"/>
        <family val="3"/>
        <charset val="134"/>
        <scheme val="minor"/>
      </rPr>
      <t>辉</t>
    </r>
  </si>
  <si>
    <r>
      <t>南宁市美瑾空</t>
    </r>
    <r>
      <rPr>
        <sz val="11"/>
        <color theme="1"/>
        <rFont val="ＭＳ Ｐゴシック"/>
        <family val="3"/>
        <charset val="134"/>
        <scheme val="minor"/>
      </rPr>
      <t>间</t>
    </r>
    <r>
      <rPr>
        <sz val="11"/>
        <color theme="1"/>
        <rFont val="ＭＳ Ｐゴシック"/>
        <family val="3"/>
        <charset val="128"/>
        <scheme val="minor"/>
      </rPr>
      <t>全屋定制有限公司</t>
    </r>
  </si>
  <si>
    <r>
      <t>葡萄酒; 白酒; 清酒（日本米酒）; 果酒（含酒精）;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</si>
  <si>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甘</t>
    </r>
    <r>
      <rPr>
        <sz val="11"/>
        <color theme="1"/>
        <rFont val="ＭＳ Ｐゴシック"/>
        <family val="3"/>
        <charset val="134"/>
        <scheme val="minor"/>
      </rPr>
      <t>亲</t>
    </r>
    <r>
      <rPr>
        <sz val="11"/>
        <color theme="1"/>
        <rFont val="ＭＳ Ｐゴシック"/>
        <family val="3"/>
        <charset val="128"/>
        <scheme val="minor"/>
      </rPr>
      <t>家</t>
    </r>
  </si>
  <si>
    <r>
      <t>成都</t>
    </r>
    <r>
      <rPr>
        <sz val="11"/>
        <color theme="1"/>
        <rFont val="ＭＳ Ｐゴシック"/>
        <family val="3"/>
        <charset val="129"/>
        <scheme val="minor"/>
      </rPr>
      <t>优</t>
    </r>
    <r>
      <rPr>
        <sz val="11"/>
        <color theme="1"/>
        <rFont val="ＭＳ Ｐゴシック"/>
        <family val="3"/>
        <charset val="134"/>
        <scheme val="minor"/>
      </rPr>
      <t>乐</t>
    </r>
    <r>
      <rPr>
        <sz val="11"/>
        <color theme="1"/>
        <rFont val="ＭＳ Ｐゴシック"/>
        <family val="3"/>
        <charset val="128"/>
        <scheme val="minor"/>
      </rPr>
      <t>佳餐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管理有限公司</t>
    </r>
  </si>
  <si>
    <r>
      <t xml:space="preserve">葡萄酒; 烈酒; 高粱酒; 开胃酒;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果酒（含酒精）; 米酒; 梨酒</t>
    </r>
  </si>
  <si>
    <r>
      <t>婧雯</t>
    </r>
    <r>
      <rPr>
        <sz val="11"/>
        <color theme="1"/>
        <rFont val="ＭＳ Ｐゴシック"/>
        <family val="3"/>
        <charset val="134"/>
        <scheme val="minor"/>
      </rPr>
      <t>兴华</t>
    </r>
  </si>
  <si>
    <r>
      <t>薄荷酒;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开胃酒;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餐后酒（利口酒和烈酒）;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</si>
  <si>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春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吹</t>
    </r>
  </si>
  <si>
    <r>
      <t xml:space="preserve">葡萄酒; 米酒; 威士忌; 茴香酒; 黄酒;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烈酒</t>
    </r>
  </si>
  <si>
    <r>
      <t>当</t>
    </r>
    <r>
      <rPr>
        <sz val="11"/>
        <color theme="1"/>
        <rFont val="ＭＳ Ｐゴシック"/>
        <family val="3"/>
        <charset val="134"/>
        <scheme val="minor"/>
      </rPr>
      <t>寻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</si>
  <si>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黄酒; 米酒; 青稞酒; 威士忌</t>
    </r>
  </si>
  <si>
    <t>平西梁里</t>
  </si>
  <si>
    <r>
      <t>新疆坤鑫泰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</si>
  <si>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</si>
  <si>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FEHG</t>
  </si>
  <si>
    <r>
      <t>远东</t>
    </r>
    <r>
      <rPr>
        <sz val="11"/>
        <color theme="1"/>
        <rFont val="ＭＳ Ｐゴシック"/>
        <family val="3"/>
        <charset val="128"/>
        <scheme val="minor"/>
      </rPr>
      <t>控股集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</si>
  <si>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蜂蜜酒; 葡萄酒; 清酒</t>
    </r>
  </si>
  <si>
    <r>
      <t>时忆长</t>
    </r>
    <r>
      <rPr>
        <sz val="11"/>
        <color theme="1"/>
        <rFont val="ＭＳ Ｐゴシック"/>
        <family val="3"/>
        <charset val="128"/>
        <scheme val="minor"/>
      </rPr>
      <t>田</t>
    </r>
  </si>
  <si>
    <r>
      <t>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阿克索大健康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</si>
  <si>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食用酒精;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白酒; 果酒; 白干酒（中国白酒）</t>
    </r>
  </si>
  <si>
    <r>
      <t>赛</t>
    </r>
    <r>
      <rPr>
        <sz val="11"/>
        <color theme="1"/>
        <rFont val="ＭＳ Ｐゴシック"/>
        <family val="3"/>
        <charset val="128"/>
        <scheme val="minor"/>
      </rPr>
      <t>思特 SAISITER</t>
    </r>
  </si>
  <si>
    <r>
      <t xml:space="preserve">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白酒; 烈酒; 米酒; 威士忌; 清酒（日本米酒）; 茴香酒; 果酒（含酒精）</t>
    </r>
  </si>
  <si>
    <r>
      <t>青茬</t>
    </r>
    <r>
      <rPr>
        <sz val="11"/>
        <color theme="1"/>
        <rFont val="ＭＳ Ｐゴシック"/>
        <family val="3"/>
        <charset val="134"/>
        <scheme val="minor"/>
      </rPr>
      <t>汵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</si>
  <si>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振</t>
    </r>
    <r>
      <rPr>
        <sz val="11"/>
        <color theme="1"/>
        <rFont val="ＭＳ Ｐゴシック"/>
        <family val="3"/>
        <charset val="134"/>
        <scheme val="minor"/>
      </rPr>
      <t>勋</t>
    </r>
    <r>
      <rPr>
        <sz val="11"/>
        <color theme="1"/>
        <rFont val="ＭＳ Ｐゴシック"/>
        <family val="3"/>
        <charset val="128"/>
        <scheme val="minor"/>
      </rPr>
      <t>******************</t>
    </r>
  </si>
  <si>
    <r>
      <t xml:space="preserve">苦味酒; 白酒; 开胃酒; 果酒（含酒精）;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蒸煮提取物（利口酒和烈酒）;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</si>
  <si>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安窠</t>
  </si>
  <si>
    <r>
      <t>福州安窠房屋租</t>
    </r>
    <r>
      <rPr>
        <sz val="11"/>
        <color theme="1"/>
        <rFont val="ＭＳ Ｐゴシック"/>
        <family val="3"/>
        <charset val="134"/>
        <scheme val="minor"/>
      </rPr>
      <t>赁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</si>
  <si>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黄酒; 汽酒; 果酒（含酒精）; 清酒（日本米酒）;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</si>
  <si>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家有博士</t>
  </si>
  <si>
    <r>
      <t>长</t>
    </r>
    <r>
      <rPr>
        <sz val="11"/>
        <color theme="1"/>
        <rFont val="ＭＳ Ｐゴシック"/>
        <family val="3"/>
        <charset val="128"/>
        <scheme val="minor"/>
      </rPr>
      <t>沙越途</t>
    </r>
    <r>
      <rPr>
        <sz val="11"/>
        <color theme="1"/>
        <rFont val="ＭＳ Ｐゴシック"/>
        <family val="3"/>
        <charset val="134"/>
        <scheme val="minor"/>
      </rPr>
      <t>电</t>
    </r>
    <r>
      <rPr>
        <sz val="11"/>
        <color theme="1"/>
        <rFont val="ＭＳ Ｐゴシック"/>
        <family val="3"/>
        <charset val="128"/>
        <scheme val="minor"/>
      </rPr>
      <t>子商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</si>
  <si>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威士忌;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</si>
  <si>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西尼</t>
    </r>
    <r>
      <rPr>
        <sz val="11"/>
        <color theme="1"/>
        <rFont val="ＭＳ Ｐゴシック"/>
        <family val="3"/>
        <charset val="134"/>
        <scheme val="minor"/>
      </rPr>
      <t>尔</t>
    </r>
  </si>
  <si>
    <r>
      <t>新疆香馥园果</t>
    </r>
    <r>
      <rPr>
        <sz val="11"/>
        <color theme="1"/>
        <rFont val="ＭＳ Ｐゴシック"/>
        <family val="3"/>
        <charset val="134"/>
        <scheme val="minor"/>
      </rPr>
      <t>树</t>
    </r>
    <r>
      <rPr>
        <sz val="11"/>
        <color theme="1"/>
        <rFont val="ＭＳ Ｐゴシック"/>
        <family val="3"/>
        <charset val="128"/>
        <scheme val="minor"/>
      </rPr>
      <t>种植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民</t>
    </r>
    <r>
      <rPr>
        <sz val="11"/>
        <color theme="1"/>
        <rFont val="ＭＳ Ｐゴシック"/>
        <family val="3"/>
        <charset val="134"/>
        <scheme val="minor"/>
      </rPr>
      <t>专业</t>
    </r>
    <r>
      <rPr>
        <sz val="11"/>
        <color theme="1"/>
        <rFont val="ＭＳ Ｐゴシック"/>
        <family val="3"/>
        <charset val="128"/>
        <scheme val="minor"/>
      </rPr>
      <t>合作社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</si>
  <si>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蜂蜜酒;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米酒;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</si>
  <si>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极置</t>
  </si>
  <si>
    <r>
      <t>广州</t>
    </r>
    <r>
      <rPr>
        <sz val="11"/>
        <color theme="1"/>
        <rFont val="ＭＳ Ｐゴシック"/>
        <family val="3"/>
        <charset val="134"/>
        <scheme val="minor"/>
      </rPr>
      <t>轻酱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</si>
  <si>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含酒精的气泡水;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 xml:space="preserve">主的除外）; 食用酒精;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</si>
  <si>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享</t>
    </r>
    <r>
      <rPr>
        <sz val="11"/>
        <color theme="1"/>
        <rFont val="ＭＳ Ｐゴシック"/>
        <family val="3"/>
        <charset val="134"/>
        <scheme val="minor"/>
      </rPr>
      <t>骑</t>
    </r>
    <r>
      <rPr>
        <sz val="11"/>
        <color theme="1"/>
        <rFont val="ＭＳ Ｐゴシック"/>
        <family val="3"/>
        <charset val="128"/>
        <scheme val="minor"/>
      </rPr>
      <t>中</t>
    </r>
  </si>
  <si>
    <t>粟秀朗</t>
  </si>
  <si>
    <r>
      <t xml:space="preserve">威士忌;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</t>
    </r>
  </si>
  <si>
    <t>野小舍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</si>
  <si>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汽酒; 果酒（含酒精）; 黄酒; 开胃酒; 米酒; 白酒;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</si>
  <si>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真一正霖</t>
  </si>
  <si>
    <r>
      <t>王</t>
    </r>
    <r>
      <rPr>
        <sz val="11"/>
        <color theme="1"/>
        <rFont val="ＭＳ Ｐゴシック"/>
        <family val="3"/>
        <charset val="134"/>
        <scheme val="minor"/>
      </rPr>
      <t>飞龙</t>
    </r>
  </si>
  <si>
    <r>
      <t>甜酒; 果酒（含酒精）;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</si>
  <si>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泰永真</t>
  </si>
  <si>
    <r>
      <t>朱</t>
    </r>
    <r>
      <rPr>
        <sz val="11"/>
        <color theme="1"/>
        <rFont val="ＭＳ Ｐゴシック"/>
        <family val="3"/>
        <charset val="134"/>
        <scheme val="minor"/>
      </rPr>
      <t>鹏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</si>
  <si>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食用酒精; 蒸煮提取物（利口酒和烈酒）;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</t>
    </r>
  </si>
  <si>
    <r>
      <t>烁</t>
    </r>
    <r>
      <rPr>
        <sz val="11"/>
        <color theme="1"/>
        <rFont val="ＭＳ Ｐゴシック"/>
        <family val="3"/>
        <charset val="128"/>
        <scheme val="minor"/>
      </rPr>
      <t>目德</t>
    </r>
  </si>
  <si>
    <r>
      <t>烁</t>
    </r>
    <r>
      <rPr>
        <sz val="11"/>
        <color theme="1"/>
        <rFont val="ＭＳ Ｐゴシック"/>
        <family val="3"/>
        <charset val="128"/>
        <scheme val="minor"/>
      </rPr>
      <t>目德（北京）科技有限公司</t>
    </r>
  </si>
  <si>
    <r>
      <t>葡萄酒;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朗姆酒;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起泡白葡萄酒; 清酒（日本米酒）</t>
    </r>
  </si>
  <si>
    <r>
      <t>帝悦</t>
    </r>
    <r>
      <rPr>
        <sz val="11"/>
        <color theme="1"/>
        <rFont val="ＭＳ Ｐゴシック"/>
        <family val="3"/>
        <charset val="129"/>
        <scheme val="minor"/>
      </rPr>
      <t>怀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</si>
  <si>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浪</t>
    </r>
  </si>
  <si>
    <r>
      <t xml:space="preserve">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食用酒精; 黄酒; 果酒（含酒精）</t>
    </r>
  </si>
  <si>
    <t>巴佩蒂</t>
  </si>
  <si>
    <t>张驰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</si>
  <si>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威士忌; 果酒（含酒精）;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</t>
    </r>
  </si>
  <si>
    <t>宇太合世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</si>
  <si>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甜酒</t>
    </r>
  </si>
  <si>
    <r>
      <t>浔</t>
    </r>
    <r>
      <rPr>
        <sz val="11"/>
        <color theme="1"/>
        <rFont val="ＭＳ Ｐゴシック"/>
        <family val="3"/>
        <charset val="128"/>
        <scheme val="minor"/>
      </rPr>
      <t>酩鹿</t>
    </r>
  </si>
  <si>
    <r>
      <t xml:space="preserve">米酒; 威士忌; 食用酒精;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白酒</t>
    </r>
  </si>
  <si>
    <t>沂蒙沂河府</t>
  </si>
  <si>
    <r>
      <t>马卫</t>
    </r>
    <r>
      <rPr>
        <sz val="11"/>
        <color theme="1"/>
        <rFont val="ＭＳ Ｐゴシック"/>
        <family val="3"/>
        <charset val="128"/>
        <scheme val="minor"/>
      </rPr>
      <t>富</t>
    </r>
  </si>
  <si>
    <r>
      <t xml:space="preserve">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甜酒; 食用酒精; 白酒; 葡萄酒; 清酒; 果酒; 高粱酒</t>
    </r>
  </si>
  <si>
    <r>
      <t>禧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仙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</si>
  <si>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葡萄酒; 清酒（日本米酒）;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米酒; 威士忌; 果酒（含酒精）</t>
    </r>
  </si>
  <si>
    <r>
      <t>锦</t>
    </r>
    <r>
      <rPr>
        <sz val="11"/>
        <color theme="1"/>
        <rFont val="ＭＳ Ｐゴシック"/>
        <family val="3"/>
        <charset val="128"/>
        <scheme val="minor"/>
      </rPr>
      <t>仙公</t>
    </r>
  </si>
  <si>
    <t>陈传华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</si>
  <si>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白酒; 开胃酒; 苦</t>
    </r>
    <r>
      <rPr>
        <sz val="11"/>
        <color theme="1"/>
        <rFont val="ＭＳ Ｐゴシック"/>
        <family val="3"/>
        <charset val="134"/>
        <scheme val="minor"/>
      </rPr>
      <t>荞</t>
    </r>
    <r>
      <rPr>
        <sz val="11"/>
        <color theme="1"/>
        <rFont val="ＭＳ Ｐゴシック"/>
        <family val="3"/>
        <charset val="128"/>
        <scheme val="minor"/>
      </rPr>
      <t>酒; 果酒（含酒精）; 烈酒; 黄酒; 米酒; 高粱酒</t>
    </r>
  </si>
  <si>
    <t>其石</t>
  </si>
  <si>
    <r>
      <t>广西其</t>
    </r>
    <r>
      <rPr>
        <sz val="11"/>
        <color theme="1"/>
        <rFont val="ＭＳ Ｐゴシック"/>
        <family val="3"/>
        <charset val="134"/>
        <scheme val="minor"/>
      </rPr>
      <t>实项</t>
    </r>
    <r>
      <rPr>
        <sz val="11"/>
        <color theme="1"/>
        <rFont val="ＭＳ Ｐゴシック"/>
        <family val="3"/>
        <charset val="128"/>
        <scheme val="minor"/>
      </rPr>
      <t>目咨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</si>
  <si>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青稞酒; 黄酒; 葡萄酒; 汽酒; 开胃酒;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</si>
  <si>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酣酩翁</t>
  </si>
  <si>
    <r>
      <t xml:space="preserve">米酒; 黄酒; 白酒; 果酒（含酒精）; 葡萄酒; 食用酒精;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清酒（日本米酒）</t>
    </r>
  </si>
  <si>
    <t>杏南畔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</si>
  <si>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食用酒精; 清酒（日本米酒）; 威士忌; 果酒（含酒精）; 米酒; 白酒; 黄酒</t>
    </r>
  </si>
  <si>
    <t>TAIYONGZHEN</t>
  </si>
  <si>
    <r>
      <t>蒸煮提取物（利口酒和烈酒）;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米酒;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</t>
    </r>
  </si>
  <si>
    <r>
      <t>鉴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28"/>
        <scheme val="minor"/>
      </rPr>
      <t>福</t>
    </r>
  </si>
  <si>
    <r>
      <t xml:space="preserve">白酒; 葡萄酒; 清酒（日本米酒）; 食用酒精;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米酒</t>
    </r>
  </si>
  <si>
    <r>
      <t>杏</t>
    </r>
    <r>
      <rPr>
        <sz val="11"/>
        <color theme="1"/>
        <rFont val="ＭＳ Ｐゴシック"/>
        <family val="3"/>
        <charset val="134"/>
        <scheme val="minor"/>
      </rPr>
      <t>濑</t>
    </r>
    <r>
      <rPr>
        <sz val="11"/>
        <color theme="1"/>
        <rFont val="ＭＳ Ｐゴシック"/>
        <family val="3"/>
        <charset val="128"/>
        <scheme val="minor"/>
      </rPr>
      <t>春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</si>
  <si>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葡萄酒; 果酒（含酒精）; 米酒; 白酒; 威士忌; 食用酒精; 清酒（日本米酒）;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</si>
  <si>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藏</t>
    </r>
    <r>
      <rPr>
        <sz val="11"/>
        <color theme="1"/>
        <rFont val="ＭＳ Ｐゴシック"/>
        <family val="3"/>
        <charset val="134"/>
        <scheme val="minor"/>
      </rPr>
      <t>壶</t>
    </r>
    <r>
      <rPr>
        <sz val="11"/>
        <color theme="1"/>
        <rFont val="ＭＳ Ｐゴシック"/>
        <family val="3"/>
        <charset val="128"/>
        <scheme val="minor"/>
      </rPr>
      <t>梦</t>
    </r>
  </si>
  <si>
    <r>
      <t xml:space="preserve">白酒; 清酒（日本米酒）;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威士忌;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</si>
  <si>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SAMUDRA</t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</si>
  <si>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朗姆酒; 米酒; 清酒（日本米酒）;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白葡萄酒; 起泡白葡萄酒;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葡萄酒</t>
    </r>
  </si>
  <si>
    <t>仙唐尊</t>
  </si>
  <si>
    <t>郭峰</t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</si>
  <si>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蜂蜜酒; 果酒（含酒精）;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</si>
  <si>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膳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健</t>
    </r>
  </si>
  <si>
    <r>
      <t>膳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健（</t>
    </r>
    <r>
      <rPr>
        <sz val="11"/>
        <color theme="1"/>
        <rFont val="ＭＳ Ｐゴシック"/>
        <family val="3"/>
        <charset val="134"/>
        <scheme val="minor"/>
      </rPr>
      <t>郑</t>
    </r>
    <r>
      <rPr>
        <sz val="11"/>
        <color theme="1"/>
        <rFont val="ＭＳ Ｐゴシック"/>
        <family val="3"/>
        <charset val="128"/>
        <scheme val="minor"/>
      </rPr>
      <t>州）健康管理有限公司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</si>
  <si>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葡萄酒; 果酒（含酒精）; 餐后酒（利口酒和烈酒）; 米酒; 黄酒; 苹果酒;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</t>
    </r>
  </si>
  <si>
    <r>
      <t>酩</t>
    </r>
    <r>
      <rPr>
        <sz val="11"/>
        <color theme="1"/>
        <rFont val="ＭＳ Ｐゴシック"/>
        <family val="3"/>
        <charset val="134"/>
        <scheme val="minor"/>
      </rPr>
      <t>贡欢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</si>
  <si>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食用酒精; 黄酒; 清酒（日本米酒）;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白酒; 威士忌</t>
    </r>
  </si>
  <si>
    <r>
      <t>码头</t>
    </r>
    <r>
      <rPr>
        <sz val="11"/>
        <color theme="1"/>
        <rFont val="ＭＳ Ｐゴシック"/>
        <family val="3"/>
        <charset val="128"/>
        <scheme val="minor"/>
      </rPr>
      <t>黄</t>
    </r>
  </si>
  <si>
    <r>
      <t>郭德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</si>
  <si>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蜂蜜酒; 青稞酒; 黄酒; 白酒;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露酒;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</t>
    </r>
  </si>
  <si>
    <t>莫扎菲 MOZAFLY</t>
  </si>
  <si>
    <r>
      <t>张</t>
    </r>
    <r>
      <rPr>
        <sz val="11"/>
        <color theme="1"/>
        <rFont val="ＭＳ Ｐゴシック"/>
        <family val="3"/>
        <charset val="128"/>
        <scheme val="minor"/>
      </rPr>
      <t>群</t>
    </r>
  </si>
  <si>
    <r>
      <t>葡萄酒; 已</t>
    </r>
    <r>
      <rPr>
        <sz val="11"/>
        <color theme="1"/>
        <rFont val="ＭＳ Ｐゴシック"/>
        <family val="3"/>
        <charset val="134"/>
        <scheme val="minor"/>
      </rPr>
      <t>调</t>
    </r>
    <r>
      <rPr>
        <sz val="11"/>
        <color theme="1"/>
        <rFont val="ＭＳ Ｐゴシック"/>
        <family val="3"/>
        <charset val="128"/>
        <scheme val="minor"/>
      </rPr>
      <t>味的麦芽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制的酒精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尾酒混合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品; 含酒精的水果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威士忌;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朗姆酒; </t>
    </r>
    <r>
      <rPr>
        <sz val="11"/>
        <color theme="1"/>
        <rFont val="ＭＳ Ｐゴシック"/>
        <family val="3"/>
        <charset val="134"/>
        <scheme val="minor"/>
      </rPr>
      <t>亚</t>
    </r>
    <r>
      <rPr>
        <sz val="11"/>
        <color theme="1"/>
        <rFont val="ＭＳ Ｐゴシック"/>
        <family val="3"/>
        <charset val="128"/>
        <scheme val="minor"/>
      </rPr>
      <t xml:space="preserve">力酒;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</si>
  <si>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浩海宏</t>
    </r>
    <r>
      <rPr>
        <sz val="11"/>
        <color theme="1"/>
        <rFont val="ＭＳ Ｐゴシック"/>
        <family val="3"/>
        <charset val="134"/>
        <scheme val="minor"/>
      </rPr>
      <t>图</t>
    </r>
  </si>
  <si>
    <r>
      <t>深圳市浩海宏</t>
    </r>
    <r>
      <rPr>
        <sz val="11"/>
        <color theme="1"/>
        <rFont val="ＭＳ Ｐゴシック"/>
        <family val="3"/>
        <charset val="134"/>
        <scheme val="minor"/>
      </rPr>
      <t>图实业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</si>
  <si>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伏特加酒; 米酒; 黄酒; 葡萄酒</t>
    </r>
  </si>
  <si>
    <t>巧世巧事</t>
  </si>
  <si>
    <t>杭州巧研食品科技有限公司</t>
  </si>
  <si>
    <r>
      <t>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蜂蜜酒;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开胃酒; 葡萄酒;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</si>
  <si>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ZHENPINNAFEI</t>
  </si>
  <si>
    <r>
      <t>福建</t>
    </r>
    <r>
      <rPr>
        <sz val="11"/>
        <color theme="1"/>
        <rFont val="ＭＳ Ｐゴシック"/>
        <family val="3"/>
        <charset val="134"/>
        <scheme val="minor"/>
      </rPr>
      <t>闽</t>
    </r>
    <r>
      <rPr>
        <sz val="11"/>
        <color theme="1"/>
        <rFont val="ＭＳ Ｐゴシック"/>
        <family val="3"/>
        <charset val="128"/>
        <scheme val="minor"/>
      </rPr>
      <t>宥瑄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</si>
  <si>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黄酒; 米酒;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伏特加酒</t>
    </r>
  </si>
  <si>
    <r>
      <t>小善</t>
    </r>
    <r>
      <rPr>
        <sz val="11"/>
        <color theme="1"/>
        <rFont val="ＭＳ Ｐゴシック"/>
        <family val="3"/>
        <charset val="134"/>
        <scheme val="minor"/>
      </rPr>
      <t>义</t>
    </r>
  </si>
  <si>
    <r>
      <t>金文健酒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（山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）集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</si>
  <si>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白酒; 米酒;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</t>
    </r>
  </si>
  <si>
    <t>吉祥嘉膳</t>
  </si>
  <si>
    <r>
      <t>杭州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雅食品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</si>
  <si>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白干酒（中国白酒）; 白酒; 威士忌; 果酒;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</si>
  <si>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乌</t>
    </r>
    <r>
      <rPr>
        <sz val="11"/>
        <color theme="1"/>
        <rFont val="ＭＳ Ｐゴシック"/>
        <family val="3"/>
        <charset val="128"/>
        <scheme val="minor"/>
      </rPr>
      <t>林誉</t>
    </r>
  </si>
  <si>
    <r>
      <t>杨</t>
    </r>
    <r>
      <rPr>
        <sz val="11"/>
        <color theme="1"/>
        <rFont val="ＭＳ Ｐゴシック"/>
        <family val="3"/>
        <charset val="128"/>
        <scheme val="minor"/>
      </rPr>
      <t>建荣</t>
    </r>
  </si>
  <si>
    <r>
      <t>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开胃酒; 黄酒; 米酒; 白酒; 高粱酒; 果酒（含酒精）; 葡萄酒</t>
    </r>
  </si>
  <si>
    <t>耔五夜</t>
  </si>
  <si>
    <r>
      <t>颜</t>
    </r>
    <r>
      <rPr>
        <sz val="11"/>
        <color theme="1"/>
        <rFont val="ＭＳ Ｐゴシック"/>
        <family val="3"/>
        <charset val="128"/>
        <scheme val="minor"/>
      </rPr>
      <t>朝英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</si>
  <si>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</si>
  <si>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r>
      <t>广西南宁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盛德商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</si>
  <si>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葡萄酒; 白酒; 米酒;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白干酒（中国白酒）; 高粱酒; 黄酒; 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</si>
  <si>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>饮</t>
    </r>
    <r>
      <rPr>
        <sz val="11"/>
        <color theme="1"/>
        <rFont val="ＭＳ Ｐゴシック"/>
        <family val="3"/>
        <charset val="128"/>
        <scheme val="minor"/>
      </rPr>
      <t>友</t>
    </r>
    <r>
      <rPr>
        <sz val="11"/>
        <color theme="1"/>
        <rFont val="ＭＳ Ｐゴシック"/>
        <family val="3"/>
        <charset val="134"/>
        <scheme val="minor"/>
      </rPr>
      <t>荟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</si>
  <si>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州仁</t>
    </r>
    <r>
      <rPr>
        <sz val="11"/>
        <color theme="1"/>
        <rFont val="ＭＳ Ｐゴシック"/>
        <family val="3"/>
        <charset val="129"/>
        <scheme val="minor"/>
      </rPr>
      <t>怀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故事酒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</si>
  <si>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t>白酒; 果酒（含酒精）; 伏特加酒; 利口酒; 高粱酒; 白葡萄酒; 威士忌; 朗姆酒; 烈酒; 开胃酒</t>
  </si>
  <si>
    <r>
      <t>记忆</t>
    </r>
    <r>
      <rPr>
        <sz val="11"/>
        <color theme="1"/>
        <rFont val="ＭＳ Ｐゴシック"/>
        <family val="3"/>
        <charset val="128"/>
        <scheme val="minor"/>
      </rPr>
      <t>猫MEMORY CAT</t>
    </r>
  </si>
  <si>
    <r>
      <t>成都</t>
    </r>
    <r>
      <rPr>
        <sz val="11"/>
        <color theme="1"/>
        <rFont val="ＭＳ Ｐゴシック"/>
        <family val="3"/>
        <charset val="134"/>
        <scheme val="minor"/>
      </rPr>
      <t>记忆</t>
    </r>
    <r>
      <rPr>
        <sz val="11"/>
        <color theme="1"/>
        <rFont val="ＭＳ Ｐゴシック"/>
        <family val="3"/>
        <charset val="128"/>
        <scheme val="minor"/>
      </rPr>
      <t>猫文化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媒有限公司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</si>
  <si>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果酒; 青稞酒;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食用酒精</t>
    </r>
  </si>
  <si>
    <r>
      <t>汇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涧</t>
    </r>
  </si>
  <si>
    <r>
      <t>石台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仙寓茗山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</si>
  <si>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果酒;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苹果酒;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葡萄酒</t>
    </r>
  </si>
  <si>
    <r>
      <t>苏苏纳</t>
    </r>
    <r>
      <rPr>
        <sz val="11"/>
        <color theme="1"/>
        <rFont val="ＭＳ Ｐゴシック"/>
        <family val="3"/>
        <charset val="128"/>
        <scheme val="minor"/>
      </rPr>
      <t>卡</t>
    </r>
  </si>
  <si>
    <r>
      <t>湖州</t>
    </r>
    <r>
      <rPr>
        <sz val="11"/>
        <color theme="1"/>
        <rFont val="ＭＳ Ｐゴシック"/>
        <family val="3"/>
        <charset val="134"/>
        <scheme val="minor"/>
      </rPr>
      <t>鸿</t>
    </r>
    <r>
      <rPr>
        <sz val="11"/>
        <color theme="1"/>
        <rFont val="ＭＳ Ｐゴシック"/>
        <family val="3"/>
        <charset val="128"/>
        <scheme val="minor"/>
      </rPr>
      <t>芳品牌管理有限公司</t>
    </r>
  </si>
  <si>
    <r>
      <t>白酒; 汽酒; 威士忌; 清酒（日本米酒）; 黄酒; 伏特加酒;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</t>
    </r>
  </si>
  <si>
    <r>
      <t>上海听</t>
    </r>
    <r>
      <rPr>
        <sz val="11"/>
        <color theme="1"/>
        <rFont val="ＭＳ Ｐゴシック"/>
        <family val="3"/>
        <charset val="134"/>
        <scheme val="minor"/>
      </rPr>
      <t>风</t>
    </r>
    <r>
      <rPr>
        <sz val="11"/>
        <color theme="1"/>
        <rFont val="ＭＳ Ｐゴシック"/>
        <family val="3"/>
        <charset val="128"/>
        <scheme val="minor"/>
      </rPr>
      <t>雨来健康科技有限公司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</si>
  <si>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甘蔗制烈酒;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</t>
    </r>
  </si>
  <si>
    <t>唐恒堂</t>
  </si>
  <si>
    <r>
      <t>昆明友</t>
    </r>
    <r>
      <rPr>
        <sz val="11"/>
        <color theme="1"/>
        <rFont val="ＭＳ Ｐゴシック"/>
        <family val="3"/>
        <charset val="134"/>
        <scheme val="minor"/>
      </rPr>
      <t>谊</t>
    </r>
    <r>
      <rPr>
        <sz val="11"/>
        <color theme="1"/>
        <rFont val="ＭＳ Ｐゴシック"/>
        <family val="3"/>
        <charset val="128"/>
        <scheme val="minor"/>
      </rPr>
      <t>医院有限公司</t>
    </r>
  </si>
  <si>
    <r>
      <t>朝</t>
    </r>
    <r>
      <rPr>
        <sz val="11"/>
        <color theme="1"/>
        <rFont val="ＭＳ Ｐゴシック"/>
        <family val="3"/>
        <charset val="134"/>
        <scheme val="minor"/>
      </rPr>
      <t>鲜</t>
    </r>
    <r>
      <rPr>
        <sz val="11"/>
        <color theme="1"/>
        <rFont val="ＭＳ Ｐゴシック"/>
        <family val="3"/>
        <charset val="128"/>
        <scheme val="minor"/>
      </rPr>
      <t xml:space="preserve">族米酒; 含酒精的气泡水;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</si>
  <si>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味域万疆</t>
  </si>
  <si>
    <t>袁正浩</t>
  </si>
  <si>
    <r>
      <t>黄酒;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蒸煮提取物（利口酒和烈酒）; 葡萄酒; 白酒; 食用酒精;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</si>
  <si>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骏马颂</t>
  </si>
  <si>
    <r>
      <t>米酒;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</t>
    </r>
  </si>
  <si>
    <r>
      <t>艾</t>
    </r>
    <r>
      <rPr>
        <sz val="11"/>
        <color theme="1"/>
        <rFont val="ＭＳ Ｐゴシック"/>
        <family val="3"/>
        <charset val="134"/>
        <scheme val="minor"/>
      </rPr>
      <t>尔</t>
    </r>
    <r>
      <rPr>
        <sz val="11"/>
        <color theme="1"/>
        <rFont val="ＭＳ Ｐゴシック"/>
        <family val="3"/>
        <charset val="128"/>
        <scheme val="minor"/>
      </rPr>
      <t>莎熊猫</t>
    </r>
  </si>
  <si>
    <t>王萌萌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</si>
  <si>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薄荷酒;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</si>
  <si>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熹</t>
    </r>
    <r>
      <rPr>
        <sz val="11"/>
        <color theme="1"/>
        <rFont val="ＭＳ Ｐゴシック"/>
        <family val="3"/>
        <charset val="134"/>
        <scheme val="minor"/>
      </rPr>
      <t>临</t>
    </r>
    <r>
      <rPr>
        <sz val="11"/>
        <color theme="1"/>
        <rFont val="ＭＳ Ｐゴシック"/>
        <family val="3"/>
        <charset val="128"/>
        <scheme val="minor"/>
      </rPr>
      <t>匠</t>
    </r>
  </si>
  <si>
    <r>
      <t>吴雨</t>
    </r>
    <r>
      <rPr>
        <sz val="11"/>
        <color theme="1"/>
        <rFont val="ＭＳ Ｐゴシック"/>
        <family val="3"/>
        <charset val="134"/>
        <scheme val="minor"/>
      </rPr>
      <t>龙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</si>
  <si>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威士忌;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米酒; 黄酒; 烈酒;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白酒; 青稞酒</t>
    </r>
  </si>
  <si>
    <t>五灵儿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</si>
  <si>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果酒（含酒精）; 黄酒</t>
    </r>
  </si>
  <si>
    <r>
      <t>浔</t>
    </r>
    <r>
      <rPr>
        <sz val="11"/>
        <color theme="1"/>
        <rFont val="ＭＳ Ｐゴシック"/>
        <family val="3"/>
        <charset val="128"/>
        <scheme val="minor"/>
      </rPr>
      <t>天朝</t>
    </r>
  </si>
  <si>
    <t>李康康</t>
  </si>
  <si>
    <r>
      <t>伏特加酒;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清酒;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黄酒; 葡萄酒; 果酒（含酒精）; 米酒</t>
    </r>
  </si>
  <si>
    <r>
      <t>乡</t>
    </r>
    <r>
      <rPr>
        <sz val="11"/>
        <color theme="1"/>
        <rFont val="ＭＳ Ｐゴシック"/>
        <family val="3"/>
        <charset val="128"/>
        <scheme val="minor"/>
      </rPr>
      <t>念</t>
    </r>
    <r>
      <rPr>
        <sz val="11"/>
        <color theme="1"/>
        <rFont val="ＭＳ Ｐゴシック"/>
        <family val="3"/>
        <charset val="134"/>
        <scheme val="minor"/>
      </rPr>
      <t>栈桥</t>
    </r>
  </si>
  <si>
    <r>
      <t>张晓</t>
    </r>
    <r>
      <rPr>
        <sz val="11"/>
        <color theme="1"/>
        <rFont val="ＭＳ Ｐゴシック"/>
        <family val="3"/>
        <charset val="128"/>
        <scheme val="minor"/>
      </rPr>
      <t>文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</si>
  <si>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清酒（日本米酒）; 黄酒; 白酒; 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蒸煮提取物（利口酒和烈酒）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</si>
  <si>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元吉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</si>
  <si>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阳</t>
    </r>
    <r>
      <rPr>
        <sz val="11"/>
        <color theme="1"/>
        <rFont val="ＭＳ Ｐゴシック"/>
        <family val="3"/>
        <charset val="134"/>
        <scheme val="minor"/>
      </rPr>
      <t>荟</t>
    </r>
    <r>
      <rPr>
        <sz val="11"/>
        <color theme="1"/>
        <rFont val="ＭＳ Ｐゴシック"/>
        <family val="3"/>
        <charset val="128"/>
        <scheme val="minor"/>
      </rPr>
      <t>（北京）健康科技有限公司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</si>
  <si>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 xml:space="preserve">桃酒; 甜果酒;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黄酒; 汽酒; 白酒; 米酒; 葡萄酒; 果酒（含酒精）</t>
    </r>
  </si>
  <si>
    <r>
      <t>长风</t>
    </r>
    <r>
      <rPr>
        <sz val="11"/>
        <color theme="1"/>
        <rFont val="ＭＳ Ｐゴシック"/>
        <family val="3"/>
        <charset val="128"/>
        <scheme val="minor"/>
      </rPr>
      <t>追月</t>
    </r>
  </si>
  <si>
    <r>
      <t>骆</t>
    </r>
    <r>
      <rPr>
        <sz val="11"/>
        <color theme="1"/>
        <rFont val="ＭＳ Ｐゴシック"/>
        <family val="3"/>
        <charset val="128"/>
        <scheme val="minor"/>
      </rPr>
      <t>圣号******************</t>
    </r>
  </si>
  <si>
    <r>
      <t xml:space="preserve">青稞酒; 梅酒; 青梅酒;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 xml:space="preserve">梅酒;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白干酒（中国白酒）; 白酒; 葡萄酒; 高粱酒</t>
    </r>
  </si>
  <si>
    <r>
      <t>盘龙</t>
    </r>
    <r>
      <rPr>
        <sz val="11"/>
        <color theme="1"/>
        <rFont val="ＭＳ Ｐゴシック"/>
        <family val="3"/>
        <charset val="128"/>
        <scheme val="minor"/>
      </rPr>
      <t>区珊嘉</t>
    </r>
    <r>
      <rPr>
        <sz val="11"/>
        <color theme="1"/>
        <rFont val="ＭＳ Ｐゴシック"/>
        <family val="3"/>
        <charset val="134"/>
        <scheme val="minor"/>
      </rPr>
      <t>兹</t>
    </r>
    <r>
      <rPr>
        <sz val="11"/>
        <color theme="1"/>
        <rFont val="ＭＳ Ｐゴシック"/>
        <family val="3"/>
        <charset val="128"/>
        <scheme val="minor"/>
      </rPr>
      <t>百</t>
    </r>
    <r>
      <rPr>
        <sz val="11"/>
        <color theme="1"/>
        <rFont val="ＭＳ Ｐゴシック"/>
        <family val="3"/>
        <charset val="134"/>
        <scheme val="minor"/>
      </rPr>
      <t>货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</si>
  <si>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葡萄酒; 米酒;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蜂蜜酒;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</si>
  <si>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JJ</t>
  </si>
  <si>
    <t>特莱斯有限公司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</si>
  <si>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白酒; 黄酒; 清酒（日本米酒）;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利口酒; 青稞酒; 葡萄酒; 米酒</t>
    </r>
  </si>
  <si>
    <r>
      <t>燕</t>
    </r>
    <r>
      <rPr>
        <sz val="11"/>
        <color theme="1"/>
        <rFont val="ＭＳ Ｐゴシック"/>
        <family val="3"/>
        <charset val="134"/>
        <scheme val="minor"/>
      </rPr>
      <t>颂缘</t>
    </r>
  </si>
  <si>
    <r>
      <t>郑晓</t>
    </r>
    <r>
      <rPr>
        <sz val="11"/>
        <color theme="1"/>
        <rFont val="ＭＳ Ｐゴシック"/>
        <family val="3"/>
        <charset val="128"/>
        <scheme val="minor"/>
      </rPr>
      <t>广</t>
    </r>
  </si>
  <si>
    <r>
      <t>葡萄酒;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威士忌; 清酒（日本米酒）</t>
    </r>
  </si>
  <si>
    <t>SUSUNAKA</t>
  </si>
  <si>
    <r>
      <t>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白酒; 葡萄酒; 黄酒; 果酒（含酒精）; 伏特加酒</t>
    </r>
  </si>
  <si>
    <r>
      <t>龙见</t>
    </r>
    <r>
      <rPr>
        <sz val="11"/>
        <color theme="1"/>
        <rFont val="ＭＳ Ｐゴシック"/>
        <family val="3"/>
        <charset val="128"/>
        <scheme val="minor"/>
      </rPr>
      <t>鹿溪</t>
    </r>
  </si>
  <si>
    <r>
      <t>成都黄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溪</t>
    </r>
    <r>
      <rPr>
        <sz val="11"/>
        <color theme="1"/>
        <rFont val="ＭＳ Ｐゴシック"/>
        <family val="3"/>
        <charset val="134"/>
        <scheme val="minor"/>
      </rPr>
      <t>龙见</t>
    </r>
    <r>
      <rPr>
        <sz val="11"/>
        <color theme="1"/>
        <rFont val="ＭＳ Ｐゴシック"/>
        <family val="3"/>
        <charset val="128"/>
        <scheme val="minor"/>
      </rPr>
      <t>旅游服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</si>
  <si>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餐后酒（利口酒和烈酒）;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果酒;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 xml:space="preserve">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</si>
  <si>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赤韵霞峰</t>
  </si>
  <si>
    <r>
      <t>赤城欧中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出口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</si>
  <si>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>葡萄酒; 烈酒; 开胃酒; 果酒; 高粱酒; 露酒;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</si>
  <si>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熊探</t>
    </r>
    <r>
      <rPr>
        <sz val="11"/>
        <color theme="1"/>
        <rFont val="ＭＳ Ｐゴシック"/>
        <family val="3"/>
        <charset val="134"/>
        <scheme val="minor"/>
      </rPr>
      <t>长</t>
    </r>
  </si>
  <si>
    <r>
      <t>新双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啤酒(黑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江)有限公司</t>
    </r>
  </si>
  <si>
    <r>
      <t>樱</t>
    </r>
    <r>
      <rPr>
        <sz val="11"/>
        <color theme="1"/>
        <rFont val="ＭＳ Ｐゴシック"/>
        <family val="3"/>
        <charset val="128"/>
        <scheme val="minor"/>
      </rPr>
      <t>桃酒;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梨酒; 米酒; 白酒; 黄酒</t>
    </r>
  </si>
  <si>
    <t>窖上九</t>
  </si>
  <si>
    <r>
      <t xml:space="preserve">黄酒; 米酒;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青稞酒; 烈酒</t>
    </r>
  </si>
  <si>
    <t>御珍年</t>
  </si>
  <si>
    <r>
      <t>张</t>
    </r>
    <r>
      <rPr>
        <sz val="11"/>
        <color theme="1"/>
        <rFont val="ＭＳ Ｐゴシック"/>
        <family val="3"/>
        <charset val="128"/>
        <scheme val="minor"/>
      </rPr>
      <t>益梅</t>
    </r>
  </si>
  <si>
    <r>
      <t xml:space="preserve">米酒; 伏特加酒;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白酒</t>
    </r>
  </si>
  <si>
    <t>五世祖</t>
  </si>
  <si>
    <r>
      <t>果酒（含酒精）;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黄酒; 威士忌;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</si>
  <si>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三和德</t>
  </si>
  <si>
    <r>
      <t>临</t>
    </r>
    <r>
      <rPr>
        <sz val="11"/>
        <color theme="1"/>
        <rFont val="ＭＳ Ｐゴシック"/>
        <family val="3"/>
        <charset val="128"/>
        <scheme val="minor"/>
      </rPr>
      <t>沂市河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区鑫隆茶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商行</t>
    </r>
  </si>
  <si>
    <r>
      <t xml:space="preserve">果酒（含酒精）;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烈酒;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白酒; 利口酒</t>
    </r>
  </si>
  <si>
    <t>湿里桃生</t>
  </si>
  <si>
    <r>
      <t>广西新</t>
    </r>
    <r>
      <rPr>
        <sz val="11"/>
        <color theme="1"/>
        <rFont val="ＭＳ Ｐゴシック"/>
        <family val="3"/>
        <charset val="134"/>
        <scheme val="minor"/>
      </rPr>
      <t>农</t>
    </r>
    <r>
      <rPr>
        <sz val="11"/>
        <color theme="1"/>
        <rFont val="ＭＳ Ｐゴシック"/>
        <family val="3"/>
        <charset val="128"/>
        <scheme val="minor"/>
      </rPr>
      <t>人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</si>
  <si>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甜酒; 果酒;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</t>
    </r>
  </si>
  <si>
    <r>
      <t>乐</t>
    </r>
    <r>
      <rPr>
        <sz val="11"/>
        <color theme="1"/>
        <rFont val="ＭＳ Ｐゴシック"/>
        <family val="3"/>
        <charset val="128"/>
        <scheme val="minor"/>
      </rPr>
      <t>友玖</t>
    </r>
  </si>
  <si>
    <r>
      <t xml:space="preserve">果酒（含酒精）; 汽酒; 甜果酒; 开胃酒; 黄酒; 米酒;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</t>
    </r>
  </si>
  <si>
    <r>
      <t>绘锦</t>
    </r>
    <r>
      <rPr>
        <sz val="11"/>
        <color theme="1"/>
        <rFont val="ＭＳ Ｐゴシック"/>
        <family val="3"/>
        <charset val="128"/>
        <scheme val="minor"/>
      </rPr>
      <t>佳</t>
    </r>
  </si>
  <si>
    <r>
      <t>魏余</t>
    </r>
    <r>
      <rPr>
        <sz val="11"/>
        <color theme="1"/>
        <rFont val="ＭＳ Ｐゴシック"/>
        <family val="3"/>
        <charset val="134"/>
        <scheme val="minor"/>
      </rPr>
      <t>剑</t>
    </r>
  </si>
  <si>
    <r>
      <t>汽酒; 高粱酒; 甜酒;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露酒;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</si>
  <si>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庄黔御</t>
  </si>
  <si>
    <r>
      <t>黔庄供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管理保定有限公司</t>
    </r>
  </si>
  <si>
    <r>
      <t xml:space="preserve">烈酒; 葡萄酒; 白酒; 黄酒; 露酒;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果酒</t>
    </r>
  </si>
  <si>
    <r>
      <t>壹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天</t>
    </r>
  </si>
  <si>
    <t>黄良</t>
  </si>
  <si>
    <r>
      <t>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烈酒; 白酒;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露酒; 高粱酒; 黑覆盆子酒</t>
    </r>
  </si>
  <si>
    <t>康叙</t>
  </si>
  <si>
    <r>
      <t>张</t>
    </r>
    <r>
      <rPr>
        <sz val="11"/>
        <color theme="1"/>
        <rFont val="ＭＳ Ｐゴシック"/>
        <family val="3"/>
        <charset val="128"/>
        <scheme val="minor"/>
      </rPr>
      <t>春升</t>
    </r>
  </si>
  <si>
    <r>
      <t>葡萄酒; 白酒; 利口酒;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</si>
  <si>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老庄黔</t>
  </si>
  <si>
    <r>
      <t xml:space="preserve">葡萄酒; 黄酒; 果酒; 利口酒; 露酒;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烈酒; 米酒</t>
    </r>
  </si>
  <si>
    <r>
      <t>谛</t>
    </r>
    <r>
      <rPr>
        <sz val="11"/>
        <color theme="1"/>
        <rFont val="ＭＳ Ｐゴシック"/>
        <family val="3"/>
        <charset val="128"/>
        <scheme val="minor"/>
      </rPr>
      <t>京</t>
    </r>
  </si>
  <si>
    <r>
      <t>李燕</t>
    </r>
    <r>
      <rPr>
        <sz val="11"/>
        <color theme="1"/>
        <rFont val="ＭＳ Ｐゴシック"/>
        <family val="3"/>
        <charset val="134"/>
        <scheme val="minor"/>
      </rPr>
      <t>飞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</si>
  <si>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果酒（含酒精）; 高粱酒; 葡萄酒; 米酒</t>
    </r>
  </si>
  <si>
    <r>
      <t>椿</t>
    </r>
    <r>
      <rPr>
        <sz val="11"/>
        <color theme="1"/>
        <rFont val="ＭＳ Ｐゴシック"/>
        <family val="3"/>
        <charset val="134"/>
        <scheme val="minor"/>
      </rPr>
      <t>鉴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</si>
  <si>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米酒; 葡萄酒; 利口酒; 果酒（含酒精）; 黄酒</t>
    </r>
  </si>
  <si>
    <t>松竹客</t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</si>
  <si>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如仁文化</t>
    </r>
    <r>
      <rPr>
        <sz val="11"/>
        <color theme="1"/>
        <rFont val="ＭＳ Ｐゴシック"/>
        <family val="3"/>
        <charset val="134"/>
        <scheme val="minor"/>
      </rPr>
      <t>传</t>
    </r>
    <r>
      <rPr>
        <sz val="11"/>
        <color theme="1"/>
        <rFont val="ＭＳ Ｐゴシック"/>
        <family val="3"/>
        <charset val="128"/>
        <scheme val="minor"/>
      </rPr>
      <t>播有限公司</t>
    </r>
  </si>
  <si>
    <r>
      <t xml:space="preserve">米酒; 葡萄酒; 朗姆酒; 黄酒; 伏特加酒;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果酒（含酒精）; 白酒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</si>
  <si>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昀</t>
    </r>
    <r>
      <rPr>
        <sz val="11"/>
        <color theme="1"/>
        <rFont val="ＭＳ Ｐゴシック"/>
        <family val="3"/>
        <charset val="134"/>
        <scheme val="minor"/>
      </rPr>
      <t>峤</t>
    </r>
  </si>
  <si>
    <r>
      <t>陕</t>
    </r>
    <r>
      <rPr>
        <sz val="11"/>
        <color theme="1"/>
        <rFont val="ＭＳ Ｐゴシック"/>
        <family val="3"/>
        <charset val="128"/>
        <scheme val="minor"/>
      </rPr>
      <t>西昀</t>
    </r>
    <r>
      <rPr>
        <sz val="11"/>
        <color theme="1"/>
        <rFont val="ＭＳ Ｐゴシック"/>
        <family val="3"/>
        <charset val="134"/>
        <scheme val="minor"/>
      </rPr>
      <t>峤</t>
    </r>
    <r>
      <rPr>
        <sz val="11"/>
        <color theme="1"/>
        <rFont val="ＭＳ Ｐゴシック"/>
        <family val="3"/>
        <charset val="128"/>
        <scheme val="minor"/>
      </rPr>
      <t>基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建</t>
    </r>
    <r>
      <rPr>
        <sz val="11"/>
        <color theme="1"/>
        <rFont val="ＭＳ Ｐゴシック"/>
        <family val="3"/>
        <charset val="134"/>
        <scheme val="minor"/>
      </rPr>
      <t>设</t>
    </r>
    <r>
      <rPr>
        <sz val="11"/>
        <color theme="1"/>
        <rFont val="ＭＳ Ｐゴシック"/>
        <family val="3"/>
        <charset val="128"/>
        <scheme val="minor"/>
      </rPr>
      <t>工程有限公司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</si>
  <si>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米酒;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威士忌; 果酒（含酒精）</t>
    </r>
  </si>
  <si>
    <r>
      <t>凤</t>
    </r>
    <r>
      <rPr>
        <sz val="11"/>
        <color theme="1"/>
        <rFont val="ＭＳ Ｐゴシック"/>
        <family val="3"/>
        <charset val="128"/>
        <scheme val="minor"/>
      </rPr>
      <t>潭溪</t>
    </r>
  </si>
  <si>
    <r>
      <t>贵</t>
    </r>
    <r>
      <rPr>
        <sz val="11"/>
        <color theme="1"/>
        <rFont val="ＭＳ Ｐゴシック"/>
        <family val="3"/>
        <charset val="128"/>
        <scheme val="minor"/>
      </rPr>
      <t>州五分田餐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文化有限公司</t>
    </r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</si>
  <si>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食用酒精;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米酒</t>
    </r>
  </si>
  <si>
    <r>
      <t>熊小</t>
    </r>
    <r>
      <rPr>
        <sz val="11"/>
        <color theme="1"/>
        <rFont val="ＭＳ Ｐゴシック"/>
        <family val="3"/>
        <charset val="134"/>
        <scheme val="minor"/>
      </rPr>
      <t>丽龙</t>
    </r>
  </si>
  <si>
    <r>
      <t>平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山市新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区</t>
    </r>
    <r>
      <rPr>
        <sz val="11"/>
        <color theme="1"/>
        <rFont val="ＭＳ Ｐゴシック"/>
        <family val="3"/>
        <charset val="134"/>
        <scheme val="minor"/>
      </rPr>
      <t>杨枫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</si>
  <si>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清酒（日本米酒）; 米酒;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白酒;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果酒（含酒精）; 利口酒</t>
    </r>
  </si>
  <si>
    <t>落寒</t>
  </si>
  <si>
    <r>
      <t>胡</t>
    </r>
    <r>
      <rPr>
        <sz val="11"/>
        <color theme="1"/>
        <rFont val="ＭＳ Ｐゴシック"/>
        <family val="3"/>
        <charset val="134"/>
        <scheme val="minor"/>
      </rPr>
      <t>营军</t>
    </r>
  </si>
  <si>
    <r>
      <t xml:space="preserve">朗姆酒;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清酒（日本米酒）; 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葡萄酒;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</si>
  <si>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秋京湾月</t>
  </si>
  <si>
    <r>
      <t>开江</t>
    </r>
    <r>
      <rPr>
        <sz val="11"/>
        <color theme="1"/>
        <rFont val="ＭＳ Ｐゴシック"/>
        <family val="3"/>
        <charset val="134"/>
        <scheme val="minor"/>
      </rPr>
      <t>县</t>
    </r>
    <r>
      <rPr>
        <sz val="11"/>
        <color theme="1"/>
        <rFont val="ＭＳ Ｐゴシック"/>
        <family val="3"/>
        <charset val="128"/>
        <scheme val="minor"/>
      </rPr>
      <t>回</t>
    </r>
    <r>
      <rPr>
        <sz val="11"/>
        <color theme="1"/>
        <rFont val="ＭＳ Ｐゴシック"/>
        <family val="3"/>
        <charset val="134"/>
        <scheme val="minor"/>
      </rPr>
      <t>龙镇杨</t>
    </r>
    <r>
      <rPr>
        <sz val="11"/>
        <color theme="1"/>
        <rFont val="ＭＳ Ｐゴシック"/>
        <family val="3"/>
        <charset val="128"/>
        <scheme val="minor"/>
      </rPr>
      <t>家湾酒坊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</si>
  <si>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果酒（含酒精）;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</si>
  <si>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御用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升堂</t>
    </r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</si>
  <si>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升堂商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</si>
  <si>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白酒; 食用酒精;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含酒精的气泡水</t>
    </r>
  </si>
  <si>
    <t>椿禧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</si>
  <si>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利口酒;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黄酒; 米酒; 开胃酒</t>
    </r>
  </si>
  <si>
    <t>源陞河雪花</t>
  </si>
  <si>
    <r>
      <t>黑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江省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安源升河</t>
    </r>
    <r>
      <rPr>
        <sz val="11"/>
        <color theme="1"/>
        <rFont val="ＭＳ Ｐゴシック"/>
        <family val="3"/>
        <charset val="134"/>
        <scheme val="minor"/>
      </rPr>
      <t>酿</t>
    </r>
    <r>
      <rPr>
        <sz val="11"/>
        <color theme="1"/>
        <rFont val="ＭＳ Ｐゴシック"/>
        <family val="3"/>
        <charset val="128"/>
        <scheme val="minor"/>
      </rPr>
      <t>酒有限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</si>
  <si>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 xml:space="preserve">果酒（含酒精）; 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葡萄酒; 白酒; 高粱酒;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</si>
  <si>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源陞河</t>
    </r>
    <r>
      <rPr>
        <sz val="11"/>
        <color theme="1"/>
        <rFont val="ＭＳ Ｐゴシック"/>
        <family val="3"/>
        <charset val="134"/>
        <scheme val="minor"/>
      </rPr>
      <t>蓝</t>
    </r>
    <r>
      <rPr>
        <sz val="11"/>
        <color theme="1"/>
        <rFont val="ＭＳ Ｐゴシック"/>
        <family val="3"/>
        <charset val="128"/>
        <scheme val="minor"/>
      </rPr>
      <t>花</t>
    </r>
  </si>
  <si>
    <r>
      <t>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白酒; 米酒; 葡萄酒; 汽酒; 黄酒; 高粱酒;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</si>
  <si>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裕荣衡</t>
  </si>
  <si>
    <r>
      <t>李明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</si>
  <si>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白酒</t>
    </r>
  </si>
  <si>
    <t>思筑</t>
  </si>
  <si>
    <r>
      <t>陈</t>
    </r>
    <r>
      <rPr>
        <sz val="11"/>
        <color theme="1"/>
        <rFont val="ＭＳ Ｐゴシック"/>
        <family val="3"/>
        <charset val="128"/>
        <scheme val="minor"/>
      </rPr>
      <t>思筑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</si>
  <si>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黄酒; 米酒;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</si>
  <si>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安居古城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夏文化旅游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展有限公司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</si>
  <si>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梅酒; 含酒精蛋奶酒; 白酒; 天然汽酒; 葡萄酒;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甜酒; 果酒（含酒精）; </t>
    </r>
    <r>
      <rPr>
        <sz val="11"/>
        <color theme="1"/>
        <rFont val="ＭＳ Ｐゴシック"/>
        <family val="3"/>
        <charset val="134"/>
        <scheme val="minor"/>
      </rPr>
      <t>杨</t>
    </r>
    <r>
      <rPr>
        <sz val="11"/>
        <color theme="1"/>
        <rFont val="ＭＳ Ｐゴシック"/>
        <family val="3"/>
        <charset val="128"/>
        <scheme val="minor"/>
      </rPr>
      <t>梅酒</t>
    </r>
  </si>
  <si>
    <r>
      <t>古越</t>
    </r>
    <r>
      <rPr>
        <sz val="11"/>
        <color theme="1"/>
        <rFont val="ＭＳ Ｐゴシック"/>
        <family val="3"/>
        <charset val="134"/>
        <scheme val="minor"/>
      </rPr>
      <t>龙</t>
    </r>
    <r>
      <rPr>
        <sz val="11"/>
        <color theme="1"/>
        <rFont val="ＭＳ Ｐゴシック"/>
        <family val="3"/>
        <charset val="128"/>
        <scheme val="minor"/>
      </rPr>
      <t>山</t>
    </r>
    <r>
      <rPr>
        <sz val="11"/>
        <color theme="1"/>
        <rFont val="ＭＳ Ｐゴシック"/>
        <family val="3"/>
        <charset val="134"/>
        <scheme val="minor"/>
      </rPr>
      <t>诗</t>
    </r>
    <r>
      <rPr>
        <sz val="11"/>
        <color theme="1"/>
        <rFont val="ＭＳ Ｐゴシック"/>
        <family val="3"/>
        <charset val="128"/>
        <scheme val="minor"/>
      </rPr>
      <t>路</t>
    </r>
  </si>
  <si>
    <r>
      <t>中国</t>
    </r>
    <r>
      <rPr>
        <sz val="11"/>
        <color theme="1"/>
        <rFont val="ＭＳ Ｐゴシック"/>
        <family val="3"/>
        <charset val="134"/>
        <scheme val="minor"/>
      </rPr>
      <t>绍兴</t>
    </r>
    <r>
      <rPr>
        <sz val="11"/>
        <color theme="1"/>
        <rFont val="ＭＳ Ｐゴシック"/>
        <family val="3"/>
        <charset val="128"/>
        <scheme val="minor"/>
      </rPr>
      <t>黄酒集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</si>
  <si>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白酒; 果酒;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开胃酒</t>
    </r>
  </si>
  <si>
    <t>LUCEN</t>
  </si>
  <si>
    <t>福建省裕祥益丰服装有限公司</t>
  </si>
  <si>
    <r>
      <t>米酒; 白酒;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果酒（含酒精）</t>
    </r>
  </si>
  <si>
    <t>魔洞后山</t>
  </si>
  <si>
    <t>程玉斌</t>
  </si>
  <si>
    <r>
      <t>烈酒; 果酒（含酒精）;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威士忌; 白酒;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露酒</t>
    </r>
  </si>
  <si>
    <r>
      <t>问</t>
    </r>
    <r>
      <rPr>
        <sz val="11"/>
        <color theme="1"/>
        <rFont val="ＭＳ Ｐゴシック"/>
        <family val="3"/>
        <charset val="128"/>
        <scheme val="minor"/>
      </rPr>
      <t>康</t>
    </r>
  </si>
  <si>
    <r>
      <t>利口酒;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葡萄酒;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开胃酒</t>
    </r>
  </si>
  <si>
    <t>椿帝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</si>
  <si>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黄酒; 白酒;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果酒（含酒精）</t>
    </r>
  </si>
  <si>
    <t>椿凰</t>
  </si>
  <si>
    <r>
      <t>黄酒; 开胃酒;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利口酒; 米酒; 葡萄酒</t>
    </r>
  </si>
  <si>
    <t>天江良沛</t>
  </si>
  <si>
    <r>
      <t>李</t>
    </r>
    <r>
      <rPr>
        <sz val="11"/>
        <color theme="1"/>
        <rFont val="ＭＳ Ｐゴシック"/>
        <family val="3"/>
        <charset val="134"/>
        <scheme val="minor"/>
      </rPr>
      <t>应</t>
    </r>
    <r>
      <rPr>
        <sz val="11"/>
        <color theme="1"/>
        <rFont val="ＭＳ Ｐゴシック"/>
        <family val="3"/>
        <charset val="128"/>
        <scheme val="minor"/>
      </rPr>
      <t>楠******************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</si>
  <si>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白酒; 葡萄酒; 青稞酒; 米酒; 黄酒; 汽酒; 开胃酒</t>
    </r>
  </si>
  <si>
    <r>
      <t>捷</t>
    </r>
    <r>
      <rPr>
        <sz val="11"/>
        <color theme="1"/>
        <rFont val="ＭＳ Ｐゴシック"/>
        <family val="3"/>
        <charset val="134"/>
        <scheme val="minor"/>
      </rPr>
      <t>签</t>
    </r>
  </si>
  <si>
    <r>
      <t>上海境舒</t>
    </r>
    <r>
      <rPr>
        <sz val="11"/>
        <color theme="1"/>
        <rFont val="ＭＳ Ｐゴシック"/>
        <family val="3"/>
        <charset val="134"/>
        <scheme val="minor"/>
      </rPr>
      <t>环</t>
    </r>
    <r>
      <rPr>
        <sz val="11"/>
        <color theme="1"/>
        <rFont val="ＭＳ Ｐゴシック"/>
        <family val="3"/>
        <charset val="128"/>
        <scheme val="minor"/>
      </rPr>
      <t>境科技有限公司</t>
    </r>
  </si>
  <si>
    <r>
      <t xml:space="preserve">果酒（含酒精）; 米酒; 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黄酒</t>
    </r>
  </si>
  <si>
    <t>FACE WASH BEAR</t>
  </si>
  <si>
    <r>
      <t>广</t>
    </r>
    <r>
      <rPr>
        <sz val="11"/>
        <color theme="1"/>
        <rFont val="ＭＳ Ｐゴシック"/>
        <family val="3"/>
        <charset val="134"/>
        <scheme val="minor"/>
      </rPr>
      <t>东爱</t>
    </r>
    <r>
      <rPr>
        <sz val="11"/>
        <color theme="1"/>
        <rFont val="ＭＳ Ｐゴシック"/>
        <family val="3"/>
        <charset val="128"/>
        <scheme val="minor"/>
      </rPr>
      <t>美熊美容科技有限公司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</si>
  <si>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白酒;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食用酒精;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</t>
    </r>
  </si>
  <si>
    <r>
      <t>小</t>
    </r>
    <r>
      <rPr>
        <sz val="11"/>
        <color theme="1"/>
        <rFont val="ＭＳ Ｐゴシック"/>
        <family val="3"/>
        <charset val="134"/>
        <scheme val="minor"/>
      </rPr>
      <t>红婶</t>
    </r>
  </si>
  <si>
    <r>
      <t>北京小</t>
    </r>
    <r>
      <rPr>
        <sz val="11"/>
        <color theme="1"/>
        <rFont val="ＭＳ Ｐゴシック"/>
        <family val="3"/>
        <charset val="134"/>
        <scheme val="minor"/>
      </rPr>
      <t>红婶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</si>
  <si>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青稞酒; 葡萄酒; 开胃酒;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</si>
  <si>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朱秋白</t>
  </si>
  <si>
    <r>
      <t xml:space="preserve">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食用酒精;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葡萄酒;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</si>
  <si>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t>延州瑶</t>
  </si>
  <si>
    <t>牛建芳</t>
  </si>
  <si>
    <r>
      <t>开胃酒; 葡萄酒; 汽酒; 烈酒; 果酒; 白酒;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苹果酒; 利口酒;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</t>
    </r>
  </si>
  <si>
    <r>
      <t>梵</t>
    </r>
    <r>
      <rPr>
        <sz val="11"/>
        <color theme="1"/>
        <rFont val="ＭＳ Ｐゴシック"/>
        <family val="3"/>
        <charset val="134"/>
        <scheme val="minor"/>
      </rPr>
      <t>罗</t>
    </r>
    <r>
      <rPr>
        <sz val="11"/>
        <color theme="1"/>
        <rFont val="ＭＳ Ｐゴシック"/>
        <family val="3"/>
        <charset val="128"/>
        <scheme val="minor"/>
      </rPr>
      <t>曼</t>
    </r>
  </si>
  <si>
    <r>
      <t>美益有供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（中山）有限公司</t>
    </r>
  </si>
  <si>
    <r>
      <t>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果酒; 黄酒; 开胃酒;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葡萄酒; 甜酒</t>
    </r>
  </si>
  <si>
    <t>王和玉珍</t>
  </si>
  <si>
    <r>
      <t>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果酒（含酒精）; 黄酒; 葡萄酒; 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开胃酒; 利口酒; 米酒</t>
    </r>
  </si>
  <si>
    <r>
      <t>延</t>
    </r>
    <r>
      <rPr>
        <sz val="11"/>
        <color theme="1"/>
        <rFont val="ＭＳ Ｐゴシック"/>
        <family val="3"/>
        <charset val="134"/>
        <scheme val="minor"/>
      </rPr>
      <t>锦</t>
    </r>
  </si>
  <si>
    <r>
      <t>徐</t>
    </r>
    <r>
      <rPr>
        <sz val="11"/>
        <color theme="1"/>
        <rFont val="ＭＳ Ｐゴシック"/>
        <family val="3"/>
        <charset val="134"/>
        <scheme val="minor"/>
      </rPr>
      <t>锦</t>
    </r>
    <r>
      <rPr>
        <sz val="11"/>
        <color theme="1"/>
        <rFont val="ＭＳ Ｐゴシック"/>
        <family val="3"/>
        <charset val="128"/>
        <scheme val="minor"/>
      </rPr>
      <t>涛</t>
    </r>
  </si>
  <si>
    <r>
      <t>苹果酒; 杜松子酒; 蜂蜜酒;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葡萄酒; 黄酒; 伏特加酒; 果酒（含酒精）; 朗姆酒</t>
    </r>
  </si>
  <si>
    <t>帝瑟酒庄</t>
  </si>
  <si>
    <t>张华</t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</si>
  <si>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黄酒; 白酒; 果酒; 威士忌;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</t>
    </r>
  </si>
  <si>
    <t>唐椿</t>
  </si>
  <si>
    <r>
      <t xml:space="preserve">白酒; 开胃酒; 利口酒;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米酒;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</si>
  <si>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唐画</t>
  </si>
  <si>
    <r>
      <t xml:space="preserve">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开胃酒; 利口酒;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葡萄酒; 白酒</t>
    </r>
  </si>
  <si>
    <r>
      <t>李</t>
    </r>
    <r>
      <rPr>
        <sz val="11"/>
        <color theme="1"/>
        <rFont val="ＭＳ Ｐゴシック"/>
        <family val="3"/>
        <charset val="134"/>
        <scheme val="minor"/>
      </rPr>
      <t>伟贤</t>
    </r>
  </si>
  <si>
    <r>
      <t>葡萄酒;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清酒（日本米酒）; 果酒（含酒精）; 开胃酒; 利口酒; 白酒;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</si>
  <si>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小梅</t>
    </r>
    <r>
      <rPr>
        <sz val="11"/>
        <color theme="1"/>
        <rFont val="ＭＳ Ｐゴシック"/>
        <family val="3"/>
        <charset val="134"/>
        <scheme val="minor"/>
      </rPr>
      <t>纪</t>
    </r>
  </si>
  <si>
    <t>曾林</t>
  </si>
  <si>
    <r>
      <t>黄酒; 葡萄酒;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清酒（日本米酒）; 威士忌; 白酒; 梅酒</t>
    </r>
  </si>
  <si>
    <t>狩</t>
  </si>
  <si>
    <r>
      <t>常熟市常福街道嘉之康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易商行（个体工商</t>
    </r>
    <r>
      <rPr>
        <sz val="11"/>
        <color theme="1"/>
        <rFont val="ＭＳ Ｐゴシック"/>
        <family val="3"/>
        <charset val="134"/>
        <scheme val="minor"/>
      </rPr>
      <t>户</t>
    </r>
    <r>
      <rPr>
        <sz val="11"/>
        <color theme="1"/>
        <rFont val="ＭＳ Ｐゴシック"/>
        <family val="3"/>
        <charset val="128"/>
        <scheme val="minor"/>
      </rPr>
      <t>）</t>
    </r>
  </si>
  <si>
    <r>
      <t>黄酒;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清酒（日本米酒）; 葡萄酒;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</t>
    </r>
  </si>
  <si>
    <t>滇丞相</t>
  </si>
  <si>
    <r>
      <t>张</t>
    </r>
    <r>
      <rPr>
        <sz val="11"/>
        <color theme="1"/>
        <rFont val="ＭＳ Ｐゴシック"/>
        <family val="3"/>
        <charset val="128"/>
        <scheme val="minor"/>
      </rPr>
      <t>健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</si>
  <si>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高粱酒; 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葡萄酒; 蜂蜜酒; 甜酒; 白酒; 米酒</t>
    </r>
  </si>
  <si>
    <r>
      <t>食用酒精;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果酒（含酒精）; 清酒（日本米酒）;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  <r>
      <rPr>
        <sz val="11"/>
        <color theme="1"/>
        <rFont val="ＭＳ Ｐゴシック"/>
        <family val="3"/>
        <charset val="134"/>
        <scheme val="minor"/>
      </rPr>
      <t>浓缩</t>
    </r>
    <r>
      <rPr>
        <sz val="11"/>
        <color theme="1"/>
        <rFont val="ＭＳ Ｐゴシック"/>
        <family val="3"/>
        <charset val="128"/>
        <scheme val="minor"/>
      </rPr>
      <t>汁;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威士忌</t>
    </r>
  </si>
  <si>
    <t>㐂唐</t>
  </si>
  <si>
    <t>曹高学</t>
  </si>
  <si>
    <r>
      <t>白酒; 米酒;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烈酒;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黄酒; 青稞酒</t>
    </r>
  </si>
  <si>
    <t>贞汉</t>
  </si>
  <si>
    <r>
      <t>黄酒; 开胃酒;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米酒;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利口酒; 葡萄酒; 白酒</t>
    </r>
  </si>
  <si>
    <r>
      <t>四川一念妙妙</t>
    </r>
    <r>
      <rPr>
        <sz val="11"/>
        <color theme="1"/>
        <rFont val="ＭＳ Ｐゴシック"/>
        <family val="3"/>
        <charset val="134"/>
        <scheme val="minor"/>
      </rPr>
      <t>艺术设计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</si>
  <si>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葡萄酒;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含酒精的气泡水;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杜松子酒</t>
    </r>
  </si>
  <si>
    <t>源陞河黎花</t>
  </si>
  <si>
    <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汽酒;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黄酒;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</t>
    </r>
  </si>
  <si>
    <r>
      <t>琼</t>
    </r>
    <r>
      <rPr>
        <sz val="11"/>
        <color theme="1"/>
        <rFont val="ＭＳ Ｐゴシック"/>
        <family val="3"/>
        <charset val="128"/>
        <scheme val="minor"/>
      </rPr>
      <t>露川</t>
    </r>
  </si>
  <si>
    <r>
      <t>延吉国</t>
    </r>
    <r>
      <rPr>
        <sz val="11"/>
        <color theme="1"/>
        <rFont val="ＭＳ Ｐゴシック"/>
        <family val="3"/>
        <charset val="134"/>
        <scheme val="minor"/>
      </rPr>
      <t>进</t>
    </r>
    <r>
      <rPr>
        <sz val="11"/>
        <color theme="1"/>
        <rFont val="ＭＳ Ｐゴシック"/>
        <family val="3"/>
        <charset val="128"/>
        <scheme val="minor"/>
      </rPr>
      <t>食品有限公司</t>
    </r>
  </si>
  <si>
    <r>
      <t>米酒; 利口酒;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食用酒精; 蜂蜜酒; 青稞酒; 白酒; 黄酒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</si>
  <si>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东</t>
    </r>
    <r>
      <rPr>
        <sz val="11"/>
        <color theme="1"/>
        <rFont val="ＭＳ Ｐゴシック"/>
        <family val="3"/>
        <charset val="128"/>
        <scheme val="minor"/>
      </rPr>
      <t>茅源逍遥坊酒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</si>
  <si>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利口酒;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葡萄酒</t>
    </r>
  </si>
  <si>
    <r>
      <t>晟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翔</t>
    </r>
  </si>
  <si>
    <r>
      <t>广</t>
    </r>
    <r>
      <rPr>
        <sz val="11"/>
        <color theme="1"/>
        <rFont val="ＭＳ Ｐゴシック"/>
        <family val="3"/>
        <charset val="134"/>
        <scheme val="minor"/>
      </rPr>
      <t>汉</t>
    </r>
    <r>
      <rPr>
        <sz val="11"/>
        <color theme="1"/>
        <rFont val="ＭＳ Ｐゴシック"/>
        <family val="3"/>
        <charset val="128"/>
        <scheme val="minor"/>
      </rPr>
      <t>圣</t>
    </r>
    <r>
      <rPr>
        <sz val="11"/>
        <color theme="1"/>
        <rFont val="ＭＳ Ｐゴシック"/>
        <family val="3"/>
        <charset val="134"/>
        <scheme val="minor"/>
      </rPr>
      <t>鹏</t>
    </r>
    <r>
      <rPr>
        <sz val="11"/>
        <color theme="1"/>
        <rFont val="ＭＳ Ｐゴシック"/>
        <family val="3"/>
        <charset val="128"/>
        <scheme val="minor"/>
      </rPr>
      <t>企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管理咨</t>
    </r>
    <r>
      <rPr>
        <sz val="11"/>
        <color theme="1"/>
        <rFont val="ＭＳ Ｐゴシック"/>
        <family val="3"/>
        <charset val="134"/>
        <scheme val="minor"/>
      </rPr>
      <t>询</t>
    </r>
    <r>
      <rPr>
        <sz val="11"/>
        <color theme="1"/>
        <rFont val="ＭＳ Ｐゴシック"/>
        <family val="3"/>
        <charset val="128"/>
        <scheme val="minor"/>
      </rPr>
      <t>服</t>
    </r>
    <r>
      <rPr>
        <sz val="11"/>
        <color theme="1"/>
        <rFont val="ＭＳ Ｐゴシック"/>
        <family val="3"/>
        <charset val="134"/>
        <scheme val="minor"/>
      </rPr>
      <t>务</t>
    </r>
    <r>
      <rPr>
        <sz val="11"/>
        <color theme="1"/>
        <rFont val="ＭＳ Ｐゴシック"/>
        <family val="3"/>
        <charset val="128"/>
        <scheme val="minor"/>
      </rPr>
      <t>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</si>
  <si>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米酒; 白酒; 高粱酒; 白干酒（中国白酒）; 黄酒; 果酒（含酒精）; 果酒; 麦芽威士忌;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威士忌</t>
    </r>
  </si>
  <si>
    <r>
      <t>闲</t>
    </r>
    <r>
      <rPr>
        <sz val="11"/>
        <color theme="1"/>
        <rFont val="ＭＳ Ｐゴシック"/>
        <family val="3"/>
        <charset val="128"/>
        <scheme val="minor"/>
      </rPr>
      <t>禹</t>
    </r>
  </si>
  <si>
    <r>
      <t>西平</t>
    </r>
    <r>
      <rPr>
        <sz val="11"/>
        <color theme="1"/>
        <rFont val="ＭＳ Ｐゴシック"/>
        <family val="3"/>
        <charset val="134"/>
        <scheme val="minor"/>
      </rPr>
      <t>县纷</t>
    </r>
    <r>
      <rPr>
        <sz val="11"/>
        <color theme="1"/>
        <rFont val="ＭＳ Ｐゴシック"/>
        <family val="3"/>
        <charset val="128"/>
        <scheme val="minor"/>
      </rPr>
      <t>棉商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</si>
  <si>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黄酒;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</t>
    </r>
  </si>
  <si>
    <t>王冒</t>
  </si>
  <si>
    <r>
      <t xml:space="preserve">果酒（含酒精）; 白酒;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葡萄酒; 青稞酒; 清酒（日本米酒）; 黄酒</t>
    </r>
  </si>
  <si>
    <t>忻小二</t>
  </si>
  <si>
    <r>
      <t>徐健</t>
    </r>
    <r>
      <rPr>
        <sz val="11"/>
        <color theme="1"/>
        <rFont val="ＭＳ Ｐゴシック"/>
        <family val="3"/>
        <charset val="134"/>
        <scheme val="minor"/>
      </rPr>
      <t>军</t>
    </r>
  </si>
  <si>
    <r>
      <t>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威士忌; 米酒; 果酒（含酒精）; 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</si>
  <si>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KLAUS KONIG</t>
  </si>
  <si>
    <t>熙蔓世家有限公司</t>
  </si>
  <si>
    <r>
      <t>凯</t>
    </r>
    <r>
      <rPr>
        <sz val="11"/>
        <color theme="1"/>
        <rFont val="ＭＳ Ｐゴシック"/>
        <family val="3"/>
        <charset val="128"/>
        <scheme val="minor"/>
      </rPr>
      <t>旋</t>
    </r>
    <r>
      <rPr>
        <sz val="11"/>
        <color theme="1"/>
        <rFont val="ＭＳ Ｐゴシック"/>
        <family val="3"/>
        <charset val="134"/>
        <scheme val="minor"/>
      </rPr>
      <t>顶</t>
    </r>
    <r>
      <rPr>
        <sz val="11"/>
        <color theme="1"/>
        <rFont val="ＭＳ Ｐゴシック"/>
        <family val="3"/>
        <charset val="128"/>
        <scheme val="minor"/>
      </rPr>
      <t>邑</t>
    </r>
  </si>
  <si>
    <r>
      <t>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威士忌; 果酒; 烈酒; 葡萄酒</t>
    </r>
  </si>
  <si>
    <t>皇戈</t>
  </si>
  <si>
    <t>黄千里</t>
  </si>
  <si>
    <r>
      <t xml:space="preserve">白酒; 青稞酒;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苹果酒; 葡萄酒; 威士忌; 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</si>
  <si>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重八（云南）啤酒有限公司</t>
  </si>
  <si>
    <r>
      <t xml:space="preserve">黄酒; 果酒（含酒精）; 米酒; 白酒;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朗姆酒</t>
    </r>
  </si>
  <si>
    <t>民有方</t>
  </si>
  <si>
    <r>
      <t>江</t>
    </r>
    <r>
      <rPr>
        <sz val="11"/>
        <color theme="1"/>
        <rFont val="ＭＳ Ｐゴシック"/>
        <family val="3"/>
        <charset val="134"/>
        <scheme val="minor"/>
      </rPr>
      <t>苏</t>
    </r>
    <r>
      <rPr>
        <sz val="11"/>
        <color theme="1"/>
        <rFont val="ＭＳ Ｐゴシック"/>
        <family val="3"/>
        <charset val="128"/>
        <scheme val="minor"/>
      </rPr>
      <t>民有方医</t>
    </r>
    <r>
      <rPr>
        <sz val="11"/>
        <color theme="1"/>
        <rFont val="ＭＳ Ｐゴシック"/>
        <family val="3"/>
        <charset val="134"/>
        <scheme val="minor"/>
      </rPr>
      <t>疗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</si>
  <si>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黄酒;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白酒; 青稞酒; 高粱酒; 果酒（含酒精）; 食用酒精; 葡萄酒</t>
    </r>
  </si>
  <si>
    <t>禧玲盛世</t>
  </si>
  <si>
    <r>
      <t>张</t>
    </r>
    <r>
      <rPr>
        <sz val="11"/>
        <color theme="1"/>
        <rFont val="ＭＳ Ｐゴシック"/>
        <family val="3"/>
        <charset val="128"/>
        <scheme val="minor"/>
      </rPr>
      <t>宇航</t>
    </r>
  </si>
  <si>
    <r>
      <t>果酒（含酒精）; 葡萄酒;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薄荷酒;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黄酒; 开胃酒</t>
    </r>
  </si>
  <si>
    <t>VELLUCIA</t>
  </si>
  <si>
    <r>
      <t>长</t>
    </r>
    <r>
      <rPr>
        <sz val="11"/>
        <color theme="1"/>
        <rFont val="ＭＳ Ｐゴシック"/>
        <family val="3"/>
        <charset val="128"/>
        <scheme val="minor"/>
      </rPr>
      <t>春</t>
    </r>
    <r>
      <rPr>
        <sz val="11"/>
        <color theme="1"/>
        <rFont val="ＭＳ Ｐゴシック"/>
        <family val="3"/>
        <charset val="134"/>
        <scheme val="minor"/>
      </rPr>
      <t>赛诺</t>
    </r>
    <r>
      <rPr>
        <sz val="11"/>
        <color theme="1"/>
        <rFont val="ＭＳ Ｐゴシック"/>
        <family val="3"/>
        <charset val="128"/>
        <scheme val="minor"/>
      </rPr>
      <t>美焱科技有限公司</t>
    </r>
  </si>
  <si>
    <r>
      <t>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威士忌;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</si>
  <si>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唯露希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</si>
  <si>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</t>
    </r>
  </si>
  <si>
    <t>云玖斯坦</t>
  </si>
  <si>
    <r>
      <t>广州中玖</t>
    </r>
    <r>
      <rPr>
        <sz val="11"/>
        <color theme="1"/>
        <rFont val="ＭＳ Ｐゴシック"/>
        <family val="3"/>
        <charset val="134"/>
        <scheme val="minor"/>
      </rPr>
      <t>联</t>
    </r>
    <r>
      <rPr>
        <sz val="11"/>
        <color theme="1"/>
        <rFont val="ＭＳ Ｐゴシック"/>
        <family val="3"/>
        <charset val="128"/>
        <scheme val="minor"/>
      </rPr>
      <t>行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易有限公司</t>
    </r>
  </si>
  <si>
    <r>
      <t xml:space="preserve">朗姆酒;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麦芽威士忌; 清酒; 甜酒; 果酒;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米酒; 葡萄酒</t>
    </r>
  </si>
  <si>
    <r>
      <t>李氏</t>
    </r>
    <r>
      <rPr>
        <sz val="11"/>
        <color theme="1"/>
        <rFont val="ＭＳ Ｐゴシック"/>
        <family val="3"/>
        <charset val="134"/>
        <scheme val="minor"/>
      </rPr>
      <t>抚</t>
    </r>
    <r>
      <rPr>
        <sz val="11"/>
        <color theme="1"/>
        <rFont val="ＭＳ Ｐゴシック"/>
        <family val="3"/>
        <charset val="128"/>
        <scheme val="minor"/>
      </rPr>
      <t>阳御酒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</si>
  <si>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娟娟</t>
    </r>
  </si>
  <si>
    <r>
      <t>葡萄酒; 威士忌;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开胃酒;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白酒; 蜂蜜酒; 果酒（含酒精）</t>
    </r>
  </si>
  <si>
    <r>
      <t>隐</t>
    </r>
    <r>
      <rPr>
        <sz val="11"/>
        <color theme="1"/>
        <rFont val="ＭＳ Ｐゴシック"/>
        <family val="3"/>
        <charset val="128"/>
        <scheme val="minor"/>
      </rPr>
      <t>序</t>
    </r>
  </si>
  <si>
    <r>
      <t>胡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清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</si>
  <si>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米酒; 黄酒;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开胃酒;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</si>
  <si>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仁玄</t>
  </si>
  <si>
    <r>
      <t>韦</t>
    </r>
    <r>
      <rPr>
        <sz val="11"/>
        <color theme="1"/>
        <rFont val="ＭＳ Ｐゴシック"/>
        <family val="3"/>
        <charset val="128"/>
        <scheme val="minor"/>
      </rPr>
      <t>敬德</t>
    </r>
  </si>
  <si>
    <r>
      <t>开胃酒;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白酒; 果酒; 葡萄酒; 黄酒; 清酒（日本米酒）;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</si>
  <si>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谈</t>
    </r>
    <r>
      <rPr>
        <sz val="11"/>
        <color theme="1"/>
        <rFont val="ＭＳ Ｐゴシック"/>
        <family val="3"/>
        <charset val="128"/>
        <scheme val="minor"/>
      </rPr>
      <t>博堂</t>
    </r>
  </si>
  <si>
    <r>
      <t>惟道大成文化展</t>
    </r>
    <r>
      <rPr>
        <sz val="11"/>
        <color theme="1"/>
        <rFont val="ＭＳ Ｐゴシック"/>
        <family val="3"/>
        <charset val="134"/>
        <scheme val="minor"/>
      </rPr>
      <t>览</t>
    </r>
    <r>
      <rPr>
        <sz val="11"/>
        <color theme="1"/>
        <rFont val="ＭＳ Ｐゴシック"/>
        <family val="3"/>
        <charset val="128"/>
        <scheme val="minor"/>
      </rPr>
      <t>（深圳）有限公司</t>
    </r>
  </si>
  <si>
    <r>
      <t xml:space="preserve">白酒;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葡萄酒; 汽酒; 黄酒; 米酒</t>
    </r>
  </si>
  <si>
    <r>
      <t>洺</t>
    </r>
    <r>
      <rPr>
        <sz val="11"/>
        <color theme="1"/>
        <rFont val="ＭＳ Ｐゴシック"/>
        <family val="3"/>
        <charset val="128"/>
        <scheme val="minor"/>
      </rPr>
      <t>水艾斯</t>
    </r>
  </si>
  <si>
    <r>
      <t>王</t>
    </r>
    <r>
      <rPr>
        <sz val="11"/>
        <color theme="1"/>
        <rFont val="ＭＳ Ｐゴシック"/>
        <family val="3"/>
        <charset val="134"/>
        <scheme val="minor"/>
      </rPr>
      <t>东辉</t>
    </r>
  </si>
  <si>
    <r>
      <t>果酒（含酒精）; 葡萄酒;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食用酒精; 白酒;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</si>
  <si>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t>露希唯</t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</si>
  <si>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含酒精的气泡水; 威士忌; 葡萄酒</t>
    </r>
  </si>
  <si>
    <t>HLADONIS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</si>
  <si>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含酒精的气泡水;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米酒; 威士忌</t>
    </r>
  </si>
  <si>
    <t>LUCIVELLE</t>
  </si>
  <si>
    <r>
      <t>葡萄酒;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含酒精的气泡水</t>
    </r>
  </si>
  <si>
    <t>科世帝威</t>
  </si>
  <si>
    <r>
      <t>杜</t>
    </r>
    <r>
      <rPr>
        <sz val="11"/>
        <color theme="1"/>
        <rFont val="ＭＳ Ｐゴシック"/>
        <family val="3"/>
        <charset val="134"/>
        <scheme val="minor"/>
      </rPr>
      <t>凤</t>
    </r>
    <r>
      <rPr>
        <sz val="11"/>
        <color theme="1"/>
        <rFont val="ＭＳ Ｐゴシック"/>
        <family val="3"/>
        <charset val="128"/>
        <scheme val="minor"/>
      </rPr>
      <t>利</t>
    </r>
  </si>
  <si>
    <r>
      <t>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威士忌; 清酒;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伏特加酒; 烈酒; 果酒; 米酒</t>
    </r>
  </si>
  <si>
    <t>励上游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</si>
  <si>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州金沙窖酒酒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</si>
  <si>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开胃酒;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利口酒;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</si>
  <si>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稷伴</t>
  </si>
  <si>
    <r>
      <t>集水潭（重</t>
    </r>
    <r>
      <rPr>
        <sz val="11"/>
        <color theme="1"/>
        <rFont val="ＭＳ Ｐゴシック"/>
        <family val="3"/>
        <charset val="134"/>
        <scheme val="minor"/>
      </rPr>
      <t>庆</t>
    </r>
    <r>
      <rPr>
        <sz val="11"/>
        <color theme="1"/>
        <rFont val="ＭＳ Ｐゴシック"/>
        <family val="3"/>
        <charset val="128"/>
        <scheme val="minor"/>
      </rPr>
      <t>）科技有限公司</t>
    </r>
  </si>
  <si>
    <r>
      <t>烧</t>
    </r>
    <r>
      <rPr>
        <sz val="11"/>
        <color theme="1"/>
        <rFont val="ＭＳ Ｐゴシック"/>
        <family val="3"/>
        <charset val="128"/>
        <scheme val="minor"/>
      </rPr>
      <t>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高粱酒; 米酒;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白酒;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白干酒（中国白酒）;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用烈酒;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</si>
  <si>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t>稷小白</t>
  </si>
  <si>
    <r>
      <t>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用烈酒; 高粱酒;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的白酒; 白干酒（中国白酒）</t>
    </r>
  </si>
  <si>
    <t>嫩溪</t>
  </si>
  <si>
    <r>
      <t>郑</t>
    </r>
    <r>
      <rPr>
        <sz val="11"/>
        <color theme="1"/>
        <rFont val="ＭＳ Ｐゴシック"/>
        <family val="3"/>
        <charset val="128"/>
        <scheme val="minor"/>
      </rPr>
      <t>木花</t>
    </r>
  </si>
  <si>
    <r>
      <t xml:space="preserve">黄酒;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葡萄酒; 食用酒精; 清酒（日本米酒）</t>
    </r>
  </si>
  <si>
    <r>
      <t>宅</t>
    </r>
    <r>
      <rPr>
        <sz val="11"/>
        <color theme="1"/>
        <rFont val="ＭＳ Ｐゴシック"/>
        <family val="3"/>
        <charset val="134"/>
        <scheme val="minor"/>
      </rPr>
      <t>娱</t>
    </r>
  </si>
  <si>
    <r>
      <t>成都</t>
    </r>
    <r>
      <rPr>
        <sz val="11"/>
        <color theme="1"/>
        <rFont val="ＭＳ Ｐゴシック"/>
        <family val="3"/>
        <charset val="134"/>
        <scheme val="minor"/>
      </rPr>
      <t>兴</t>
    </r>
    <r>
      <rPr>
        <sz val="11"/>
        <color theme="1"/>
        <rFont val="ＭＳ Ｐゴシック"/>
        <family val="3"/>
        <charset val="128"/>
        <scheme val="minor"/>
      </rPr>
      <t>宅</t>
    </r>
    <r>
      <rPr>
        <sz val="11"/>
        <color theme="1"/>
        <rFont val="ＭＳ Ｐゴシック"/>
        <family val="3"/>
        <charset val="134"/>
        <scheme val="minor"/>
      </rPr>
      <t>娱</t>
    </r>
    <r>
      <rPr>
        <sz val="11"/>
        <color theme="1"/>
        <rFont val="ＭＳ Ｐゴシック"/>
        <family val="3"/>
        <charset val="128"/>
        <scheme val="minor"/>
      </rPr>
      <t>酒店管理有限公司</t>
    </r>
  </si>
  <si>
    <r>
      <t>果酒; 葡萄酒;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米酒; 威士忌; 含牛奶的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清酒; 白酒</t>
    </r>
  </si>
  <si>
    <t>鑫日明品</t>
  </si>
  <si>
    <t>李新荣</t>
  </si>
  <si>
    <r>
      <t>烈酒;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果酒（含酒精）;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白酒;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葡萄酒</t>
    </r>
  </si>
  <si>
    <t>玄昌泰宝</t>
  </si>
  <si>
    <r>
      <t xml:space="preserve">果酒;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威士忌; 葡萄酒;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伏特加酒; 清酒; 米酒; 烈酒</t>
    </r>
  </si>
  <si>
    <t>昌沔家</t>
  </si>
  <si>
    <r>
      <t>昌沔供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（湖北）有限公司</t>
    </r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</si>
  <si>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清酒（日本米酒）;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米酒; 白干酒（中国白酒）; 白酒; 果酒（含酒精）; 葡萄酒; 黄酒</t>
    </r>
  </si>
  <si>
    <r>
      <t>周喜</t>
    </r>
    <r>
      <rPr>
        <sz val="11"/>
        <color theme="1"/>
        <rFont val="ＭＳ Ｐゴシック"/>
        <family val="3"/>
        <charset val="134"/>
        <scheme val="minor"/>
      </rPr>
      <t>乐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</si>
  <si>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厚来</t>
    </r>
  </si>
  <si>
    <r>
      <t>蜂蜜酒;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白酒; 果酒（含酒精）; 葡萄酒;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</t>
    </r>
  </si>
  <si>
    <r>
      <t>富</t>
    </r>
    <r>
      <rPr>
        <sz val="11"/>
        <color theme="1"/>
        <rFont val="ＭＳ Ｐゴシック"/>
        <family val="3"/>
        <charset val="134"/>
        <scheme val="minor"/>
      </rPr>
      <t>长</t>
    </r>
    <r>
      <rPr>
        <sz val="11"/>
        <color theme="1"/>
        <rFont val="ＭＳ Ｐゴシック"/>
        <family val="3"/>
        <charset val="128"/>
        <scheme val="minor"/>
      </rPr>
      <t>久家</t>
    </r>
  </si>
  <si>
    <r>
      <t>菏</t>
    </r>
    <r>
      <rPr>
        <sz val="11"/>
        <color theme="1"/>
        <rFont val="ＭＳ Ｐゴシック"/>
        <family val="3"/>
        <charset val="134"/>
        <scheme val="minor"/>
      </rPr>
      <t>泽</t>
    </r>
    <r>
      <rPr>
        <sz val="11"/>
        <color theme="1"/>
        <rFont val="ＭＳ Ｐゴシック"/>
        <family val="3"/>
        <charset val="128"/>
        <scheme val="minor"/>
      </rPr>
      <t>聚达信息科技有限公司</t>
    </r>
  </si>
  <si>
    <r>
      <t xml:space="preserve">烈酒;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米酒; 食用酒精;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白酒; 果酒; 黄酒; 清酒</t>
    </r>
  </si>
  <si>
    <r>
      <t>洋</t>
    </r>
    <r>
      <rPr>
        <sz val="11"/>
        <color theme="1"/>
        <rFont val="ＭＳ Ｐゴシック"/>
        <family val="3"/>
        <charset val="134"/>
        <scheme val="minor"/>
      </rPr>
      <t>灿灿</t>
    </r>
  </si>
  <si>
    <r>
      <t>福</t>
    </r>
    <r>
      <rPr>
        <sz val="11"/>
        <color theme="1"/>
        <rFont val="ＭＳ Ｐゴシック"/>
        <family val="3"/>
        <charset val="134"/>
        <scheme val="minor"/>
      </rPr>
      <t>满</t>
    </r>
    <r>
      <rPr>
        <sz val="11"/>
        <color theme="1"/>
        <rFont val="ＭＳ Ｐゴシック"/>
        <family val="3"/>
        <charset val="128"/>
        <scheme val="minor"/>
      </rPr>
      <t>家集</t>
    </r>
    <r>
      <rPr>
        <sz val="11"/>
        <color theme="1"/>
        <rFont val="ＭＳ Ｐゴシック"/>
        <family val="3"/>
        <charset val="134"/>
        <scheme val="minor"/>
      </rPr>
      <t>团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</si>
  <si>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米酒; 白酒; 葡萄酒; 黄酒;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利口酒;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烈酒;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</t>
    </r>
  </si>
  <si>
    <t>SCIBLOOM</t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</si>
  <si>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威士忌;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米酒;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</si>
  <si>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忆</t>
    </r>
    <r>
      <rPr>
        <sz val="11"/>
        <color theme="1"/>
        <rFont val="ＭＳ Ｐゴシック"/>
        <family val="3"/>
        <charset val="128"/>
        <scheme val="minor"/>
      </rPr>
      <t>悠康</t>
    </r>
  </si>
  <si>
    <t>朱超群</t>
  </si>
  <si>
    <r>
      <t>薄荷酒;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葡萄酒; 黄酒; 蜂蜜酒; 梨酒;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果酒（含酒精）</t>
    </r>
  </si>
  <si>
    <t>福在浙</t>
  </si>
  <si>
    <t>邹龙辉</t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</si>
  <si>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白酒;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食用酒精</t>
    </r>
  </si>
  <si>
    <r>
      <t>天</t>
    </r>
    <r>
      <rPr>
        <sz val="11"/>
        <color theme="1"/>
        <rFont val="ＭＳ Ｐゴシック"/>
        <family val="3"/>
        <charset val="134"/>
        <scheme val="minor"/>
      </rPr>
      <t>鹅狮</t>
    </r>
  </si>
  <si>
    <r>
      <t>杨</t>
    </r>
    <r>
      <rPr>
        <sz val="11"/>
        <color theme="1"/>
        <rFont val="ＭＳ Ｐゴシック"/>
        <family val="3"/>
        <charset val="129"/>
        <scheme val="minor"/>
      </rPr>
      <t>强</t>
    </r>
  </si>
  <si>
    <r>
      <t>果酒（含酒精）;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黄酒; 米酒; 汽酒; 葡萄酒;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酒（烈酒）; 食用酒精; 开胃酒; 白酒</t>
    </r>
  </si>
  <si>
    <r>
      <t>印天</t>
    </r>
    <r>
      <rPr>
        <sz val="11"/>
        <color theme="1"/>
        <rFont val="ＭＳ Ｐゴシック"/>
        <family val="3"/>
        <charset val="134"/>
        <scheme val="minor"/>
      </rPr>
      <t>缘</t>
    </r>
  </si>
  <si>
    <r>
      <t>重</t>
    </r>
    <r>
      <rPr>
        <sz val="11"/>
        <color theme="1"/>
        <rFont val="ＭＳ Ｐゴシック"/>
        <family val="3"/>
        <charset val="134"/>
        <scheme val="minor"/>
      </rPr>
      <t>庆酱</t>
    </r>
    <r>
      <rPr>
        <sz val="11"/>
        <color theme="1"/>
        <rFont val="ＭＳ Ｐゴシック"/>
        <family val="3"/>
        <charset val="128"/>
        <scheme val="minor"/>
      </rPr>
      <t>礼坊酒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</si>
  <si>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米酒; 白酒; 含酒精的气泡水; 伏特加酒;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高粱酒;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甜果酒; 白干酒（中国白酒）</t>
    </r>
  </si>
  <si>
    <r>
      <t>赫</t>
    </r>
    <r>
      <rPr>
        <sz val="11"/>
        <color theme="1"/>
        <rFont val="ＭＳ Ｐゴシック"/>
        <family val="3"/>
        <charset val="134"/>
        <scheme val="minor"/>
      </rPr>
      <t>丽</t>
    </r>
    <r>
      <rPr>
        <sz val="11"/>
        <color theme="1"/>
        <rFont val="ＭＳ Ｐゴシック"/>
        <family val="3"/>
        <charset val="128"/>
        <scheme val="minor"/>
      </rPr>
      <t>蒂</t>
    </r>
  </si>
  <si>
    <r>
      <t>鸡</t>
    </r>
    <r>
      <rPr>
        <sz val="11"/>
        <color theme="1"/>
        <rFont val="ＭＳ Ｐゴシック"/>
        <family val="3"/>
        <charset val="128"/>
        <scheme val="minor"/>
      </rPr>
      <t>尾酒;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含酒精的气泡水;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葡萄酒;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</si>
  <si>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t>度歌米勒</t>
  </si>
  <si>
    <r>
      <t>威士忌; 果酒; 米酒; 伏特加酒;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烈酒; 白酒; 清酒</t>
    </r>
  </si>
  <si>
    <t>秦路台</t>
  </si>
  <si>
    <r>
      <t>彭</t>
    </r>
    <r>
      <rPr>
        <sz val="11"/>
        <color theme="1"/>
        <rFont val="ＭＳ Ｐゴシック"/>
        <family val="3"/>
        <charset val="134"/>
        <scheme val="minor"/>
      </rPr>
      <t>爱军</t>
    </r>
  </si>
  <si>
    <r>
      <t>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由谷物蒸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的白酒; 白酒;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清酒（日本米酒）;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葡萄酒; 米酒; 果酒（含酒精）; 汽酒</t>
    </r>
  </si>
  <si>
    <r>
      <t>豪园酒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</si>
  <si>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岛</t>
    </r>
    <r>
      <rPr>
        <sz val="11"/>
        <color theme="1"/>
        <rFont val="ＭＳ Ｐゴシック"/>
        <family val="3"/>
        <charset val="128"/>
        <scheme val="minor"/>
      </rPr>
      <t>上姥姥</t>
    </r>
  </si>
  <si>
    <r>
      <t>岛</t>
    </r>
    <r>
      <rPr>
        <sz val="11"/>
        <color theme="1"/>
        <rFont val="ＭＳ Ｐゴシック"/>
        <family val="3"/>
        <charset val="128"/>
        <scheme val="minor"/>
      </rPr>
      <t>上佬佬（海南）文旅</t>
    </r>
    <r>
      <rPr>
        <sz val="11"/>
        <color theme="1"/>
        <rFont val="ＭＳ Ｐゴシック"/>
        <family val="3"/>
        <charset val="134"/>
        <scheme val="minor"/>
      </rPr>
      <t>产业</t>
    </r>
    <r>
      <rPr>
        <sz val="11"/>
        <color theme="1"/>
        <rFont val="ＭＳ Ｐゴシック"/>
        <family val="3"/>
        <charset val="128"/>
        <scheme val="minor"/>
      </rPr>
      <t>投</t>
    </r>
    <r>
      <rPr>
        <sz val="11"/>
        <color theme="1"/>
        <rFont val="ＭＳ Ｐゴシック"/>
        <family val="3"/>
        <charset val="134"/>
        <scheme val="minor"/>
      </rPr>
      <t>资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</si>
  <si>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白酒; 黄酒; 米酒;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葡萄酒; 烈酒; 开胃酒; 果酒</t>
    </r>
  </si>
  <si>
    <t>谷王匠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</si>
  <si>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开胃酒; 白酒;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米酒; 黄酒; 果酒（含酒精）; 葡萄酒</t>
    </r>
  </si>
  <si>
    <t>亨利福</t>
  </si>
  <si>
    <r>
      <t>张</t>
    </r>
    <r>
      <rPr>
        <sz val="11"/>
        <color theme="1"/>
        <rFont val="ＭＳ Ｐゴシック"/>
        <family val="3"/>
        <charset val="128"/>
        <scheme val="minor"/>
      </rPr>
      <t>慧芬</t>
    </r>
  </si>
  <si>
    <r>
      <t>果酒; 白干酒（中国白酒）; 含酒精的充气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白酒; 烈酒;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烈酒）; 米酒; 葡萄酒</t>
    </r>
  </si>
  <si>
    <t>立上游</t>
  </si>
  <si>
    <r>
      <t>烧</t>
    </r>
    <r>
      <rPr>
        <sz val="11"/>
        <color theme="1"/>
        <rFont val="ＭＳ Ｐゴシック"/>
        <family val="3"/>
        <charset val="128"/>
        <scheme val="minor"/>
      </rPr>
      <t>酒; 黄酒; 葡萄酒;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>地; 米酒; 开胃酒; 利口酒;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</si>
  <si>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耕小</t>
    </r>
    <r>
      <rPr>
        <sz val="11"/>
        <color theme="1"/>
        <rFont val="ＭＳ Ｐゴシック"/>
        <family val="3"/>
        <charset val="134"/>
        <scheme val="minor"/>
      </rPr>
      <t>满</t>
    </r>
  </si>
  <si>
    <r>
      <t>京</t>
    </r>
    <r>
      <rPr>
        <sz val="11"/>
        <color theme="1"/>
        <rFont val="ＭＳ Ｐゴシック"/>
        <family val="3"/>
        <charset val="134"/>
        <scheme val="minor"/>
      </rPr>
      <t>顺赋农</t>
    </r>
    <r>
      <rPr>
        <sz val="11"/>
        <color theme="1"/>
        <rFont val="ＭＳ Ｐゴシック"/>
        <family val="3"/>
        <charset val="128"/>
        <scheme val="minor"/>
      </rPr>
      <t>（内蒙古）</t>
    </r>
    <r>
      <rPr>
        <sz val="11"/>
        <color theme="1"/>
        <rFont val="ＭＳ Ｐゴシック"/>
        <family val="3"/>
        <charset val="134"/>
        <scheme val="minor"/>
      </rPr>
      <t>农业</t>
    </r>
    <r>
      <rPr>
        <sz val="11"/>
        <color theme="1"/>
        <rFont val="ＭＳ Ｐゴシック"/>
        <family val="3"/>
        <charset val="128"/>
        <scheme val="minor"/>
      </rPr>
      <t>科技有限公司</t>
    </r>
  </si>
  <si>
    <r>
      <t>白酒; 含酒精水果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清酒; 黄酒; 葡萄汽酒;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米酒; 含酒精蛋奶酒; 开胃酒; 葡萄酒</t>
    </r>
  </si>
  <si>
    <r>
      <t>盛京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通堂</t>
    </r>
  </si>
  <si>
    <r>
      <t>辽</t>
    </r>
    <r>
      <rPr>
        <sz val="11"/>
        <color theme="1"/>
        <rFont val="ＭＳ Ｐゴシック"/>
        <family val="3"/>
        <charset val="128"/>
        <scheme val="minor"/>
      </rPr>
      <t>宁佳鑫</t>
    </r>
    <r>
      <rPr>
        <sz val="11"/>
        <color theme="1"/>
        <rFont val="ＭＳ Ｐゴシック"/>
        <family val="3"/>
        <charset val="134"/>
        <scheme val="minor"/>
      </rPr>
      <t>亿</t>
    </r>
    <r>
      <rPr>
        <sz val="11"/>
        <color theme="1"/>
        <rFont val="ＭＳ Ｐゴシック"/>
        <family val="3"/>
        <charset val="128"/>
        <scheme val="minor"/>
      </rPr>
      <t>通商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</si>
  <si>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 xml:space="preserve">葡萄酒; 果酒; 食用酒精; 开胃酒; 苹果酒; 米酒;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黄酒; 白酒; 梨酒</t>
    </r>
  </si>
  <si>
    <t>堂燕</t>
  </si>
  <si>
    <r>
      <t>贝</t>
    </r>
    <r>
      <rPr>
        <sz val="11"/>
        <color theme="1"/>
        <rFont val="ＭＳ Ｐゴシック"/>
        <family val="3"/>
        <charset val="128"/>
        <scheme val="minor"/>
      </rPr>
      <t>壳美家供</t>
    </r>
    <r>
      <rPr>
        <sz val="11"/>
        <color theme="1"/>
        <rFont val="ＭＳ Ｐゴシック"/>
        <family val="3"/>
        <charset val="134"/>
        <scheme val="minor"/>
      </rPr>
      <t>应链</t>
    </r>
    <r>
      <rPr>
        <sz val="11"/>
        <color theme="1"/>
        <rFont val="ＭＳ Ｐゴシック"/>
        <family val="3"/>
        <charset val="128"/>
        <scheme val="minor"/>
      </rPr>
      <t>管理（浙江）有限</t>
    </r>
    <r>
      <rPr>
        <sz val="11"/>
        <color theme="1"/>
        <rFont val="ＭＳ Ｐゴシック"/>
        <family val="3"/>
        <charset val="134"/>
        <scheme val="minor"/>
      </rPr>
      <t>责</t>
    </r>
    <r>
      <rPr>
        <sz val="11"/>
        <color theme="1"/>
        <rFont val="ＭＳ Ｐゴシック"/>
        <family val="3"/>
        <charset val="128"/>
        <scheme val="minor"/>
      </rPr>
      <t>任公司</t>
    </r>
  </si>
  <si>
    <r>
      <t>清酒; 米酒; 白酒; 葡萄酒; 汽酒;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</si>
  <si>
    <r>
      <t>招福承</t>
    </r>
    <r>
      <rPr>
        <sz val="11"/>
        <color theme="1"/>
        <rFont val="ＭＳ Ｐゴシック"/>
        <family val="3"/>
        <charset val="134"/>
        <scheme val="minor"/>
      </rPr>
      <t>记</t>
    </r>
  </si>
  <si>
    <t>薛霞</t>
  </si>
  <si>
    <r>
      <t>开胃酒; 葡萄汽酒; 米酒; 黄酒;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汽酒; 梅酒; 果酒（含酒精）; 利口酒; 起泡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>葡萄酒</t>
    </r>
  </si>
  <si>
    <r>
      <t>铂</t>
    </r>
    <r>
      <rPr>
        <sz val="11"/>
        <color theme="1"/>
        <rFont val="ＭＳ Ｐゴシック"/>
        <family val="3"/>
        <charset val="128"/>
        <scheme val="minor"/>
      </rPr>
      <t>仙达</t>
    </r>
  </si>
  <si>
    <r>
      <t>铂</t>
    </r>
    <r>
      <rPr>
        <sz val="11"/>
        <color theme="1"/>
        <rFont val="ＭＳ Ｐゴシック"/>
        <family val="3"/>
        <charset val="128"/>
        <scheme val="minor"/>
      </rPr>
      <t>仙达品牌管理(深圳)有限公司</t>
    </r>
  </si>
  <si>
    <r>
      <t>黄酒; 米酒; 白酒; 白</t>
    </r>
    <r>
      <rPr>
        <sz val="11"/>
        <color theme="1"/>
        <rFont val="ＭＳ Ｐゴシック"/>
        <family val="3"/>
        <charset val="134"/>
        <scheme val="minor"/>
      </rPr>
      <t>兰</t>
    </r>
    <r>
      <rPr>
        <sz val="11"/>
        <color theme="1"/>
        <rFont val="ＭＳ Ｐゴシック"/>
        <family val="3"/>
        <charset val="128"/>
        <scheme val="minor"/>
      </rPr>
      <t xml:space="preserve">地; 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果酒（含酒精）;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威士忌</t>
    </r>
  </si>
  <si>
    <r>
      <t>尊</t>
    </r>
    <r>
      <rPr>
        <sz val="11"/>
        <color theme="1"/>
        <rFont val="ＭＳ Ｐゴシック"/>
        <family val="3"/>
        <charset val="134"/>
        <scheme val="minor"/>
      </rPr>
      <t>远</t>
    </r>
  </si>
  <si>
    <r>
      <t>香河</t>
    </r>
    <r>
      <rPr>
        <sz val="11"/>
        <color theme="1"/>
        <rFont val="ＭＳ Ｐゴシック"/>
        <family val="3"/>
        <charset val="134"/>
        <scheme val="minor"/>
      </rPr>
      <t>锦阔软</t>
    </r>
    <r>
      <rPr>
        <sz val="11"/>
        <color theme="1"/>
        <rFont val="ＭＳ Ｐゴシック"/>
        <family val="3"/>
        <charset val="128"/>
        <scheme val="minor"/>
      </rPr>
      <t>件开</t>
    </r>
    <r>
      <rPr>
        <sz val="11"/>
        <color theme="1"/>
        <rFont val="ＭＳ Ｐゴシック"/>
        <family val="3"/>
        <charset val="134"/>
        <scheme val="minor"/>
      </rPr>
      <t>发</t>
    </r>
    <r>
      <rPr>
        <sz val="11"/>
        <color theme="1"/>
        <rFont val="ＭＳ Ｐゴシック"/>
        <family val="3"/>
        <charset val="128"/>
        <scheme val="minor"/>
      </rPr>
      <t>工作室</t>
    </r>
  </si>
  <si>
    <r>
      <t>威士忌;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青稞酒; 食用酒精; 黄酒; 果酒（含酒精）; 白酒; 米酒</t>
    </r>
  </si>
  <si>
    <t>欧若姆</t>
  </si>
  <si>
    <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料原汁; 食用酒精; 果酒（含酒精）;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杜松子酒;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米酒; 葡萄酒; 苹果酒;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</t>
    </r>
  </si>
  <si>
    <r>
      <t>昆明安金商</t>
    </r>
    <r>
      <rPr>
        <sz val="11"/>
        <color theme="1"/>
        <rFont val="ＭＳ Ｐゴシック"/>
        <family val="3"/>
        <charset val="134"/>
        <scheme val="minor"/>
      </rPr>
      <t>贸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</si>
  <si>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果酒（含酒精）; 黄酒; 白酒; 薄荷酒; 米酒; 以葡萄酒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蜂蜜酒; 青稞酒;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</t>
    </r>
  </si>
  <si>
    <r>
      <t>陈</t>
    </r>
    <r>
      <rPr>
        <sz val="11"/>
        <color theme="1"/>
        <rFont val="ＭＳ Ｐゴシック"/>
        <family val="3"/>
        <charset val="128"/>
        <scheme val="minor"/>
      </rPr>
      <t>燕君</t>
    </r>
  </si>
  <si>
    <r>
      <t>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汽酒; 葡萄酒; 谷物制蒸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烈酒）; 果酒; 米酒;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白酒</t>
    </r>
  </si>
  <si>
    <t>唠唠鲜</t>
  </si>
  <si>
    <r>
      <t>辽</t>
    </r>
    <r>
      <rPr>
        <sz val="11"/>
        <color theme="1"/>
        <rFont val="ＭＳ Ｐゴシック"/>
        <family val="3"/>
        <charset val="128"/>
        <scheme val="minor"/>
      </rPr>
      <t>宁帝</t>
    </r>
    <r>
      <rPr>
        <sz val="11"/>
        <color theme="1"/>
        <rFont val="ＭＳ Ｐゴシック"/>
        <family val="3"/>
        <charset val="134"/>
        <scheme val="minor"/>
      </rPr>
      <t>华</t>
    </r>
    <r>
      <rPr>
        <sz val="11"/>
        <color theme="1"/>
        <rFont val="ＭＳ Ｐゴシック"/>
        <family val="3"/>
        <charset val="128"/>
        <scheme val="minor"/>
      </rPr>
      <t>味精食品有限公司</t>
    </r>
  </si>
  <si>
    <r>
      <t>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食用酒精; 白酒;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果酒; 黄酒; 米酒; 葡萄酒; 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</si>
  <si>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t>祝二娘</t>
  </si>
  <si>
    <t>祝金彬</t>
  </si>
  <si>
    <r>
      <t>白酒; 米酒; 葡萄酒; 果酒（含酒精）;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 xml:space="preserve">米酒（泡盛酒）;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黄酒; 蒸煮提取物（利口酒和烈酒）; 清酒（日本米酒）</t>
    </r>
  </si>
  <si>
    <t>吉象妥妥</t>
  </si>
  <si>
    <r>
      <t>长</t>
    </r>
    <r>
      <rPr>
        <sz val="11"/>
        <color theme="1"/>
        <rFont val="ＭＳ Ｐゴシック"/>
        <family val="3"/>
        <charset val="128"/>
        <scheme val="minor"/>
      </rPr>
      <t>者科技（上海）有限公司</t>
    </r>
  </si>
  <si>
    <r>
      <t>米酒; 果酒（含酒精）; 葡萄酒; 蜂蜜酒; 白酒; 威士忌;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料）;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尾酒; 清酒（日本米酒）</t>
    </r>
  </si>
  <si>
    <t>湘谷勤</t>
  </si>
  <si>
    <r>
      <t>彭小</t>
    </r>
    <r>
      <rPr>
        <sz val="11"/>
        <color theme="1"/>
        <rFont val="ＭＳ Ｐゴシック"/>
        <family val="3"/>
        <charset val="134"/>
        <scheme val="minor"/>
      </rPr>
      <t>艳</t>
    </r>
  </si>
  <si>
    <r>
      <t xml:space="preserve">黄酒; 果酒（含酒精）; 开胃酒; 苹果酒; 米酒; 葡萄酒; 白酒;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 xml:space="preserve">尾酒;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汽酒</t>
    </r>
  </si>
  <si>
    <t>弦月念香</t>
  </si>
  <si>
    <r>
      <t>贵</t>
    </r>
    <r>
      <rPr>
        <sz val="11"/>
        <color theme="1"/>
        <rFont val="ＭＳ Ｐゴシック"/>
        <family val="3"/>
        <charset val="128"/>
        <scheme val="minor"/>
      </rPr>
      <t>州酒</t>
    </r>
    <r>
      <rPr>
        <sz val="11"/>
        <color theme="1"/>
        <rFont val="ＭＳ Ｐゴシック"/>
        <family val="3"/>
        <charset val="134"/>
        <scheme val="minor"/>
      </rPr>
      <t>邹</t>
    </r>
    <r>
      <rPr>
        <sz val="11"/>
        <color theme="1"/>
        <rFont val="ＭＳ Ｐゴシック"/>
        <family val="3"/>
        <charset val="128"/>
        <scheme val="minor"/>
      </rPr>
      <t>酒</t>
    </r>
    <r>
      <rPr>
        <sz val="11"/>
        <color theme="1"/>
        <rFont val="ＭＳ Ｐゴシック"/>
        <family val="3"/>
        <charset val="134"/>
        <scheme val="minor"/>
      </rPr>
      <t>业</t>
    </r>
    <r>
      <rPr>
        <sz val="11"/>
        <color theme="1"/>
        <rFont val="ＭＳ Ｐゴシック"/>
        <family val="3"/>
        <charset val="128"/>
        <scheme val="minor"/>
      </rPr>
      <t>有限公司</t>
    </r>
  </si>
  <si>
    <r>
      <t>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>料;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料（啤酒除外）; 果酒（含酒精）; 高粱酒; 白酒; 汽酒; 葡萄酒; 开胃酒; 黄酒</t>
    </r>
  </si>
  <si>
    <r>
      <t>威士忌; 米酒;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食用酒精; 黄酒; 果酒（含酒精）;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料）; 青稞酒; 白酒</t>
    </r>
  </si>
  <si>
    <t>鑫煜恒</t>
  </si>
  <si>
    <t>深圳市鑫煜恒科技有限公司</t>
  </si>
  <si>
    <r>
      <t xml:space="preserve">薄荷酒; 果酒（含酒精）; </t>
    </r>
    <r>
      <rPr>
        <sz val="11"/>
        <color theme="1"/>
        <rFont val="ＭＳ Ｐゴシック"/>
        <family val="3"/>
        <charset val="134"/>
        <scheme val="minor"/>
      </rPr>
      <t>樱</t>
    </r>
    <r>
      <rPr>
        <sz val="11"/>
        <color theme="1"/>
        <rFont val="ＭＳ Ｐゴシック"/>
        <family val="3"/>
        <charset val="128"/>
        <scheme val="minor"/>
      </rPr>
      <t>桃酒; 米酒; 蒸</t>
    </r>
    <r>
      <rPr>
        <sz val="11"/>
        <color theme="1"/>
        <rFont val="ＭＳ Ｐゴシック"/>
        <family val="3"/>
        <charset val="134"/>
        <scheme val="minor"/>
      </rPr>
      <t>馏饮</t>
    </r>
    <r>
      <rPr>
        <sz val="11"/>
        <color theme="1"/>
        <rFont val="ＭＳ Ｐゴシック"/>
        <family val="3"/>
        <charset val="128"/>
        <scheme val="minor"/>
      </rPr>
      <t xml:space="preserve">料; 蜂蜜酒;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 xml:space="preserve">酒; 威士忌; </t>
    </r>
    <r>
      <rPr>
        <sz val="11"/>
        <color theme="1"/>
        <rFont val="ＭＳ Ｐゴシック"/>
        <family val="3"/>
        <charset val="134"/>
        <scheme val="minor"/>
      </rPr>
      <t>红</t>
    </r>
    <r>
      <rPr>
        <sz val="11"/>
        <color theme="1"/>
        <rFont val="ＭＳ Ｐゴシック"/>
        <family val="3"/>
        <charset val="128"/>
        <scheme val="minor"/>
      </rPr>
      <t xml:space="preserve">葡萄酒; </t>
    </r>
    <r>
      <rPr>
        <sz val="11"/>
        <color theme="1"/>
        <rFont val="ＭＳ Ｐゴシック"/>
        <family val="3"/>
        <charset val="134"/>
        <scheme val="minor"/>
      </rPr>
      <t>鸡</t>
    </r>
    <r>
      <rPr>
        <sz val="11"/>
        <color theme="1"/>
        <rFont val="ＭＳ Ｐゴシック"/>
        <family val="3"/>
        <charset val="128"/>
        <scheme val="minor"/>
      </rPr>
      <t>尾酒</t>
    </r>
  </si>
  <si>
    <r>
      <t>飨</t>
    </r>
    <r>
      <rPr>
        <sz val="11"/>
        <color theme="1"/>
        <rFont val="ＭＳ Ｐゴシック"/>
        <family val="3"/>
        <charset val="128"/>
        <scheme val="minor"/>
      </rPr>
      <t>芳田</t>
    </r>
  </si>
  <si>
    <r>
      <t xml:space="preserve">米酒; 食用酒精;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含酒精的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 xml:space="preserve">料（啤酒除外）; 苹果酒; </t>
    </r>
    <r>
      <rPr>
        <sz val="11"/>
        <color theme="1"/>
        <rFont val="ＭＳ Ｐゴシック"/>
        <family val="3"/>
        <charset val="134"/>
        <scheme val="minor"/>
      </rPr>
      <t>预</t>
    </r>
    <r>
      <rPr>
        <sz val="11"/>
        <color theme="1"/>
        <rFont val="ＭＳ Ｐゴシック"/>
        <family val="3"/>
        <charset val="128"/>
        <scheme val="minor"/>
      </rPr>
      <t>先混合的酒精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料（以啤酒</t>
    </r>
    <r>
      <rPr>
        <sz val="11"/>
        <color theme="1"/>
        <rFont val="ＭＳ Ｐゴシック"/>
        <family val="3"/>
        <charset val="134"/>
        <scheme val="minor"/>
      </rPr>
      <t>为</t>
    </r>
    <r>
      <rPr>
        <sz val="11"/>
        <color theme="1"/>
        <rFont val="ＭＳ Ｐゴシック"/>
        <family val="3"/>
        <charset val="128"/>
        <scheme val="minor"/>
      </rPr>
      <t>主的除外）; 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料原汁; 葡萄酒; 果酒（含酒精）; 杜松子酒</t>
    </r>
  </si>
  <si>
    <r>
      <t>张</t>
    </r>
    <r>
      <rPr>
        <sz val="11"/>
        <color theme="1"/>
        <rFont val="ＭＳ Ｐゴシック"/>
        <family val="3"/>
        <charset val="128"/>
        <scheme val="minor"/>
      </rPr>
      <t>即之</t>
    </r>
  </si>
  <si>
    <r>
      <t>龚</t>
    </r>
    <r>
      <rPr>
        <sz val="11"/>
        <color theme="1"/>
        <rFont val="ＭＳ Ｐゴシック"/>
        <family val="3"/>
        <charset val="128"/>
        <scheme val="minor"/>
      </rPr>
      <t>中蔚</t>
    </r>
  </si>
  <si>
    <r>
      <t>梅酒; 白酒; 高粱酒;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除啤酒外的酒精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果酒; 麦芽威士忌; 黄酒; 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米酒（泡盛酒）; 老酒（中国蒸</t>
    </r>
    <r>
      <rPr>
        <sz val="11"/>
        <color theme="1"/>
        <rFont val="ＭＳ Ｐゴシック"/>
        <family val="3"/>
        <charset val="134"/>
        <scheme val="minor"/>
      </rPr>
      <t>馏</t>
    </r>
    <r>
      <rPr>
        <sz val="11"/>
        <color theme="1"/>
        <rFont val="ＭＳ Ｐゴシック"/>
        <family val="3"/>
        <charset val="128"/>
        <scheme val="minor"/>
      </rPr>
      <t>烈酒）</t>
    </r>
  </si>
  <si>
    <r>
      <t xml:space="preserve">米酒; 食用酒精; 白酒; 果酒（含酒精）; 黄酒; </t>
    </r>
    <r>
      <rPr>
        <sz val="11"/>
        <color theme="1"/>
        <rFont val="ＭＳ Ｐゴシック"/>
        <family val="3"/>
        <charset val="134"/>
        <scheme val="minor"/>
      </rPr>
      <t>烧</t>
    </r>
    <r>
      <rPr>
        <sz val="11"/>
        <color theme="1"/>
        <rFont val="ＭＳ Ｐゴシック"/>
        <family val="3"/>
        <charset val="128"/>
        <scheme val="minor"/>
      </rPr>
      <t>酒; 含水果酒精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料; 威士忌; 青稞酒; 烈酒（</t>
    </r>
    <r>
      <rPr>
        <sz val="11"/>
        <color theme="1"/>
        <rFont val="ＭＳ Ｐゴシック"/>
        <family val="3"/>
        <charset val="134"/>
        <scheme val="minor"/>
      </rPr>
      <t>饮</t>
    </r>
    <r>
      <rPr>
        <sz val="11"/>
        <color theme="1"/>
        <rFont val="ＭＳ Ｐゴシック"/>
        <family val="3"/>
        <charset val="128"/>
        <scheme val="minor"/>
      </rPr>
      <t>料）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</si>
</sst>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/dd"/>
    <numFmt numFmtId="177" formatCode="0_ "/>
  </numFmts>
  <fonts count="6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34"/>
      <scheme val="minor"/>
    </font>
    <font>
      <sz val="11"/>
      <color theme="1"/>
      <name val="ＭＳ Ｐゴシック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top" wrapText="1"/>
    </xf>
    <xf numFmtId="49" fontId="0" fillId="2" borderId="1" xfId="0" applyNumberFormat="1" applyFill="1" applyBorder="1" applyAlignment="1">
      <alignment horizontal="center" vertical="top" wrapText="1"/>
    </xf>
    <xf numFmtId="177" fontId="0" fillId="2" borderId="1" xfId="0" applyNumberFormat="1" applyFill="1" applyBorder="1" applyAlignment="1">
      <alignment horizontal="center" vertical="top" wrapText="1"/>
    </xf>
    <xf numFmtId="176" fontId="0" fillId="2" borderId="1" xfId="0" applyNumberForma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49" fontId="0" fillId="0" borderId="0" xfId="0" applyNumberFormat="1" applyAlignment="1">
      <alignment vertical="top" wrapText="1"/>
    </xf>
    <xf numFmtId="177" fontId="0" fillId="0" borderId="0" xfId="0" applyNumberFormat="1" applyAlignment="1">
      <alignment vertical="top" wrapText="1"/>
    </xf>
    <xf numFmtId="176" fontId="0" fillId="0" borderId="0" xfId="0" applyNumberFormat="1" applyAlignment="1">
      <alignment vertical="top" wrapText="1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0" fontId="3" fillId="0" borderId="1" xfId="1" applyBorder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FB343-47C0-4CE0-8FAB-E7608847F386}">
  <dimension ref="A1:I2322"/>
  <sheetViews>
    <sheetView tabSelected="1" workbookViewId="0"/>
  </sheetViews>
  <sheetFormatPr defaultRowHeight="13.5" x14ac:dyDescent="0.15"/>
  <cols>
    <col min="1" max="1" width="9" style="5"/>
    <col min="2" max="2" width="9" style="6"/>
    <col min="3" max="3" width="9" style="7"/>
    <col min="4" max="4" width="11.625" style="8" customWidth="1"/>
    <col min="5" max="5" width="10.625" style="7" bestFit="1" customWidth="1"/>
    <col min="6" max="6" width="28.375" style="6" customWidth="1"/>
    <col min="7" max="7" width="31.375" style="6" customWidth="1"/>
    <col min="8" max="8" width="30.625" style="6" customWidth="1"/>
    <col min="9" max="9" width="11.625" style="8" bestFit="1" customWidth="1"/>
  </cols>
  <sheetData>
    <row r="1" spans="1:9" x14ac:dyDescent="0.15">
      <c r="A1" s="1" t="s">
        <v>8</v>
      </c>
      <c r="B1" s="2" t="s">
        <v>0</v>
      </c>
      <c r="C1" s="3" t="s">
        <v>1</v>
      </c>
      <c r="D1" s="4" t="s">
        <v>2</v>
      </c>
      <c r="E1" s="3" t="s">
        <v>3</v>
      </c>
      <c r="F1" s="2" t="s">
        <v>4</v>
      </c>
      <c r="G1" s="2" t="s">
        <v>5</v>
      </c>
      <c r="H1" s="2" t="s">
        <v>6</v>
      </c>
      <c r="I1" s="4" t="s">
        <v>7</v>
      </c>
    </row>
    <row r="2" spans="1:9" x14ac:dyDescent="0.15">
      <c r="A2" s="9">
        <v>1</v>
      </c>
      <c r="B2" s="9" t="s">
        <v>9</v>
      </c>
      <c r="C2" s="9">
        <v>1925</v>
      </c>
      <c r="D2" s="10">
        <v>45715</v>
      </c>
      <c r="E2" s="11" t="str">
        <f>+HYPERLINK("http://trademark.i-assist.jp/data/china/image_1925th/53153115.pdf","53153115")</f>
        <v>53153115</v>
      </c>
      <c r="F2" s="9" t="s">
        <v>34</v>
      </c>
      <c r="G2" s="9" t="s">
        <v>35</v>
      </c>
      <c r="H2" s="12" t="s">
        <v>36</v>
      </c>
      <c r="I2" s="10">
        <v>44216</v>
      </c>
    </row>
    <row r="3" spans="1:9" x14ac:dyDescent="0.15">
      <c r="A3" s="9">
        <v>2</v>
      </c>
      <c r="B3" s="9" t="s">
        <v>9</v>
      </c>
      <c r="C3" s="9">
        <v>1925</v>
      </c>
      <c r="D3" s="10">
        <v>45715</v>
      </c>
      <c r="E3" s="11" t="str">
        <f>+HYPERLINK("http://trademark.i-assist.jp/data/china/image_1925th/55716788.pdf","55716788")</f>
        <v>55716788</v>
      </c>
      <c r="F3" s="9" t="s">
        <v>37</v>
      </c>
      <c r="G3" s="9" t="s">
        <v>38</v>
      </c>
      <c r="H3" s="9" t="s">
        <v>39</v>
      </c>
      <c r="I3" s="10">
        <v>44315</v>
      </c>
    </row>
    <row r="4" spans="1:9" x14ac:dyDescent="0.15">
      <c r="A4" s="9">
        <v>3</v>
      </c>
      <c r="B4" s="9" t="s">
        <v>9</v>
      </c>
      <c r="C4" s="9">
        <v>1925</v>
      </c>
      <c r="D4" s="10">
        <v>45715</v>
      </c>
      <c r="E4" s="11" t="str">
        <f>+HYPERLINK("http://trademark.i-assist.jp/data/china/image_1925th/61717904.pdf","61717904")</f>
        <v>61717904</v>
      </c>
      <c r="F4" s="9" t="s">
        <v>40</v>
      </c>
      <c r="G4" s="9" t="s">
        <v>41</v>
      </c>
      <c r="H4" s="12" t="s">
        <v>42</v>
      </c>
      <c r="I4" s="10">
        <v>44557</v>
      </c>
    </row>
    <row r="5" spans="1:9" x14ac:dyDescent="0.15">
      <c r="A5" s="9">
        <v>4</v>
      </c>
      <c r="B5" s="9" t="s">
        <v>9</v>
      </c>
      <c r="C5" s="9">
        <v>1925</v>
      </c>
      <c r="D5" s="10">
        <v>45715</v>
      </c>
      <c r="E5" s="11" t="str">
        <f>+HYPERLINK("http://trademark.i-assist.jp/data/china/image_1925th/64192923.pdf","64192923")</f>
        <v>64192923</v>
      </c>
      <c r="F5" s="9" t="s">
        <v>43</v>
      </c>
      <c r="G5" s="9" t="s">
        <v>44</v>
      </c>
      <c r="H5" s="9" t="s">
        <v>45</v>
      </c>
      <c r="I5" s="10">
        <v>44675</v>
      </c>
    </row>
    <row r="6" spans="1:9" x14ac:dyDescent="0.15">
      <c r="A6" s="9">
        <v>5</v>
      </c>
      <c r="B6" s="9" t="s">
        <v>9</v>
      </c>
      <c r="C6" s="9">
        <v>1925</v>
      </c>
      <c r="D6" s="10">
        <v>45715</v>
      </c>
      <c r="E6" s="11" t="str">
        <f>+HYPERLINK("http://trademark.i-assist.jp/data/china/image_1925th/64198034.pdf","64198034")</f>
        <v>64198034</v>
      </c>
      <c r="F6" s="9" t="s">
        <v>46</v>
      </c>
      <c r="G6" s="9" t="s">
        <v>44</v>
      </c>
      <c r="H6" s="9" t="s">
        <v>47</v>
      </c>
      <c r="I6" s="10">
        <v>44675</v>
      </c>
    </row>
    <row r="7" spans="1:9" x14ac:dyDescent="0.15">
      <c r="A7" s="9">
        <v>6</v>
      </c>
      <c r="B7" s="9" t="s">
        <v>9</v>
      </c>
      <c r="C7" s="9">
        <v>1925</v>
      </c>
      <c r="D7" s="10">
        <v>45715</v>
      </c>
      <c r="E7" s="11" t="str">
        <f>+HYPERLINK("http://trademark.i-assist.jp/data/china/image_1925th/65525365.pdf","65525365")</f>
        <v>65525365</v>
      </c>
      <c r="F7" s="9" t="s">
        <v>48</v>
      </c>
      <c r="G7" s="9" t="s">
        <v>49</v>
      </c>
      <c r="H7" s="9" t="s">
        <v>50</v>
      </c>
      <c r="I7" s="10">
        <v>44736</v>
      </c>
    </row>
    <row r="8" spans="1:9" x14ac:dyDescent="0.15">
      <c r="A8" s="9">
        <v>7</v>
      </c>
      <c r="B8" s="9" t="s">
        <v>9</v>
      </c>
      <c r="C8" s="9">
        <v>1925</v>
      </c>
      <c r="D8" s="10">
        <v>45715</v>
      </c>
      <c r="E8" s="11" t="str">
        <f>+HYPERLINK("http://trademark.i-assist.jp/data/china/image_1925th/69226563.pdf","69226563")</f>
        <v>69226563</v>
      </c>
      <c r="F8" s="9" t="s">
        <v>51</v>
      </c>
      <c r="G8" s="9" t="s">
        <v>52</v>
      </c>
      <c r="H8" s="9" t="s">
        <v>53</v>
      </c>
      <c r="I8" s="10">
        <v>44939</v>
      </c>
    </row>
    <row r="9" spans="1:9" x14ac:dyDescent="0.15">
      <c r="A9" s="9">
        <v>8</v>
      </c>
      <c r="B9" s="9" t="s">
        <v>9</v>
      </c>
      <c r="C9" s="9">
        <v>1925</v>
      </c>
      <c r="D9" s="10">
        <v>45715</v>
      </c>
      <c r="E9" s="11" t="str">
        <f>+HYPERLINK("http://trademark.i-assist.jp/data/china/image_1925th/69868791.pdf","69868791")</f>
        <v>69868791</v>
      </c>
      <c r="F9" s="12" t="s">
        <v>54</v>
      </c>
      <c r="G9" s="12" t="s">
        <v>55</v>
      </c>
      <c r="H9" s="12" t="s">
        <v>56</v>
      </c>
      <c r="I9" s="10">
        <v>44986</v>
      </c>
    </row>
    <row r="10" spans="1:9" x14ac:dyDescent="0.15">
      <c r="A10" s="9">
        <v>9</v>
      </c>
      <c r="B10" s="9" t="s">
        <v>9</v>
      </c>
      <c r="C10" s="9">
        <v>1925</v>
      </c>
      <c r="D10" s="10">
        <v>45715</v>
      </c>
      <c r="E10" s="11" t="str">
        <f>+HYPERLINK("http://trademark.i-assist.jp/data/china/image_1925th/71356222.pdf","71356222")</f>
        <v>71356222</v>
      </c>
      <c r="F10" s="12" t="s">
        <v>57</v>
      </c>
      <c r="G10" s="9" t="s">
        <v>58</v>
      </c>
      <c r="H10" s="9" t="s">
        <v>59</v>
      </c>
      <c r="I10" s="10">
        <v>45052</v>
      </c>
    </row>
    <row r="11" spans="1:9" x14ac:dyDescent="0.15">
      <c r="A11" s="9">
        <v>10</v>
      </c>
      <c r="B11" s="9" t="s">
        <v>9</v>
      </c>
      <c r="C11" s="9">
        <v>1925</v>
      </c>
      <c r="D11" s="10">
        <v>45715</v>
      </c>
      <c r="E11" s="11" t="str">
        <f>+HYPERLINK("http://trademark.i-assist.jp/data/china/image_1925th/71367194.pdf","71367194")</f>
        <v>71367194</v>
      </c>
      <c r="F11" s="13" t="s">
        <v>60</v>
      </c>
      <c r="G11" s="9" t="s">
        <v>61</v>
      </c>
      <c r="H11" s="9" t="s">
        <v>62</v>
      </c>
      <c r="I11" s="10">
        <v>45052</v>
      </c>
    </row>
    <row r="12" spans="1:9" x14ac:dyDescent="0.15">
      <c r="A12" s="9">
        <v>11</v>
      </c>
      <c r="B12" s="9" t="s">
        <v>9</v>
      </c>
      <c r="C12" s="9">
        <v>1925</v>
      </c>
      <c r="D12" s="10">
        <v>45715</v>
      </c>
      <c r="E12" s="11" t="str">
        <f>+HYPERLINK("http://trademark.i-assist.jp/data/china/image_1925th/72020663.pdf","72020663")</f>
        <v>72020663</v>
      </c>
      <c r="F12" s="9" t="s">
        <v>63</v>
      </c>
      <c r="G12" s="12" t="s">
        <v>64</v>
      </c>
      <c r="H12" s="9" t="s">
        <v>65</v>
      </c>
      <c r="I12" s="10">
        <v>45082</v>
      </c>
    </row>
    <row r="13" spans="1:9" x14ac:dyDescent="0.15">
      <c r="A13" s="9">
        <v>12</v>
      </c>
      <c r="B13" s="9" t="s">
        <v>9</v>
      </c>
      <c r="C13" s="9">
        <v>1925</v>
      </c>
      <c r="D13" s="10">
        <v>45715</v>
      </c>
      <c r="E13" s="11" t="str">
        <f>+HYPERLINK("http://trademark.i-assist.jp/data/china/image_1925th/72288788.pdf","72288788")</f>
        <v>72288788</v>
      </c>
      <c r="F13" s="9" t="s">
        <v>66</v>
      </c>
      <c r="G13" s="9" t="s">
        <v>67</v>
      </c>
      <c r="H13" s="12" t="s">
        <v>68</v>
      </c>
      <c r="I13" s="10">
        <v>45093</v>
      </c>
    </row>
    <row r="14" spans="1:9" x14ac:dyDescent="0.15">
      <c r="A14" s="9">
        <v>13</v>
      </c>
      <c r="B14" s="9" t="s">
        <v>9</v>
      </c>
      <c r="C14" s="9">
        <v>1925</v>
      </c>
      <c r="D14" s="10">
        <v>45715</v>
      </c>
      <c r="E14" s="11" t="str">
        <f>+HYPERLINK("http://trademark.i-assist.jp/data/china/image_1925th/72369669.pdf","72369669")</f>
        <v>72369669</v>
      </c>
      <c r="F14" s="9" t="s">
        <v>69</v>
      </c>
      <c r="G14" s="9" t="s">
        <v>70</v>
      </c>
      <c r="H14" s="9" t="s">
        <v>71</v>
      </c>
      <c r="I14" s="10">
        <v>45098</v>
      </c>
    </row>
    <row r="15" spans="1:9" x14ac:dyDescent="0.15">
      <c r="A15" s="9">
        <v>14</v>
      </c>
      <c r="B15" s="9" t="s">
        <v>9</v>
      </c>
      <c r="C15" s="9">
        <v>1925</v>
      </c>
      <c r="D15" s="10">
        <v>45715</v>
      </c>
      <c r="E15" s="11" t="str">
        <f>+HYPERLINK("http://trademark.i-assist.jp/data/china/image_1925th/72619799.pdf","72619799")</f>
        <v>72619799</v>
      </c>
      <c r="F15" s="9" t="s">
        <v>72</v>
      </c>
      <c r="G15" s="9" t="s">
        <v>73</v>
      </c>
      <c r="H15" s="9" t="s">
        <v>74</v>
      </c>
      <c r="I15" s="10">
        <v>45111</v>
      </c>
    </row>
    <row r="16" spans="1:9" x14ac:dyDescent="0.15">
      <c r="A16" s="9">
        <v>15</v>
      </c>
      <c r="B16" s="9" t="s">
        <v>9</v>
      </c>
      <c r="C16" s="9">
        <v>1925</v>
      </c>
      <c r="D16" s="10">
        <v>45715</v>
      </c>
      <c r="E16" s="11" t="str">
        <f>+HYPERLINK("http://trademark.i-assist.jp/data/china/image_1925th/73160183.pdf","73160183")</f>
        <v>73160183</v>
      </c>
      <c r="F16" s="9" t="s">
        <v>75</v>
      </c>
      <c r="G16" s="9" t="s">
        <v>76</v>
      </c>
      <c r="H16" s="9" t="s">
        <v>77</v>
      </c>
      <c r="I16" s="10">
        <v>45136</v>
      </c>
    </row>
    <row r="17" spans="1:9" x14ac:dyDescent="0.15">
      <c r="A17" s="9">
        <v>16</v>
      </c>
      <c r="B17" s="9" t="s">
        <v>9</v>
      </c>
      <c r="C17" s="9">
        <v>1925</v>
      </c>
      <c r="D17" s="10">
        <v>45715</v>
      </c>
      <c r="E17" s="11" t="str">
        <f>+HYPERLINK("http://trademark.i-assist.jp/data/china/image_1925th/74041388.pdf","74041388")</f>
        <v>74041388</v>
      </c>
      <c r="F17" s="12" t="s">
        <v>78</v>
      </c>
      <c r="G17" s="9" t="s">
        <v>79</v>
      </c>
      <c r="H17" s="9" t="s">
        <v>80</v>
      </c>
      <c r="I17" s="10">
        <v>45181</v>
      </c>
    </row>
    <row r="18" spans="1:9" x14ac:dyDescent="0.15">
      <c r="A18" s="9">
        <v>17</v>
      </c>
      <c r="B18" s="9" t="s">
        <v>9</v>
      </c>
      <c r="C18" s="9">
        <v>1925</v>
      </c>
      <c r="D18" s="10">
        <v>45715</v>
      </c>
      <c r="E18" s="11" t="str">
        <f>+HYPERLINK("http://trademark.i-assist.jp/data/china/image_1925th/74138754.pdf","74138754")</f>
        <v>74138754</v>
      </c>
      <c r="F18" s="9" t="s">
        <v>81</v>
      </c>
      <c r="G18" s="9" t="s">
        <v>82</v>
      </c>
      <c r="H18" s="9" t="s">
        <v>83</v>
      </c>
      <c r="I18" s="10">
        <v>45187</v>
      </c>
    </row>
    <row r="19" spans="1:9" x14ac:dyDescent="0.15">
      <c r="A19" s="9">
        <v>18</v>
      </c>
      <c r="B19" s="9" t="s">
        <v>9</v>
      </c>
      <c r="C19" s="9">
        <v>1925</v>
      </c>
      <c r="D19" s="10">
        <v>45715</v>
      </c>
      <c r="E19" s="11" t="str">
        <f>+HYPERLINK("http://trademark.i-assist.jp/data/china/image_1925th/74154699.pdf","74154699")</f>
        <v>74154699</v>
      </c>
      <c r="F19" s="9" t="s">
        <v>84</v>
      </c>
      <c r="G19" s="9" t="s">
        <v>85</v>
      </c>
      <c r="H19" s="9" t="s">
        <v>86</v>
      </c>
      <c r="I19" s="10">
        <v>45187</v>
      </c>
    </row>
    <row r="20" spans="1:9" x14ac:dyDescent="0.15">
      <c r="A20" s="9">
        <v>19</v>
      </c>
      <c r="B20" s="9" t="s">
        <v>9</v>
      </c>
      <c r="C20" s="9">
        <v>1925</v>
      </c>
      <c r="D20" s="10">
        <v>45715</v>
      </c>
      <c r="E20" s="11" t="str">
        <f>+HYPERLINK("http://trademark.i-assist.jp/data/china/image_1925th/74385901.pdf","74385901")</f>
        <v>74385901</v>
      </c>
      <c r="F20" s="9" t="s">
        <v>87</v>
      </c>
      <c r="G20" s="9" t="s">
        <v>88</v>
      </c>
      <c r="H20" s="12" t="s">
        <v>89</v>
      </c>
      <c r="I20" s="10">
        <v>45206</v>
      </c>
    </row>
    <row r="21" spans="1:9" x14ac:dyDescent="0.15">
      <c r="A21" s="9">
        <v>20</v>
      </c>
      <c r="B21" s="9" t="s">
        <v>9</v>
      </c>
      <c r="C21" s="9">
        <v>1925</v>
      </c>
      <c r="D21" s="10">
        <v>45715</v>
      </c>
      <c r="E21" s="11" t="str">
        <f>+HYPERLINK("http://trademark.i-assist.jp/data/china/image_1925th/74892219.pdf","74892219")</f>
        <v>74892219</v>
      </c>
      <c r="F21" s="9" t="s">
        <v>90</v>
      </c>
      <c r="G21" s="12" t="s">
        <v>91</v>
      </c>
      <c r="H21" s="9" t="s">
        <v>92</v>
      </c>
      <c r="I21" s="10">
        <v>45230</v>
      </c>
    </row>
    <row r="22" spans="1:9" x14ac:dyDescent="0.15">
      <c r="A22" s="9">
        <v>21</v>
      </c>
      <c r="B22" s="9" t="s">
        <v>9</v>
      </c>
      <c r="C22" s="9">
        <v>1925</v>
      </c>
      <c r="D22" s="10">
        <v>45715</v>
      </c>
      <c r="E22" s="11" t="str">
        <f>+HYPERLINK("http://trademark.i-assist.jp/data/china/image_1925th/74900829.pdf","74900829")</f>
        <v>74900829</v>
      </c>
      <c r="F22" s="9" t="s">
        <v>93</v>
      </c>
      <c r="G22" s="12" t="s">
        <v>94</v>
      </c>
      <c r="H22" s="9" t="s">
        <v>95</v>
      </c>
      <c r="I22" s="10">
        <v>45230</v>
      </c>
    </row>
    <row r="23" spans="1:9" x14ac:dyDescent="0.15">
      <c r="A23" s="9">
        <v>22</v>
      </c>
      <c r="B23" s="9" t="s">
        <v>9</v>
      </c>
      <c r="C23" s="9">
        <v>1925</v>
      </c>
      <c r="D23" s="10">
        <v>45715</v>
      </c>
      <c r="E23" s="11" t="str">
        <f>+HYPERLINK("http://trademark.i-assist.jp/data/china/image_1925th/74933611.pdf","74933611")</f>
        <v>74933611</v>
      </c>
      <c r="F23" s="9" t="s">
        <v>96</v>
      </c>
      <c r="G23" s="9" t="s">
        <v>97</v>
      </c>
      <c r="H23" s="9" t="s">
        <v>98</v>
      </c>
      <c r="I23" s="10">
        <v>45232</v>
      </c>
    </row>
    <row r="24" spans="1:9" x14ac:dyDescent="0.15">
      <c r="A24" s="9">
        <v>23</v>
      </c>
      <c r="B24" s="9" t="s">
        <v>9</v>
      </c>
      <c r="C24" s="9">
        <v>1925</v>
      </c>
      <c r="D24" s="10">
        <v>45715</v>
      </c>
      <c r="E24" s="11" t="str">
        <f>+HYPERLINK("http://trademark.i-assist.jp/data/china/image_1925th/75007823.pdf","75007823")</f>
        <v>75007823</v>
      </c>
      <c r="F24" s="9" t="s">
        <v>99</v>
      </c>
      <c r="G24" s="9" t="s">
        <v>100</v>
      </c>
      <c r="H24" s="9" t="s">
        <v>101</v>
      </c>
      <c r="I24" s="10">
        <v>45236</v>
      </c>
    </row>
    <row r="25" spans="1:9" x14ac:dyDescent="0.15">
      <c r="A25" s="9">
        <v>24</v>
      </c>
      <c r="B25" s="9" t="s">
        <v>9</v>
      </c>
      <c r="C25" s="9">
        <v>1925</v>
      </c>
      <c r="D25" s="10">
        <v>45715</v>
      </c>
      <c r="E25" s="11" t="str">
        <f>+HYPERLINK("http://trademark.i-assist.jp/data/china/image_1925th/75073286.pdf","75073286")</f>
        <v>75073286</v>
      </c>
      <c r="F25" s="9" t="s">
        <v>102</v>
      </c>
      <c r="G25" s="9" t="s">
        <v>103</v>
      </c>
      <c r="H25" s="9" t="s">
        <v>104</v>
      </c>
      <c r="I25" s="10">
        <v>45239</v>
      </c>
    </row>
    <row r="26" spans="1:9" x14ac:dyDescent="0.15">
      <c r="A26" s="9">
        <v>25</v>
      </c>
      <c r="B26" s="9" t="s">
        <v>9</v>
      </c>
      <c r="C26" s="9">
        <v>1925</v>
      </c>
      <c r="D26" s="10">
        <v>45715</v>
      </c>
      <c r="E26" s="11" t="str">
        <f>+HYPERLINK("http://trademark.i-assist.jp/data/china/image_1925th/75073288.pdf","75073288")</f>
        <v>75073288</v>
      </c>
      <c r="F26" s="12" t="s">
        <v>105</v>
      </c>
      <c r="G26" s="9" t="s">
        <v>103</v>
      </c>
      <c r="H26" s="9" t="s">
        <v>106</v>
      </c>
      <c r="I26" s="10">
        <v>45239</v>
      </c>
    </row>
    <row r="27" spans="1:9" x14ac:dyDescent="0.15">
      <c r="A27" s="9">
        <v>26</v>
      </c>
      <c r="B27" s="9" t="s">
        <v>9</v>
      </c>
      <c r="C27" s="9">
        <v>1925</v>
      </c>
      <c r="D27" s="10">
        <v>45715</v>
      </c>
      <c r="E27" s="11" t="str">
        <f>+HYPERLINK("http://trademark.i-assist.jp/data/china/image_1925th/75080820.pdf","75080820")</f>
        <v>75080820</v>
      </c>
      <c r="F27" s="9" t="s">
        <v>107</v>
      </c>
      <c r="G27" s="12" t="s">
        <v>108</v>
      </c>
      <c r="H27" s="9" t="s">
        <v>109</v>
      </c>
      <c r="I27" s="10">
        <v>45239</v>
      </c>
    </row>
    <row r="28" spans="1:9" x14ac:dyDescent="0.15">
      <c r="A28" s="9">
        <v>27</v>
      </c>
      <c r="B28" s="9" t="s">
        <v>9</v>
      </c>
      <c r="C28" s="9">
        <v>1925</v>
      </c>
      <c r="D28" s="10">
        <v>45715</v>
      </c>
      <c r="E28" s="11" t="str">
        <f>+HYPERLINK("http://trademark.i-assist.jp/data/china/image_1925th/75247364.pdf","75247364")</f>
        <v>75247364</v>
      </c>
      <c r="F28" s="9" t="s">
        <v>110</v>
      </c>
      <c r="G28" s="9" t="s">
        <v>111</v>
      </c>
      <c r="H28" s="9" t="s">
        <v>112</v>
      </c>
      <c r="I28" s="10">
        <v>45247</v>
      </c>
    </row>
    <row r="29" spans="1:9" x14ac:dyDescent="0.15">
      <c r="A29" s="9">
        <v>28</v>
      </c>
      <c r="B29" s="9" t="s">
        <v>9</v>
      </c>
      <c r="C29" s="9">
        <v>1925</v>
      </c>
      <c r="D29" s="10">
        <v>45715</v>
      </c>
      <c r="E29" s="11" t="str">
        <f>+HYPERLINK("http://trademark.i-assist.jp/data/china/image_1925th/75256767.pdf","75256767")</f>
        <v>75256767</v>
      </c>
      <c r="F29" s="9" t="s">
        <v>113</v>
      </c>
      <c r="G29" s="9" t="s">
        <v>111</v>
      </c>
      <c r="H29" s="9" t="s">
        <v>114</v>
      </c>
      <c r="I29" s="10">
        <v>45247</v>
      </c>
    </row>
    <row r="30" spans="1:9" x14ac:dyDescent="0.15">
      <c r="A30" s="9">
        <v>29</v>
      </c>
      <c r="B30" s="9" t="s">
        <v>9</v>
      </c>
      <c r="C30" s="9">
        <v>1925</v>
      </c>
      <c r="D30" s="10">
        <v>45715</v>
      </c>
      <c r="E30" s="11" t="str">
        <f>+HYPERLINK("http://trademark.i-assist.jp/data/china/image_1925th/75494047.pdf","75494047")</f>
        <v>75494047</v>
      </c>
      <c r="F30" s="12" t="s">
        <v>115</v>
      </c>
      <c r="G30" s="9" t="s">
        <v>116</v>
      </c>
      <c r="H30" s="9" t="s">
        <v>117</v>
      </c>
      <c r="I30" s="10">
        <v>45259</v>
      </c>
    </row>
    <row r="31" spans="1:9" x14ac:dyDescent="0.15">
      <c r="A31" s="9">
        <v>30</v>
      </c>
      <c r="B31" s="9" t="s">
        <v>9</v>
      </c>
      <c r="C31" s="9">
        <v>1925</v>
      </c>
      <c r="D31" s="10">
        <v>45715</v>
      </c>
      <c r="E31" s="11" t="str">
        <f>+HYPERLINK("http://trademark.i-assist.jp/data/china/image_1925th/75507177.pdf","75507177")</f>
        <v>75507177</v>
      </c>
      <c r="F31" s="9" t="s">
        <v>118</v>
      </c>
      <c r="G31" s="9" t="s">
        <v>119</v>
      </c>
      <c r="H31" s="12" t="s">
        <v>120</v>
      </c>
      <c r="I31" s="10">
        <v>45260</v>
      </c>
    </row>
    <row r="32" spans="1:9" x14ac:dyDescent="0.15">
      <c r="A32" s="9">
        <v>31</v>
      </c>
      <c r="B32" s="9" t="s">
        <v>9</v>
      </c>
      <c r="C32" s="9">
        <v>1925</v>
      </c>
      <c r="D32" s="10">
        <v>45715</v>
      </c>
      <c r="E32" s="11" t="str">
        <f>+HYPERLINK("http://trademark.i-assist.jp/data/china/image_1925th/75893204.pdf","75893204")</f>
        <v>75893204</v>
      </c>
      <c r="F32" s="12" t="s">
        <v>121</v>
      </c>
      <c r="G32" s="9" t="s">
        <v>122</v>
      </c>
      <c r="H32" s="9" t="s">
        <v>123</v>
      </c>
      <c r="I32" s="10">
        <v>45279</v>
      </c>
    </row>
    <row r="33" spans="1:9" x14ac:dyDescent="0.15">
      <c r="A33" s="9">
        <v>32</v>
      </c>
      <c r="B33" s="9" t="s">
        <v>9</v>
      </c>
      <c r="C33" s="9">
        <v>1925</v>
      </c>
      <c r="D33" s="10">
        <v>45715</v>
      </c>
      <c r="E33" s="11" t="str">
        <f>+HYPERLINK("http://trademark.i-assist.jp/data/china/image_1925th/75911027.pdf","75911027")</f>
        <v>75911027</v>
      </c>
      <c r="F33" s="9" t="s">
        <v>124</v>
      </c>
      <c r="G33" s="12" t="s">
        <v>125</v>
      </c>
      <c r="H33" s="12" t="s">
        <v>126</v>
      </c>
      <c r="I33" s="10">
        <v>45280</v>
      </c>
    </row>
    <row r="34" spans="1:9" x14ac:dyDescent="0.15">
      <c r="A34" s="9">
        <v>33</v>
      </c>
      <c r="B34" s="9" t="s">
        <v>9</v>
      </c>
      <c r="C34" s="9">
        <v>1925</v>
      </c>
      <c r="D34" s="10">
        <v>45715</v>
      </c>
      <c r="E34" s="11" t="str">
        <f>+HYPERLINK("http://trademark.i-assist.jp/data/china/image_1925th/76078415.pdf","76078415")</f>
        <v>76078415</v>
      </c>
      <c r="F34" s="9" t="s">
        <v>127</v>
      </c>
      <c r="G34" s="12" t="s">
        <v>128</v>
      </c>
      <c r="H34" s="9" t="s">
        <v>129</v>
      </c>
      <c r="I34" s="10">
        <v>45288</v>
      </c>
    </row>
    <row r="35" spans="1:9" x14ac:dyDescent="0.15">
      <c r="A35" s="9">
        <v>34</v>
      </c>
      <c r="B35" s="9" t="s">
        <v>9</v>
      </c>
      <c r="C35" s="9">
        <v>1925</v>
      </c>
      <c r="D35" s="10">
        <v>45715</v>
      </c>
      <c r="E35" s="11" t="str">
        <f>+HYPERLINK("http://trademark.i-assist.jp/data/china/image_1925th/76174757.pdf","76174757")</f>
        <v>76174757</v>
      </c>
      <c r="F35" s="12" t="s">
        <v>130</v>
      </c>
      <c r="G35" s="9" t="s">
        <v>131</v>
      </c>
      <c r="H35" s="9" t="s">
        <v>132</v>
      </c>
      <c r="I35" s="10">
        <v>45294</v>
      </c>
    </row>
    <row r="36" spans="1:9" x14ac:dyDescent="0.15">
      <c r="A36" s="9">
        <v>35</v>
      </c>
      <c r="B36" s="9" t="s">
        <v>9</v>
      </c>
      <c r="C36" s="9">
        <v>1925</v>
      </c>
      <c r="D36" s="10">
        <v>45715</v>
      </c>
      <c r="E36" s="11" t="str">
        <f>+HYPERLINK("http://trademark.i-assist.jp/data/china/image_1925th/76230438.pdf","76230438")</f>
        <v>76230438</v>
      </c>
      <c r="F36" s="12" t="s">
        <v>133</v>
      </c>
      <c r="G36" s="9" t="s">
        <v>134</v>
      </c>
      <c r="H36" s="9" t="s">
        <v>135</v>
      </c>
      <c r="I36" s="10">
        <v>45296</v>
      </c>
    </row>
    <row r="37" spans="1:9" x14ac:dyDescent="0.15">
      <c r="A37" s="9">
        <v>36</v>
      </c>
      <c r="B37" s="9" t="s">
        <v>9</v>
      </c>
      <c r="C37" s="9">
        <v>1925</v>
      </c>
      <c r="D37" s="10">
        <v>45715</v>
      </c>
      <c r="E37" s="11" t="str">
        <f>+HYPERLINK("http://trademark.i-assist.jp/data/china/image_1925th/76266423.pdf","76266423")</f>
        <v>76266423</v>
      </c>
      <c r="F37" s="9" t="s">
        <v>136</v>
      </c>
      <c r="G37" s="9" t="s">
        <v>137</v>
      </c>
      <c r="H37" s="9" t="s">
        <v>138</v>
      </c>
      <c r="I37" s="10">
        <v>45299</v>
      </c>
    </row>
    <row r="38" spans="1:9" x14ac:dyDescent="0.15">
      <c r="A38" s="9">
        <v>37</v>
      </c>
      <c r="B38" s="9" t="s">
        <v>9</v>
      </c>
      <c r="C38" s="9">
        <v>1925</v>
      </c>
      <c r="D38" s="10">
        <v>45715</v>
      </c>
      <c r="E38" s="11" t="str">
        <f>+HYPERLINK("http://trademark.i-assist.jp/data/china/image_1925th/76517655.pdf","76517655")</f>
        <v>76517655</v>
      </c>
      <c r="F38" s="9" t="s">
        <v>139</v>
      </c>
      <c r="G38" s="9" t="s">
        <v>140</v>
      </c>
      <c r="H38" s="9" t="s">
        <v>141</v>
      </c>
      <c r="I38" s="10">
        <v>45309</v>
      </c>
    </row>
    <row r="39" spans="1:9" x14ac:dyDescent="0.15">
      <c r="A39" s="9">
        <v>38</v>
      </c>
      <c r="B39" s="9" t="s">
        <v>9</v>
      </c>
      <c r="C39" s="9">
        <v>1925</v>
      </c>
      <c r="D39" s="10">
        <v>45715</v>
      </c>
      <c r="E39" s="11" t="str">
        <f>+HYPERLINK("http://trademark.i-assist.jp/data/china/image_1925th/76660911.pdf","76660911")</f>
        <v>76660911</v>
      </c>
      <c r="F39" s="12" t="s">
        <v>142</v>
      </c>
      <c r="G39" s="9" t="s">
        <v>143</v>
      </c>
      <c r="H39" s="9" t="s">
        <v>144</v>
      </c>
      <c r="I39" s="10">
        <v>45320</v>
      </c>
    </row>
    <row r="40" spans="1:9" x14ac:dyDescent="0.15">
      <c r="A40" s="9">
        <v>39</v>
      </c>
      <c r="B40" s="9" t="s">
        <v>9</v>
      </c>
      <c r="C40" s="9">
        <v>1925</v>
      </c>
      <c r="D40" s="10">
        <v>45715</v>
      </c>
      <c r="E40" s="11" t="str">
        <f>+HYPERLINK("http://trademark.i-assist.jp/data/china/image_1925th/76674591.pdf","76674591")</f>
        <v>76674591</v>
      </c>
      <c r="F40" s="9" t="s">
        <v>145</v>
      </c>
      <c r="G40" s="9" t="s">
        <v>146</v>
      </c>
      <c r="H40" s="12" t="s">
        <v>147</v>
      </c>
      <c r="I40" s="10">
        <v>45320</v>
      </c>
    </row>
    <row r="41" spans="1:9" x14ac:dyDescent="0.15">
      <c r="A41" s="9">
        <v>40</v>
      </c>
      <c r="B41" s="9" t="s">
        <v>9</v>
      </c>
      <c r="C41" s="9">
        <v>1925</v>
      </c>
      <c r="D41" s="10">
        <v>45715</v>
      </c>
      <c r="E41" s="11" t="str">
        <f>+HYPERLINK("http://trademark.i-assist.jp/data/china/image_1925th/76685975.pdf","76685975")</f>
        <v>76685975</v>
      </c>
      <c r="F41" s="9" t="s">
        <v>148</v>
      </c>
      <c r="G41" s="9" t="s">
        <v>149</v>
      </c>
      <c r="H41" s="9" t="s">
        <v>150</v>
      </c>
      <c r="I41" s="10">
        <v>45321</v>
      </c>
    </row>
    <row r="42" spans="1:9" x14ac:dyDescent="0.15">
      <c r="A42" s="9">
        <v>41</v>
      </c>
      <c r="B42" s="9" t="s">
        <v>9</v>
      </c>
      <c r="C42" s="9">
        <v>1925</v>
      </c>
      <c r="D42" s="10">
        <v>45715</v>
      </c>
      <c r="E42" s="11" t="str">
        <f>+HYPERLINK("http://trademark.i-assist.jp/data/china/image_1925th/76778222.pdf","76778222")</f>
        <v>76778222</v>
      </c>
      <c r="F42" s="9" t="s">
        <v>151</v>
      </c>
      <c r="G42" s="12" t="s">
        <v>152</v>
      </c>
      <c r="H42" s="12" t="s">
        <v>153</v>
      </c>
      <c r="I42" s="10">
        <v>45326</v>
      </c>
    </row>
    <row r="43" spans="1:9" x14ac:dyDescent="0.15">
      <c r="A43" s="9">
        <v>42</v>
      </c>
      <c r="B43" s="9" t="s">
        <v>9</v>
      </c>
      <c r="C43" s="9">
        <v>1925</v>
      </c>
      <c r="D43" s="10">
        <v>45715</v>
      </c>
      <c r="E43" s="11" t="str">
        <f>+HYPERLINK("http://trademark.i-assist.jp/data/china/image_1925th/76787594.pdf","76787594")</f>
        <v>76787594</v>
      </c>
      <c r="F43" s="9" t="s">
        <v>154</v>
      </c>
      <c r="G43" s="9" t="s">
        <v>155</v>
      </c>
      <c r="H43" s="9" t="s">
        <v>156</v>
      </c>
      <c r="I43" s="10">
        <v>45327</v>
      </c>
    </row>
    <row r="44" spans="1:9" x14ac:dyDescent="0.15">
      <c r="A44" s="9">
        <v>43</v>
      </c>
      <c r="B44" s="9" t="s">
        <v>9</v>
      </c>
      <c r="C44" s="9">
        <v>1925</v>
      </c>
      <c r="D44" s="10">
        <v>45715</v>
      </c>
      <c r="E44" s="11" t="str">
        <f>+HYPERLINK("http://trademark.i-assist.jp/data/china/image_1925th/77051526.pdf","77051526")</f>
        <v>77051526</v>
      </c>
      <c r="F44" s="9" t="s">
        <v>157</v>
      </c>
      <c r="G44" s="9" t="s">
        <v>158</v>
      </c>
      <c r="H44" s="9" t="s">
        <v>159</v>
      </c>
      <c r="I44" s="10">
        <v>45352</v>
      </c>
    </row>
    <row r="45" spans="1:9" x14ac:dyDescent="0.15">
      <c r="A45" s="9">
        <v>44</v>
      </c>
      <c r="B45" s="9" t="s">
        <v>9</v>
      </c>
      <c r="C45" s="9">
        <v>1925</v>
      </c>
      <c r="D45" s="10">
        <v>45715</v>
      </c>
      <c r="E45" s="11" t="str">
        <f>+HYPERLINK("http://trademark.i-assist.jp/data/china/image_1925th/77079267.pdf","77079267")</f>
        <v>77079267</v>
      </c>
      <c r="F45" s="9" t="s">
        <v>160</v>
      </c>
      <c r="G45" s="9" t="s">
        <v>161</v>
      </c>
      <c r="H45" s="9" t="s">
        <v>162</v>
      </c>
      <c r="I45" s="10">
        <v>45355</v>
      </c>
    </row>
    <row r="46" spans="1:9" x14ac:dyDescent="0.15">
      <c r="A46" s="9">
        <v>45</v>
      </c>
      <c r="B46" s="9" t="s">
        <v>9</v>
      </c>
      <c r="C46" s="9">
        <v>1925</v>
      </c>
      <c r="D46" s="10">
        <v>45715</v>
      </c>
      <c r="E46" s="11" t="str">
        <f>+HYPERLINK("http://trademark.i-assist.jp/data/china/image_1925th/77103832.pdf","77103832")</f>
        <v>77103832</v>
      </c>
      <c r="F46" s="9" t="s">
        <v>163</v>
      </c>
      <c r="G46" s="12" t="s">
        <v>164</v>
      </c>
      <c r="H46" s="9" t="s">
        <v>165</v>
      </c>
      <c r="I46" s="10">
        <v>45356</v>
      </c>
    </row>
    <row r="47" spans="1:9" x14ac:dyDescent="0.15">
      <c r="A47" s="9">
        <v>46</v>
      </c>
      <c r="B47" s="9" t="s">
        <v>9</v>
      </c>
      <c r="C47" s="9">
        <v>1925</v>
      </c>
      <c r="D47" s="10">
        <v>45715</v>
      </c>
      <c r="E47" s="11" t="str">
        <f>+HYPERLINK("http://trademark.i-assist.jp/data/china/image_1925th/77125159.pdf","77125159")</f>
        <v>77125159</v>
      </c>
      <c r="F47" s="9" t="s">
        <v>166</v>
      </c>
      <c r="G47" s="9" t="s">
        <v>167</v>
      </c>
      <c r="H47" s="9" t="s">
        <v>168</v>
      </c>
      <c r="I47" s="10">
        <v>45357</v>
      </c>
    </row>
    <row r="48" spans="1:9" x14ac:dyDescent="0.15">
      <c r="A48" s="9">
        <v>47</v>
      </c>
      <c r="B48" s="9" t="s">
        <v>9</v>
      </c>
      <c r="C48" s="9">
        <v>1925</v>
      </c>
      <c r="D48" s="10">
        <v>45715</v>
      </c>
      <c r="E48" s="11" t="str">
        <f>+HYPERLINK("http://trademark.i-assist.jp/data/china/image_1925th/77170136.pdf","77170136")</f>
        <v>77170136</v>
      </c>
      <c r="F48" s="9" t="s">
        <v>169</v>
      </c>
      <c r="G48" s="9" t="s">
        <v>170</v>
      </c>
      <c r="H48" s="9" t="s">
        <v>171</v>
      </c>
      <c r="I48" s="10">
        <v>45358</v>
      </c>
    </row>
    <row r="49" spans="1:9" x14ac:dyDescent="0.15">
      <c r="A49" s="9">
        <v>48</v>
      </c>
      <c r="B49" s="9" t="s">
        <v>9</v>
      </c>
      <c r="C49" s="9">
        <v>1925</v>
      </c>
      <c r="D49" s="10">
        <v>45715</v>
      </c>
      <c r="E49" s="11" t="str">
        <f>+HYPERLINK("http://trademark.i-assist.jp/data/china/image_1925th/77266352.pdf","77266352")</f>
        <v>77266352</v>
      </c>
      <c r="F49" s="12" t="s">
        <v>172</v>
      </c>
      <c r="G49" s="9" t="s">
        <v>173</v>
      </c>
      <c r="H49" s="9" t="s">
        <v>174</v>
      </c>
      <c r="I49" s="10">
        <v>45364</v>
      </c>
    </row>
    <row r="50" spans="1:9" x14ac:dyDescent="0.15">
      <c r="A50" s="9">
        <v>49</v>
      </c>
      <c r="B50" s="9" t="s">
        <v>9</v>
      </c>
      <c r="C50" s="9">
        <v>1925</v>
      </c>
      <c r="D50" s="10">
        <v>45715</v>
      </c>
      <c r="E50" s="11" t="str">
        <f>+HYPERLINK("http://trademark.i-assist.jp/data/china/image_1925th/77340361.pdf","77340361")</f>
        <v>77340361</v>
      </c>
      <c r="F50" s="12" t="s">
        <v>175</v>
      </c>
      <c r="G50" s="9" t="s">
        <v>176</v>
      </c>
      <c r="H50" s="9" t="s">
        <v>177</v>
      </c>
      <c r="I50" s="10">
        <v>45366</v>
      </c>
    </row>
    <row r="51" spans="1:9" x14ac:dyDescent="0.15">
      <c r="A51" s="9">
        <v>50</v>
      </c>
      <c r="B51" s="9" t="s">
        <v>9</v>
      </c>
      <c r="C51" s="9">
        <v>1925</v>
      </c>
      <c r="D51" s="10">
        <v>45715</v>
      </c>
      <c r="E51" s="11" t="str">
        <f>+HYPERLINK("http://trademark.i-assist.jp/data/china/image_1925th/77410765.pdf","77410765")</f>
        <v>77410765</v>
      </c>
      <c r="F51" s="9" t="s">
        <v>178</v>
      </c>
      <c r="G51" s="9" t="s">
        <v>179</v>
      </c>
      <c r="H51" s="9" t="s">
        <v>180</v>
      </c>
      <c r="I51" s="10">
        <v>45370</v>
      </c>
    </row>
    <row r="52" spans="1:9" x14ac:dyDescent="0.15">
      <c r="A52" s="9">
        <v>51</v>
      </c>
      <c r="B52" s="9" t="s">
        <v>9</v>
      </c>
      <c r="C52" s="9">
        <v>1925</v>
      </c>
      <c r="D52" s="10">
        <v>45715</v>
      </c>
      <c r="E52" s="11" t="str">
        <f>+HYPERLINK("http://trademark.i-assist.jp/data/china/image_1925th/77465639.pdf","77465639")</f>
        <v>77465639</v>
      </c>
      <c r="F52" s="9" t="s">
        <v>181</v>
      </c>
      <c r="G52" s="9" t="s">
        <v>182</v>
      </c>
      <c r="H52" s="9" t="s">
        <v>183</v>
      </c>
      <c r="I52" s="10">
        <v>45372</v>
      </c>
    </row>
    <row r="53" spans="1:9" x14ac:dyDescent="0.15">
      <c r="A53" s="9">
        <v>52</v>
      </c>
      <c r="B53" s="9" t="s">
        <v>9</v>
      </c>
      <c r="C53" s="9">
        <v>1925</v>
      </c>
      <c r="D53" s="10">
        <v>45715</v>
      </c>
      <c r="E53" s="11" t="str">
        <f>+HYPERLINK("http://trademark.i-assist.jp/data/china/image_1925th/77509973.pdf","77509973")</f>
        <v>77509973</v>
      </c>
      <c r="F53" s="9" t="s">
        <v>184</v>
      </c>
      <c r="G53" s="9" t="s">
        <v>185</v>
      </c>
      <c r="H53" s="9" t="s">
        <v>186</v>
      </c>
      <c r="I53" s="10">
        <v>45376</v>
      </c>
    </row>
    <row r="54" spans="1:9" x14ac:dyDescent="0.15">
      <c r="A54" s="9">
        <v>53</v>
      </c>
      <c r="B54" s="9" t="s">
        <v>9</v>
      </c>
      <c r="C54" s="9">
        <v>1925</v>
      </c>
      <c r="D54" s="10">
        <v>45715</v>
      </c>
      <c r="E54" s="11" t="str">
        <f>+HYPERLINK("http://trademark.i-assist.jp/data/china/image_1925th/77514108.pdf","77514108")</f>
        <v>77514108</v>
      </c>
      <c r="F54" s="9" t="s">
        <v>187</v>
      </c>
      <c r="G54" s="12" t="s">
        <v>188</v>
      </c>
      <c r="H54" s="9" t="s">
        <v>189</v>
      </c>
      <c r="I54" s="10">
        <v>45376</v>
      </c>
    </row>
    <row r="55" spans="1:9" x14ac:dyDescent="0.15">
      <c r="A55" s="9">
        <v>54</v>
      </c>
      <c r="B55" s="9" t="s">
        <v>9</v>
      </c>
      <c r="C55" s="9">
        <v>1925</v>
      </c>
      <c r="D55" s="10">
        <v>45715</v>
      </c>
      <c r="E55" s="11" t="str">
        <f>+HYPERLINK("http://trademark.i-assist.jp/data/china/image_1925th/77524290.pdf","77524290")</f>
        <v>77524290</v>
      </c>
      <c r="F55" s="9" t="s">
        <v>190</v>
      </c>
      <c r="G55" s="9" t="s">
        <v>191</v>
      </c>
      <c r="H55" s="9" t="s">
        <v>192</v>
      </c>
      <c r="I55" s="10">
        <v>45376</v>
      </c>
    </row>
    <row r="56" spans="1:9" x14ac:dyDescent="0.15">
      <c r="A56" s="9">
        <v>55</v>
      </c>
      <c r="B56" s="9" t="s">
        <v>9</v>
      </c>
      <c r="C56" s="9">
        <v>1925</v>
      </c>
      <c r="D56" s="10">
        <v>45715</v>
      </c>
      <c r="E56" s="11" t="str">
        <f>+HYPERLINK("http://trademark.i-assist.jp/data/china/image_1925th/77535939.pdf","77535939")</f>
        <v>77535939</v>
      </c>
      <c r="F56" s="9" t="s">
        <v>193</v>
      </c>
      <c r="G56" s="9" t="s">
        <v>194</v>
      </c>
      <c r="H56" s="9" t="s">
        <v>195</v>
      </c>
      <c r="I56" s="10">
        <v>45377</v>
      </c>
    </row>
    <row r="57" spans="1:9" x14ac:dyDescent="0.15">
      <c r="A57" s="9">
        <v>56</v>
      </c>
      <c r="B57" s="9" t="s">
        <v>9</v>
      </c>
      <c r="C57" s="9">
        <v>1925</v>
      </c>
      <c r="D57" s="10">
        <v>45715</v>
      </c>
      <c r="E57" s="11" t="str">
        <f>+HYPERLINK("http://trademark.i-assist.jp/data/china/image_1925th/77650477.pdf","77650477")</f>
        <v>77650477</v>
      </c>
      <c r="F57" s="9" t="s">
        <v>196</v>
      </c>
      <c r="G57" s="9" t="s">
        <v>197</v>
      </c>
      <c r="H57" s="9" t="s">
        <v>198</v>
      </c>
      <c r="I57" s="10">
        <v>45380</v>
      </c>
    </row>
    <row r="58" spans="1:9" x14ac:dyDescent="0.15">
      <c r="A58" s="9">
        <v>57</v>
      </c>
      <c r="B58" s="9" t="s">
        <v>9</v>
      </c>
      <c r="C58" s="9">
        <v>1925</v>
      </c>
      <c r="D58" s="10">
        <v>45715</v>
      </c>
      <c r="E58" s="11" t="str">
        <f>+HYPERLINK("http://trademark.i-assist.jp/data/china/image_1925th/77667942.pdf","77667942")</f>
        <v>77667942</v>
      </c>
      <c r="F58" s="9" t="s">
        <v>199</v>
      </c>
      <c r="G58" s="12" t="s">
        <v>200</v>
      </c>
      <c r="H58" s="9" t="s">
        <v>201</v>
      </c>
      <c r="I58" s="10">
        <v>45382</v>
      </c>
    </row>
    <row r="59" spans="1:9" x14ac:dyDescent="0.15">
      <c r="A59" s="9">
        <v>58</v>
      </c>
      <c r="B59" s="9" t="s">
        <v>9</v>
      </c>
      <c r="C59" s="9">
        <v>1925</v>
      </c>
      <c r="D59" s="10">
        <v>45715</v>
      </c>
      <c r="E59" s="11" t="str">
        <f>+HYPERLINK("http://trademark.i-assist.jp/data/china/image_1925th/77672793.pdf","77672793")</f>
        <v>77672793</v>
      </c>
      <c r="F59" s="9" t="s">
        <v>202</v>
      </c>
      <c r="G59" s="9" t="s">
        <v>203</v>
      </c>
      <c r="H59" s="9" t="s">
        <v>204</v>
      </c>
      <c r="I59" s="10">
        <v>45383</v>
      </c>
    </row>
    <row r="60" spans="1:9" x14ac:dyDescent="0.15">
      <c r="A60" s="9">
        <v>59</v>
      </c>
      <c r="B60" s="9" t="s">
        <v>9</v>
      </c>
      <c r="C60" s="9">
        <v>1925</v>
      </c>
      <c r="D60" s="10">
        <v>45715</v>
      </c>
      <c r="E60" s="11" t="str">
        <f>+HYPERLINK("http://trademark.i-assist.jp/data/china/image_1925th/77705433.pdf","77705433")</f>
        <v>77705433</v>
      </c>
      <c r="F60" s="9" t="s">
        <v>205</v>
      </c>
      <c r="G60" s="9" t="s">
        <v>206</v>
      </c>
      <c r="H60" s="9" t="s">
        <v>207</v>
      </c>
      <c r="I60" s="10">
        <v>45384</v>
      </c>
    </row>
    <row r="61" spans="1:9" x14ac:dyDescent="0.15">
      <c r="A61" s="9">
        <v>60</v>
      </c>
      <c r="B61" s="9" t="s">
        <v>9</v>
      </c>
      <c r="C61" s="9">
        <v>1925</v>
      </c>
      <c r="D61" s="10">
        <v>45715</v>
      </c>
      <c r="E61" s="11" t="str">
        <f>+HYPERLINK("http://trademark.i-assist.jp/data/china/image_1925th/77759414.pdf","77759414")</f>
        <v>77759414</v>
      </c>
      <c r="F61" s="9" t="s">
        <v>208</v>
      </c>
      <c r="G61" s="9" t="s">
        <v>209</v>
      </c>
      <c r="H61" s="9" t="s">
        <v>210</v>
      </c>
      <c r="I61" s="10">
        <v>45385</v>
      </c>
    </row>
    <row r="62" spans="1:9" x14ac:dyDescent="0.15">
      <c r="A62" s="9">
        <v>61</v>
      </c>
      <c r="B62" s="9" t="s">
        <v>9</v>
      </c>
      <c r="C62" s="9">
        <v>1925</v>
      </c>
      <c r="D62" s="10">
        <v>45715</v>
      </c>
      <c r="E62" s="11" t="str">
        <f>+HYPERLINK("http://trademark.i-assist.jp/data/china/image_1925th/77762574.pdf","77762574")</f>
        <v>77762574</v>
      </c>
      <c r="F62" s="9" t="s">
        <v>211</v>
      </c>
      <c r="G62" s="9" t="s">
        <v>209</v>
      </c>
      <c r="H62" s="9" t="s">
        <v>212</v>
      </c>
      <c r="I62" s="10">
        <v>45385</v>
      </c>
    </row>
    <row r="63" spans="1:9" x14ac:dyDescent="0.15">
      <c r="A63" s="9">
        <v>62</v>
      </c>
      <c r="B63" s="9" t="s">
        <v>9</v>
      </c>
      <c r="C63" s="9">
        <v>1925</v>
      </c>
      <c r="D63" s="10">
        <v>45715</v>
      </c>
      <c r="E63" s="11" t="str">
        <f>+HYPERLINK("http://trademark.i-assist.jp/data/china/image_1925th/77767099.pdf","77767099")</f>
        <v>77767099</v>
      </c>
      <c r="F63" s="12" t="s">
        <v>213</v>
      </c>
      <c r="G63" s="9" t="s">
        <v>214</v>
      </c>
      <c r="H63" s="9" t="s">
        <v>215</v>
      </c>
      <c r="I63" s="10">
        <v>45386</v>
      </c>
    </row>
    <row r="64" spans="1:9" x14ac:dyDescent="0.15">
      <c r="A64" s="9">
        <v>63</v>
      </c>
      <c r="B64" s="9" t="s">
        <v>9</v>
      </c>
      <c r="C64" s="9">
        <v>1925</v>
      </c>
      <c r="D64" s="10">
        <v>45715</v>
      </c>
      <c r="E64" s="11" t="str">
        <f>+HYPERLINK("http://trademark.i-assist.jp/data/china/image_1925th/77812913.pdf","77812913")</f>
        <v>77812913</v>
      </c>
      <c r="F64" s="9" t="s">
        <v>216</v>
      </c>
      <c r="G64" s="9" t="s">
        <v>217</v>
      </c>
      <c r="H64" s="9" t="s">
        <v>218</v>
      </c>
      <c r="I64" s="10">
        <v>45390</v>
      </c>
    </row>
    <row r="65" spans="1:9" x14ac:dyDescent="0.15">
      <c r="A65" s="9">
        <v>64</v>
      </c>
      <c r="B65" s="9" t="s">
        <v>9</v>
      </c>
      <c r="C65" s="9">
        <v>1925</v>
      </c>
      <c r="D65" s="10">
        <v>45715</v>
      </c>
      <c r="E65" s="11" t="str">
        <f>+HYPERLINK("http://trademark.i-assist.jp/data/china/image_1925th/78035006.pdf","78035006")</f>
        <v>78035006</v>
      </c>
      <c r="F65" s="9" t="s">
        <v>219</v>
      </c>
      <c r="G65" s="9" t="s">
        <v>220</v>
      </c>
      <c r="H65" s="9" t="s">
        <v>221</v>
      </c>
      <c r="I65" s="10">
        <v>45399</v>
      </c>
    </row>
    <row r="66" spans="1:9" x14ac:dyDescent="0.15">
      <c r="A66" s="9">
        <v>65</v>
      </c>
      <c r="B66" s="9" t="s">
        <v>9</v>
      </c>
      <c r="C66" s="9">
        <v>1925</v>
      </c>
      <c r="D66" s="10">
        <v>45715</v>
      </c>
      <c r="E66" s="11" t="str">
        <f>+HYPERLINK("http://trademark.i-assist.jp/data/china/image_1925th/78063687.pdf","78063687")</f>
        <v>78063687</v>
      </c>
      <c r="F66" s="9" t="s">
        <v>222</v>
      </c>
      <c r="G66" s="12" t="s">
        <v>223</v>
      </c>
      <c r="H66" s="9" t="s">
        <v>224</v>
      </c>
      <c r="I66" s="10">
        <v>45400</v>
      </c>
    </row>
    <row r="67" spans="1:9" x14ac:dyDescent="0.15">
      <c r="A67" s="9">
        <v>66</v>
      </c>
      <c r="B67" s="9" t="s">
        <v>9</v>
      </c>
      <c r="C67" s="9">
        <v>1925</v>
      </c>
      <c r="D67" s="10">
        <v>45715</v>
      </c>
      <c r="E67" s="11" t="str">
        <f>+HYPERLINK("http://trademark.i-assist.jp/data/china/image_1925th/78084577.pdf","78084577")</f>
        <v>78084577</v>
      </c>
      <c r="F67" s="9" t="s">
        <v>225</v>
      </c>
      <c r="G67" s="9" t="s">
        <v>226</v>
      </c>
      <c r="H67" s="9" t="s">
        <v>227</v>
      </c>
      <c r="I67" s="10">
        <v>45401</v>
      </c>
    </row>
    <row r="68" spans="1:9" x14ac:dyDescent="0.15">
      <c r="A68" s="9">
        <v>67</v>
      </c>
      <c r="B68" s="9" t="s">
        <v>9</v>
      </c>
      <c r="C68" s="9">
        <v>1925</v>
      </c>
      <c r="D68" s="10">
        <v>45715</v>
      </c>
      <c r="E68" s="11" t="str">
        <f>+HYPERLINK("http://trademark.i-assist.jp/data/china/image_1925th/78109212.pdf","78109212")</f>
        <v>78109212</v>
      </c>
      <c r="F68" s="12" t="s">
        <v>228</v>
      </c>
      <c r="G68" s="9" t="s">
        <v>229</v>
      </c>
      <c r="H68" s="12" t="s">
        <v>230</v>
      </c>
      <c r="I68" s="10">
        <v>45402</v>
      </c>
    </row>
    <row r="69" spans="1:9" x14ac:dyDescent="0.15">
      <c r="A69" s="9">
        <v>68</v>
      </c>
      <c r="B69" s="9" t="s">
        <v>9</v>
      </c>
      <c r="C69" s="9">
        <v>1925</v>
      </c>
      <c r="D69" s="10">
        <v>45715</v>
      </c>
      <c r="E69" s="11" t="str">
        <f>+HYPERLINK("http://trademark.i-assist.jp/data/china/image_1925th/78262866.pdf","78262866")</f>
        <v>78262866</v>
      </c>
      <c r="F69" s="9" t="s">
        <v>231</v>
      </c>
      <c r="G69" s="12" t="s">
        <v>232</v>
      </c>
      <c r="H69" s="9" t="s">
        <v>233</v>
      </c>
      <c r="I69" s="10">
        <v>45408</v>
      </c>
    </row>
    <row r="70" spans="1:9" x14ac:dyDescent="0.15">
      <c r="A70" s="9">
        <v>69</v>
      </c>
      <c r="B70" s="9" t="s">
        <v>9</v>
      </c>
      <c r="C70" s="9">
        <v>1925</v>
      </c>
      <c r="D70" s="10">
        <v>45715</v>
      </c>
      <c r="E70" s="11" t="str">
        <f>+HYPERLINK("http://trademark.i-assist.jp/data/china/image_1925th/78323622.pdf","78323622")</f>
        <v>78323622</v>
      </c>
      <c r="F70" s="9" t="s">
        <v>234</v>
      </c>
      <c r="G70" s="9" t="s">
        <v>235</v>
      </c>
      <c r="H70" s="9" t="s">
        <v>236</v>
      </c>
      <c r="I70" s="10">
        <v>45411</v>
      </c>
    </row>
    <row r="71" spans="1:9" x14ac:dyDescent="0.15">
      <c r="A71" s="9">
        <v>70</v>
      </c>
      <c r="B71" s="9" t="s">
        <v>9</v>
      </c>
      <c r="C71" s="9">
        <v>1925</v>
      </c>
      <c r="D71" s="10">
        <v>45715</v>
      </c>
      <c r="E71" s="11" t="str">
        <f>+HYPERLINK("http://trademark.i-assist.jp/data/china/image_1925th/78528151.pdf","78528151")</f>
        <v>78528151</v>
      </c>
      <c r="F71" s="9" t="s">
        <v>237</v>
      </c>
      <c r="G71" s="9" t="s">
        <v>238</v>
      </c>
      <c r="H71" s="9" t="s">
        <v>239</v>
      </c>
      <c r="I71" s="10">
        <v>45423</v>
      </c>
    </row>
    <row r="72" spans="1:9" x14ac:dyDescent="0.15">
      <c r="A72" s="9">
        <v>71</v>
      </c>
      <c r="B72" s="9" t="s">
        <v>9</v>
      </c>
      <c r="C72" s="9">
        <v>1925</v>
      </c>
      <c r="D72" s="10">
        <v>45715</v>
      </c>
      <c r="E72" s="11" t="str">
        <f>+HYPERLINK("http://trademark.i-assist.jp/data/china/image_1925th/78601842.pdf","78601842")</f>
        <v>78601842</v>
      </c>
      <c r="F72" s="9" t="s">
        <v>240</v>
      </c>
      <c r="G72" s="9" t="s">
        <v>241</v>
      </c>
      <c r="H72" s="9" t="s">
        <v>242</v>
      </c>
      <c r="I72" s="10">
        <v>45427</v>
      </c>
    </row>
    <row r="73" spans="1:9" x14ac:dyDescent="0.15">
      <c r="A73" s="9">
        <v>72</v>
      </c>
      <c r="B73" s="9" t="s">
        <v>9</v>
      </c>
      <c r="C73" s="9">
        <v>1925</v>
      </c>
      <c r="D73" s="10">
        <v>45715</v>
      </c>
      <c r="E73" s="11" t="str">
        <f>+HYPERLINK("http://trademark.i-assist.jp/data/china/image_1925th/78646471.pdf","78646471")</f>
        <v>78646471</v>
      </c>
      <c r="F73" s="9" t="s">
        <v>243</v>
      </c>
      <c r="G73" s="12" t="s">
        <v>244</v>
      </c>
      <c r="H73" s="9" t="s">
        <v>245</v>
      </c>
      <c r="I73" s="10">
        <v>45428</v>
      </c>
    </row>
    <row r="74" spans="1:9" x14ac:dyDescent="0.15">
      <c r="A74" s="9">
        <v>73</v>
      </c>
      <c r="B74" s="9" t="s">
        <v>9</v>
      </c>
      <c r="C74" s="9">
        <v>1925</v>
      </c>
      <c r="D74" s="10">
        <v>45715</v>
      </c>
      <c r="E74" s="11" t="str">
        <f>+HYPERLINK("http://trademark.i-assist.jp/data/china/image_1925th/79259226.pdf","79259226")</f>
        <v>79259226</v>
      </c>
      <c r="F74" s="12" t="s">
        <v>57</v>
      </c>
      <c r="G74" s="9" t="s">
        <v>246</v>
      </c>
      <c r="H74" s="9" t="s">
        <v>247</v>
      </c>
      <c r="I74" s="10">
        <v>45460</v>
      </c>
    </row>
    <row r="75" spans="1:9" x14ac:dyDescent="0.15">
      <c r="A75" s="9">
        <v>74</v>
      </c>
      <c r="B75" s="9" t="s">
        <v>9</v>
      </c>
      <c r="C75" s="9">
        <v>1925</v>
      </c>
      <c r="D75" s="10">
        <v>45715</v>
      </c>
      <c r="E75" s="11" t="str">
        <f>+HYPERLINK("http://trademark.i-assist.jp/data/china/image_1925th/79650840.pdf","79650840")</f>
        <v>79650840</v>
      </c>
      <c r="F75" s="12" t="s">
        <v>248</v>
      </c>
      <c r="G75" s="9" t="s">
        <v>249</v>
      </c>
      <c r="H75" s="9" t="s">
        <v>250</v>
      </c>
      <c r="I75" s="10">
        <v>45479</v>
      </c>
    </row>
    <row r="76" spans="1:9" x14ac:dyDescent="0.15">
      <c r="A76" s="9">
        <v>75</v>
      </c>
      <c r="B76" s="9" t="s">
        <v>9</v>
      </c>
      <c r="C76" s="9">
        <v>1925</v>
      </c>
      <c r="D76" s="10">
        <v>45715</v>
      </c>
      <c r="E76" s="11" t="str">
        <f>+HYPERLINK("http://trademark.i-assist.jp/data/china/image_1925th/79801657.pdf","79801657")</f>
        <v>79801657</v>
      </c>
      <c r="F76" s="9" t="s">
        <v>251</v>
      </c>
      <c r="G76" s="9" t="s">
        <v>15</v>
      </c>
      <c r="H76" s="9" t="s">
        <v>252</v>
      </c>
      <c r="I76" s="10">
        <v>45488</v>
      </c>
    </row>
    <row r="77" spans="1:9" x14ac:dyDescent="0.15">
      <c r="A77" s="9">
        <v>76</v>
      </c>
      <c r="B77" s="9" t="s">
        <v>9</v>
      </c>
      <c r="C77" s="9">
        <v>1925</v>
      </c>
      <c r="D77" s="10">
        <v>45715</v>
      </c>
      <c r="E77" s="11" t="str">
        <f>+HYPERLINK("http://trademark.i-assist.jp/data/china/image_1925th/79987814.pdf","79987814")</f>
        <v>79987814</v>
      </c>
      <c r="F77" s="9" t="s">
        <v>253</v>
      </c>
      <c r="G77" s="9" t="s">
        <v>254</v>
      </c>
      <c r="H77" s="12" t="s">
        <v>255</v>
      </c>
      <c r="I77" s="10">
        <v>45498</v>
      </c>
    </row>
    <row r="78" spans="1:9" x14ac:dyDescent="0.15">
      <c r="A78" s="9">
        <v>77</v>
      </c>
      <c r="B78" s="9" t="s">
        <v>9</v>
      </c>
      <c r="C78" s="9">
        <v>1925</v>
      </c>
      <c r="D78" s="10">
        <v>45715</v>
      </c>
      <c r="E78" s="11" t="str">
        <f>+HYPERLINK("http://trademark.i-assist.jp/data/china/image_1925th/80329524.pdf","80329524")</f>
        <v>80329524</v>
      </c>
      <c r="F78" s="9" t="s">
        <v>256</v>
      </c>
      <c r="G78" s="9" t="s">
        <v>257</v>
      </c>
      <c r="H78" s="9" t="s">
        <v>258</v>
      </c>
      <c r="I78" s="10">
        <v>45517</v>
      </c>
    </row>
    <row r="79" spans="1:9" x14ac:dyDescent="0.15">
      <c r="A79" s="9">
        <v>78</v>
      </c>
      <c r="B79" s="9" t="s">
        <v>9</v>
      </c>
      <c r="C79" s="9">
        <v>1925</v>
      </c>
      <c r="D79" s="10">
        <v>45715</v>
      </c>
      <c r="E79" s="11" t="str">
        <f>+HYPERLINK("http://trademark.i-assist.jp/data/china/image_1925th/80345301.pdf","80345301")</f>
        <v>80345301</v>
      </c>
      <c r="F79" s="9" t="s">
        <v>259</v>
      </c>
      <c r="G79" s="9" t="s">
        <v>260</v>
      </c>
      <c r="H79" s="9" t="s">
        <v>261</v>
      </c>
      <c r="I79" s="10">
        <v>45517</v>
      </c>
    </row>
    <row r="80" spans="1:9" x14ac:dyDescent="0.15">
      <c r="A80" s="9">
        <v>79</v>
      </c>
      <c r="B80" s="9" t="s">
        <v>9</v>
      </c>
      <c r="C80" s="9">
        <v>1925</v>
      </c>
      <c r="D80" s="10">
        <v>45715</v>
      </c>
      <c r="E80" s="11" t="str">
        <f>+HYPERLINK("http://trademark.i-assist.jp/data/china/image_1925th/80447527.pdf","80447527")</f>
        <v>80447527</v>
      </c>
      <c r="F80" s="9" t="s">
        <v>262</v>
      </c>
      <c r="G80" s="9" t="s">
        <v>263</v>
      </c>
      <c r="H80" s="9" t="s">
        <v>264</v>
      </c>
      <c r="I80" s="10">
        <v>45523</v>
      </c>
    </row>
    <row r="81" spans="1:9" x14ac:dyDescent="0.15">
      <c r="A81" s="9">
        <v>80</v>
      </c>
      <c r="B81" s="9" t="s">
        <v>9</v>
      </c>
      <c r="C81" s="9">
        <v>1925</v>
      </c>
      <c r="D81" s="10">
        <v>45715</v>
      </c>
      <c r="E81" s="11" t="str">
        <f>+HYPERLINK("http://trademark.i-assist.jp/data/china/image_1925th/80460042.pdf","80460042")</f>
        <v>80460042</v>
      </c>
      <c r="F81" s="9" t="s">
        <v>265</v>
      </c>
      <c r="G81" s="12" t="s">
        <v>266</v>
      </c>
      <c r="H81" s="9" t="s">
        <v>267</v>
      </c>
      <c r="I81" s="10">
        <v>45524</v>
      </c>
    </row>
    <row r="82" spans="1:9" x14ac:dyDescent="0.15">
      <c r="A82" s="9">
        <v>81</v>
      </c>
      <c r="B82" s="9" t="s">
        <v>9</v>
      </c>
      <c r="C82" s="9">
        <v>1925</v>
      </c>
      <c r="D82" s="10">
        <v>45715</v>
      </c>
      <c r="E82" s="11" t="str">
        <f>+HYPERLINK("http://trademark.i-assist.jp/data/china/image_1925th/80462258.pdf","80462258")</f>
        <v>80462258</v>
      </c>
      <c r="F82" s="9" t="s">
        <v>268</v>
      </c>
      <c r="G82" s="12" t="s">
        <v>266</v>
      </c>
      <c r="H82" s="12" t="s">
        <v>269</v>
      </c>
      <c r="I82" s="10">
        <v>45524</v>
      </c>
    </row>
    <row r="83" spans="1:9" x14ac:dyDescent="0.15">
      <c r="A83" s="9">
        <v>82</v>
      </c>
      <c r="B83" s="9" t="s">
        <v>9</v>
      </c>
      <c r="C83" s="9">
        <v>1925</v>
      </c>
      <c r="D83" s="10">
        <v>45715</v>
      </c>
      <c r="E83" s="11" t="str">
        <f>+HYPERLINK("http://trademark.i-assist.jp/data/china/image_1925th/80511334.pdf","80511334")</f>
        <v>80511334</v>
      </c>
      <c r="F83" s="9" t="s">
        <v>270</v>
      </c>
      <c r="G83" s="9" t="s">
        <v>271</v>
      </c>
      <c r="H83" s="9" t="s">
        <v>272</v>
      </c>
      <c r="I83" s="10">
        <v>45526</v>
      </c>
    </row>
    <row r="84" spans="1:9" x14ac:dyDescent="0.15">
      <c r="A84" s="9">
        <v>83</v>
      </c>
      <c r="B84" s="9" t="s">
        <v>9</v>
      </c>
      <c r="C84" s="9">
        <v>1925</v>
      </c>
      <c r="D84" s="10">
        <v>45715</v>
      </c>
      <c r="E84" s="11" t="str">
        <f>+HYPERLINK("http://trademark.i-assist.jp/data/china/image_1925th/80638008.pdf","80638008")</f>
        <v>80638008</v>
      </c>
      <c r="F84" s="9" t="s">
        <v>273</v>
      </c>
      <c r="G84" s="9" t="s">
        <v>274</v>
      </c>
      <c r="H84" s="9" t="s">
        <v>275</v>
      </c>
      <c r="I84" s="10">
        <v>45533</v>
      </c>
    </row>
    <row r="85" spans="1:9" x14ac:dyDescent="0.15">
      <c r="A85" s="9">
        <v>84</v>
      </c>
      <c r="B85" s="9" t="s">
        <v>9</v>
      </c>
      <c r="C85" s="9">
        <v>1925</v>
      </c>
      <c r="D85" s="10">
        <v>45715</v>
      </c>
      <c r="E85" s="11" t="str">
        <f>+HYPERLINK("http://trademark.i-assist.jp/data/china/image_1925th/80706552.pdf","80706552")</f>
        <v>80706552</v>
      </c>
      <c r="F85" s="12" t="s">
        <v>276</v>
      </c>
      <c r="G85" s="12" t="s">
        <v>277</v>
      </c>
      <c r="H85" s="9" t="s">
        <v>278</v>
      </c>
      <c r="I85" s="10">
        <v>45538</v>
      </c>
    </row>
    <row r="86" spans="1:9" x14ac:dyDescent="0.15">
      <c r="A86" s="9">
        <v>85</v>
      </c>
      <c r="B86" s="9" t="s">
        <v>9</v>
      </c>
      <c r="C86" s="9">
        <v>1925</v>
      </c>
      <c r="D86" s="10">
        <v>45715</v>
      </c>
      <c r="E86" s="11" t="str">
        <f>+HYPERLINK("http://trademark.i-assist.jp/data/china/image_1925th/80713609.pdf","80713609")</f>
        <v>80713609</v>
      </c>
      <c r="F86" s="12" t="s">
        <v>279</v>
      </c>
      <c r="G86" s="12" t="s">
        <v>280</v>
      </c>
      <c r="H86" s="9" t="s">
        <v>281</v>
      </c>
      <c r="I86" s="10">
        <v>45538</v>
      </c>
    </row>
    <row r="87" spans="1:9" x14ac:dyDescent="0.15">
      <c r="A87" s="9">
        <v>86</v>
      </c>
      <c r="B87" s="9" t="s">
        <v>9</v>
      </c>
      <c r="C87" s="9">
        <v>1925</v>
      </c>
      <c r="D87" s="10">
        <v>45715</v>
      </c>
      <c r="E87" s="11" t="str">
        <f>+HYPERLINK("http://trademark.i-assist.jp/data/china/image_1925th/80720645.pdf","80720645")</f>
        <v>80720645</v>
      </c>
      <c r="F87" s="9" t="s">
        <v>282</v>
      </c>
      <c r="G87" s="9" t="s">
        <v>283</v>
      </c>
      <c r="H87" s="9" t="s">
        <v>284</v>
      </c>
      <c r="I87" s="10">
        <v>45538</v>
      </c>
    </row>
    <row r="88" spans="1:9" x14ac:dyDescent="0.15">
      <c r="A88" s="9">
        <v>87</v>
      </c>
      <c r="B88" s="9" t="s">
        <v>9</v>
      </c>
      <c r="C88" s="9">
        <v>1925</v>
      </c>
      <c r="D88" s="10">
        <v>45715</v>
      </c>
      <c r="E88" s="11" t="str">
        <f>+HYPERLINK("http://trademark.i-assist.jp/data/china/image_1925th/80727885.pdf","80727885")</f>
        <v>80727885</v>
      </c>
      <c r="F88" s="12" t="s">
        <v>276</v>
      </c>
      <c r="G88" s="12" t="s">
        <v>277</v>
      </c>
      <c r="H88" s="9" t="s">
        <v>285</v>
      </c>
      <c r="I88" s="10">
        <v>45538</v>
      </c>
    </row>
    <row r="89" spans="1:9" x14ac:dyDescent="0.15">
      <c r="A89" s="9">
        <v>88</v>
      </c>
      <c r="B89" s="9" t="s">
        <v>9</v>
      </c>
      <c r="C89" s="9">
        <v>1925</v>
      </c>
      <c r="D89" s="10">
        <v>45715</v>
      </c>
      <c r="E89" s="11" t="str">
        <f>+HYPERLINK("http://trademark.i-assist.jp/data/china/image_1925th/80732825.pdf","80732825")</f>
        <v>80732825</v>
      </c>
      <c r="F89" s="9" t="s">
        <v>286</v>
      </c>
      <c r="G89" s="9" t="s">
        <v>287</v>
      </c>
      <c r="H89" s="9" t="s">
        <v>288</v>
      </c>
      <c r="I89" s="10">
        <v>45539</v>
      </c>
    </row>
    <row r="90" spans="1:9" x14ac:dyDescent="0.15">
      <c r="A90" s="9">
        <v>89</v>
      </c>
      <c r="B90" s="9" t="s">
        <v>9</v>
      </c>
      <c r="C90" s="9">
        <v>1925</v>
      </c>
      <c r="D90" s="10">
        <v>45715</v>
      </c>
      <c r="E90" s="11" t="str">
        <f>+HYPERLINK("http://trademark.i-assist.jp/data/china/image_1925th/80734660.pdf","80734660")</f>
        <v>80734660</v>
      </c>
      <c r="F90" s="9" t="s">
        <v>289</v>
      </c>
      <c r="G90" s="12" t="s">
        <v>290</v>
      </c>
      <c r="H90" s="9" t="s">
        <v>291</v>
      </c>
      <c r="I90" s="10">
        <v>45539</v>
      </c>
    </row>
    <row r="91" spans="1:9" x14ac:dyDescent="0.15">
      <c r="A91" s="9">
        <v>90</v>
      </c>
      <c r="B91" s="9" t="s">
        <v>9</v>
      </c>
      <c r="C91" s="9">
        <v>1925</v>
      </c>
      <c r="D91" s="10">
        <v>45715</v>
      </c>
      <c r="E91" s="11" t="str">
        <f>+HYPERLINK("http://trademark.i-assist.jp/data/china/image_1925th/80739916.pdf","80739916")</f>
        <v>80739916</v>
      </c>
      <c r="F91" s="9" t="s">
        <v>292</v>
      </c>
      <c r="G91" s="9" t="s">
        <v>287</v>
      </c>
      <c r="H91" s="9" t="s">
        <v>293</v>
      </c>
      <c r="I91" s="10">
        <v>45539</v>
      </c>
    </row>
    <row r="92" spans="1:9" x14ac:dyDescent="0.15">
      <c r="A92" s="9">
        <v>91</v>
      </c>
      <c r="B92" s="9" t="s">
        <v>9</v>
      </c>
      <c r="C92" s="9">
        <v>1925</v>
      </c>
      <c r="D92" s="10">
        <v>45715</v>
      </c>
      <c r="E92" s="11" t="str">
        <f>+HYPERLINK("http://trademark.i-assist.jp/data/china/image_1925th/80743036.pdf","80743036")</f>
        <v>80743036</v>
      </c>
      <c r="F92" s="9" t="s">
        <v>294</v>
      </c>
      <c r="G92" s="9" t="s">
        <v>287</v>
      </c>
      <c r="H92" s="9" t="s">
        <v>295</v>
      </c>
      <c r="I92" s="10">
        <v>45539</v>
      </c>
    </row>
    <row r="93" spans="1:9" x14ac:dyDescent="0.15">
      <c r="A93" s="9">
        <v>92</v>
      </c>
      <c r="B93" s="9" t="s">
        <v>9</v>
      </c>
      <c r="C93" s="9">
        <v>1925</v>
      </c>
      <c r="D93" s="10">
        <v>45715</v>
      </c>
      <c r="E93" s="11" t="str">
        <f>+HYPERLINK("http://trademark.i-assist.jp/data/china/image_1925th/80743050.pdf","80743050")</f>
        <v>80743050</v>
      </c>
      <c r="F93" s="9" t="s">
        <v>296</v>
      </c>
      <c r="G93" s="9" t="s">
        <v>287</v>
      </c>
      <c r="H93" s="9" t="s">
        <v>297</v>
      </c>
      <c r="I93" s="10">
        <v>45539</v>
      </c>
    </row>
    <row r="94" spans="1:9" x14ac:dyDescent="0.15">
      <c r="A94" s="9">
        <v>93</v>
      </c>
      <c r="B94" s="9" t="s">
        <v>9</v>
      </c>
      <c r="C94" s="9">
        <v>1925</v>
      </c>
      <c r="D94" s="10">
        <v>45715</v>
      </c>
      <c r="E94" s="11" t="str">
        <f>+HYPERLINK("http://trademark.i-assist.jp/data/china/image_1925th/80745387.pdf","80745387")</f>
        <v>80745387</v>
      </c>
      <c r="F94" s="12" t="s">
        <v>298</v>
      </c>
      <c r="G94" s="9" t="s">
        <v>287</v>
      </c>
      <c r="H94" s="9" t="s">
        <v>299</v>
      </c>
      <c r="I94" s="10">
        <v>45539</v>
      </c>
    </row>
    <row r="95" spans="1:9" x14ac:dyDescent="0.15">
      <c r="A95" s="9">
        <v>94</v>
      </c>
      <c r="B95" s="9" t="s">
        <v>9</v>
      </c>
      <c r="C95" s="9">
        <v>1925</v>
      </c>
      <c r="D95" s="10">
        <v>45715</v>
      </c>
      <c r="E95" s="11" t="str">
        <f>+HYPERLINK("http://trademark.i-assist.jp/data/china/image_1925th/80747333.pdf","80747333")</f>
        <v>80747333</v>
      </c>
      <c r="F95" s="9" t="s">
        <v>300</v>
      </c>
      <c r="G95" s="9" t="s">
        <v>287</v>
      </c>
      <c r="H95" s="9" t="s">
        <v>301</v>
      </c>
      <c r="I95" s="10">
        <v>45539</v>
      </c>
    </row>
    <row r="96" spans="1:9" x14ac:dyDescent="0.15">
      <c r="A96" s="9">
        <v>95</v>
      </c>
      <c r="B96" s="9" t="s">
        <v>9</v>
      </c>
      <c r="C96" s="9">
        <v>1925</v>
      </c>
      <c r="D96" s="10">
        <v>45715</v>
      </c>
      <c r="E96" s="11" t="str">
        <f>+HYPERLINK("http://trademark.i-assist.jp/data/china/image_1925th/80747346.pdf","80747346")</f>
        <v>80747346</v>
      </c>
      <c r="F96" s="9" t="s">
        <v>302</v>
      </c>
      <c r="G96" s="9" t="s">
        <v>287</v>
      </c>
      <c r="H96" s="9" t="s">
        <v>303</v>
      </c>
      <c r="I96" s="10">
        <v>45539</v>
      </c>
    </row>
    <row r="97" spans="1:9" x14ac:dyDescent="0.15">
      <c r="A97" s="9">
        <v>96</v>
      </c>
      <c r="B97" s="9" t="s">
        <v>9</v>
      </c>
      <c r="C97" s="9">
        <v>1925</v>
      </c>
      <c r="D97" s="10">
        <v>45715</v>
      </c>
      <c r="E97" s="11" t="str">
        <f>+HYPERLINK("http://trademark.i-assist.jp/data/china/image_1925th/80748502.pdf","80748502")</f>
        <v>80748502</v>
      </c>
      <c r="F97" s="9" t="s">
        <v>304</v>
      </c>
      <c r="G97" s="9" t="s">
        <v>287</v>
      </c>
      <c r="H97" s="9" t="s">
        <v>305</v>
      </c>
      <c r="I97" s="10">
        <v>45539</v>
      </c>
    </row>
    <row r="98" spans="1:9" x14ac:dyDescent="0.15">
      <c r="A98" s="9">
        <v>97</v>
      </c>
      <c r="B98" s="9" t="s">
        <v>9</v>
      </c>
      <c r="C98" s="9">
        <v>1925</v>
      </c>
      <c r="D98" s="10">
        <v>45715</v>
      </c>
      <c r="E98" s="11" t="str">
        <f>+HYPERLINK("http://trademark.i-assist.jp/data/china/image_1925th/80752624.pdf","80752624")</f>
        <v>80752624</v>
      </c>
      <c r="F98" s="9" t="s">
        <v>306</v>
      </c>
      <c r="G98" s="9" t="s">
        <v>287</v>
      </c>
      <c r="H98" s="9" t="s">
        <v>307</v>
      </c>
      <c r="I98" s="10">
        <v>45539</v>
      </c>
    </row>
    <row r="99" spans="1:9" x14ac:dyDescent="0.15">
      <c r="A99" s="9">
        <v>98</v>
      </c>
      <c r="B99" s="9" t="s">
        <v>9</v>
      </c>
      <c r="C99" s="9">
        <v>1925</v>
      </c>
      <c r="D99" s="10">
        <v>45715</v>
      </c>
      <c r="E99" s="11" t="str">
        <f>+HYPERLINK("http://trademark.i-assist.jp/data/china/image_1925th/80752636.pdf","80752636")</f>
        <v>80752636</v>
      </c>
      <c r="F99" s="9" t="s">
        <v>308</v>
      </c>
      <c r="G99" s="9" t="s">
        <v>287</v>
      </c>
      <c r="H99" s="12" t="s">
        <v>309</v>
      </c>
      <c r="I99" s="10">
        <v>45539</v>
      </c>
    </row>
    <row r="100" spans="1:9" x14ac:dyDescent="0.15">
      <c r="A100" s="9">
        <v>99</v>
      </c>
      <c r="B100" s="9" t="s">
        <v>9</v>
      </c>
      <c r="C100" s="9">
        <v>1925</v>
      </c>
      <c r="D100" s="10">
        <v>45715</v>
      </c>
      <c r="E100" s="11" t="str">
        <f>+HYPERLINK("http://trademark.i-assist.jp/data/china/image_1925th/80764384.pdf","80764384")</f>
        <v>80764384</v>
      </c>
      <c r="F100" s="9" t="s">
        <v>310</v>
      </c>
      <c r="G100" s="9" t="s">
        <v>311</v>
      </c>
      <c r="H100" s="9" t="s">
        <v>312</v>
      </c>
      <c r="I100" s="10">
        <v>45540</v>
      </c>
    </row>
    <row r="101" spans="1:9" x14ac:dyDescent="0.15">
      <c r="A101" s="9">
        <v>100</v>
      </c>
      <c r="B101" s="9" t="s">
        <v>9</v>
      </c>
      <c r="C101" s="9">
        <v>1925</v>
      </c>
      <c r="D101" s="10">
        <v>45715</v>
      </c>
      <c r="E101" s="11" t="str">
        <f>+HYPERLINK("http://trademark.i-assist.jp/data/china/image_1925th/80792597.pdf","80792597")</f>
        <v>80792597</v>
      </c>
      <c r="F101" s="9" t="s">
        <v>313</v>
      </c>
      <c r="G101" s="12" t="s">
        <v>314</v>
      </c>
      <c r="H101" s="9" t="s">
        <v>315</v>
      </c>
      <c r="I101" s="10">
        <v>45541</v>
      </c>
    </row>
    <row r="102" spans="1:9" x14ac:dyDescent="0.15">
      <c r="A102" s="9">
        <v>101</v>
      </c>
      <c r="B102" s="9" t="s">
        <v>9</v>
      </c>
      <c r="C102" s="9">
        <v>1925</v>
      </c>
      <c r="D102" s="10">
        <v>45715</v>
      </c>
      <c r="E102" s="11" t="str">
        <f>+HYPERLINK("http://trademark.i-assist.jp/data/china/image_1925th/80809857.pdf","80809857")</f>
        <v>80809857</v>
      </c>
      <c r="F102" s="9" t="s">
        <v>316</v>
      </c>
      <c r="G102" s="12" t="s">
        <v>317</v>
      </c>
      <c r="H102" s="9" t="s">
        <v>318</v>
      </c>
      <c r="I102" s="10">
        <v>45544</v>
      </c>
    </row>
    <row r="103" spans="1:9" x14ac:dyDescent="0.15">
      <c r="A103" s="9">
        <v>102</v>
      </c>
      <c r="B103" s="9" t="s">
        <v>9</v>
      </c>
      <c r="C103" s="9">
        <v>1925</v>
      </c>
      <c r="D103" s="10">
        <v>45715</v>
      </c>
      <c r="E103" s="11" t="str">
        <f>+HYPERLINK("http://trademark.i-assist.jp/data/china/image_1925th/80810119.pdf","80810119")</f>
        <v>80810119</v>
      </c>
      <c r="F103" s="9" t="s">
        <v>319</v>
      </c>
      <c r="G103" s="12" t="s">
        <v>320</v>
      </c>
      <c r="H103" s="9" t="s">
        <v>321</v>
      </c>
      <c r="I103" s="10">
        <v>45544</v>
      </c>
    </row>
    <row r="104" spans="1:9" x14ac:dyDescent="0.15">
      <c r="A104" s="9">
        <v>103</v>
      </c>
      <c r="B104" s="9" t="s">
        <v>9</v>
      </c>
      <c r="C104" s="9">
        <v>1925</v>
      </c>
      <c r="D104" s="10">
        <v>45715</v>
      </c>
      <c r="E104" s="11" t="str">
        <f>+HYPERLINK("http://trademark.i-assist.jp/data/china/image_1925th/80810902.pdf","80810902")</f>
        <v>80810902</v>
      </c>
      <c r="F104" s="12" t="s">
        <v>322</v>
      </c>
      <c r="G104" s="9" t="s">
        <v>323</v>
      </c>
      <c r="H104" s="12" t="s">
        <v>324</v>
      </c>
      <c r="I104" s="10">
        <v>45544</v>
      </c>
    </row>
    <row r="105" spans="1:9" x14ac:dyDescent="0.15">
      <c r="A105" s="9">
        <v>104</v>
      </c>
      <c r="B105" s="9" t="s">
        <v>9</v>
      </c>
      <c r="C105" s="9">
        <v>1925</v>
      </c>
      <c r="D105" s="10">
        <v>45715</v>
      </c>
      <c r="E105" s="11" t="str">
        <f>+HYPERLINK("http://trademark.i-assist.jp/data/china/image_1925th/80812010.pdf","80812010")</f>
        <v>80812010</v>
      </c>
      <c r="F105" s="9" t="s">
        <v>325</v>
      </c>
      <c r="G105" s="12" t="s">
        <v>317</v>
      </c>
      <c r="H105" s="9" t="s">
        <v>326</v>
      </c>
      <c r="I105" s="10">
        <v>45544</v>
      </c>
    </row>
    <row r="106" spans="1:9" x14ac:dyDescent="0.15">
      <c r="A106" s="9">
        <v>105</v>
      </c>
      <c r="B106" s="9" t="s">
        <v>9</v>
      </c>
      <c r="C106" s="9">
        <v>1925</v>
      </c>
      <c r="D106" s="10">
        <v>45715</v>
      </c>
      <c r="E106" s="11" t="str">
        <f>+HYPERLINK("http://trademark.i-assist.jp/data/china/image_1925th/80816118.pdf","80816118")</f>
        <v>80816118</v>
      </c>
      <c r="F106" s="9" t="s">
        <v>327</v>
      </c>
      <c r="G106" s="12" t="s">
        <v>317</v>
      </c>
      <c r="H106" s="9" t="s">
        <v>328</v>
      </c>
      <c r="I106" s="10">
        <v>45544</v>
      </c>
    </row>
    <row r="107" spans="1:9" x14ac:dyDescent="0.15">
      <c r="A107" s="9">
        <v>106</v>
      </c>
      <c r="B107" s="9" t="s">
        <v>9</v>
      </c>
      <c r="C107" s="9">
        <v>1925</v>
      </c>
      <c r="D107" s="10">
        <v>45715</v>
      </c>
      <c r="E107" s="11" t="str">
        <f>+HYPERLINK("http://trademark.i-assist.jp/data/china/image_1925th/80817110.pdf","80817110")</f>
        <v>80817110</v>
      </c>
      <c r="F107" s="12" t="s">
        <v>329</v>
      </c>
      <c r="G107" s="9" t="s">
        <v>330</v>
      </c>
      <c r="H107" s="9" t="s">
        <v>331</v>
      </c>
      <c r="I107" s="10">
        <v>45544</v>
      </c>
    </row>
    <row r="108" spans="1:9" x14ac:dyDescent="0.15">
      <c r="A108" s="9">
        <v>107</v>
      </c>
      <c r="B108" s="9" t="s">
        <v>9</v>
      </c>
      <c r="C108" s="9">
        <v>1925</v>
      </c>
      <c r="D108" s="10">
        <v>45715</v>
      </c>
      <c r="E108" s="11" t="str">
        <f>+HYPERLINK("http://trademark.i-assist.jp/data/china/image_1925th/80818560.pdf","80818560")</f>
        <v>80818560</v>
      </c>
      <c r="F108" s="9" t="s">
        <v>332</v>
      </c>
      <c r="G108" s="12" t="s">
        <v>317</v>
      </c>
      <c r="H108" s="9" t="s">
        <v>333</v>
      </c>
      <c r="I108" s="10">
        <v>45544</v>
      </c>
    </row>
    <row r="109" spans="1:9" x14ac:dyDescent="0.15">
      <c r="A109" s="9">
        <v>108</v>
      </c>
      <c r="B109" s="9" t="s">
        <v>9</v>
      </c>
      <c r="C109" s="9">
        <v>1925</v>
      </c>
      <c r="D109" s="10">
        <v>45715</v>
      </c>
      <c r="E109" s="11" t="str">
        <f>+HYPERLINK("http://trademark.i-assist.jp/data/china/image_1925th/80818680.pdf","80818680")</f>
        <v>80818680</v>
      </c>
      <c r="F109" s="9" t="s">
        <v>334</v>
      </c>
      <c r="G109" s="12" t="s">
        <v>317</v>
      </c>
      <c r="H109" s="9" t="s">
        <v>335</v>
      </c>
      <c r="I109" s="10">
        <v>45544</v>
      </c>
    </row>
    <row r="110" spans="1:9" x14ac:dyDescent="0.15">
      <c r="A110" s="9">
        <v>109</v>
      </c>
      <c r="B110" s="9" t="s">
        <v>9</v>
      </c>
      <c r="C110" s="9">
        <v>1925</v>
      </c>
      <c r="D110" s="10">
        <v>45715</v>
      </c>
      <c r="E110" s="11" t="str">
        <f>+HYPERLINK("http://trademark.i-assist.jp/data/china/image_1925th/80819661.pdf","80819661")</f>
        <v>80819661</v>
      </c>
      <c r="F110" s="9" t="s">
        <v>336</v>
      </c>
      <c r="G110" s="12" t="s">
        <v>317</v>
      </c>
      <c r="H110" s="9" t="s">
        <v>337</v>
      </c>
      <c r="I110" s="10">
        <v>45544</v>
      </c>
    </row>
    <row r="111" spans="1:9" x14ac:dyDescent="0.15">
      <c r="A111" s="9">
        <v>110</v>
      </c>
      <c r="B111" s="9" t="s">
        <v>9</v>
      </c>
      <c r="C111" s="9">
        <v>1925</v>
      </c>
      <c r="D111" s="10">
        <v>45715</v>
      </c>
      <c r="E111" s="11" t="str">
        <f>+HYPERLINK("http://trademark.i-assist.jp/data/china/image_1925th/80821218.pdf","80821218")</f>
        <v>80821218</v>
      </c>
      <c r="F111" s="9" t="s">
        <v>338</v>
      </c>
      <c r="G111" s="12" t="s">
        <v>317</v>
      </c>
      <c r="H111" s="9" t="s">
        <v>339</v>
      </c>
      <c r="I111" s="10">
        <v>45544</v>
      </c>
    </row>
    <row r="112" spans="1:9" x14ac:dyDescent="0.15">
      <c r="A112" s="9">
        <v>111</v>
      </c>
      <c r="B112" s="9" t="s">
        <v>9</v>
      </c>
      <c r="C112" s="9">
        <v>1925</v>
      </c>
      <c r="D112" s="10">
        <v>45715</v>
      </c>
      <c r="E112" s="11" t="str">
        <f>+HYPERLINK("http://trademark.i-assist.jp/data/china/image_1925th/80821221.pdf","80821221")</f>
        <v>80821221</v>
      </c>
      <c r="F112" s="12" t="s">
        <v>340</v>
      </c>
      <c r="G112" s="12" t="s">
        <v>317</v>
      </c>
      <c r="H112" s="9" t="s">
        <v>341</v>
      </c>
      <c r="I112" s="10">
        <v>45544</v>
      </c>
    </row>
    <row r="113" spans="1:9" x14ac:dyDescent="0.15">
      <c r="A113" s="9">
        <v>112</v>
      </c>
      <c r="B113" s="9" t="s">
        <v>9</v>
      </c>
      <c r="C113" s="9">
        <v>1925</v>
      </c>
      <c r="D113" s="10">
        <v>45715</v>
      </c>
      <c r="E113" s="11" t="str">
        <f>+HYPERLINK("http://trademark.i-assist.jp/data/china/image_1925th/80821228.pdf","80821228")</f>
        <v>80821228</v>
      </c>
      <c r="F113" s="12" t="s">
        <v>342</v>
      </c>
      <c r="G113" s="12" t="s">
        <v>317</v>
      </c>
      <c r="H113" s="9" t="s">
        <v>343</v>
      </c>
      <c r="I113" s="10">
        <v>45544</v>
      </c>
    </row>
    <row r="114" spans="1:9" x14ac:dyDescent="0.15">
      <c r="A114" s="9">
        <v>113</v>
      </c>
      <c r="B114" s="9" t="s">
        <v>9</v>
      </c>
      <c r="C114" s="9">
        <v>1925</v>
      </c>
      <c r="D114" s="10">
        <v>45715</v>
      </c>
      <c r="E114" s="11" t="str">
        <f>+HYPERLINK("http://trademark.i-assist.jp/data/china/image_1925th/80821230.pdf","80821230")</f>
        <v>80821230</v>
      </c>
      <c r="F114" s="12" t="s">
        <v>344</v>
      </c>
      <c r="G114" s="12" t="s">
        <v>317</v>
      </c>
      <c r="H114" s="9" t="s">
        <v>345</v>
      </c>
      <c r="I114" s="10">
        <v>45544</v>
      </c>
    </row>
    <row r="115" spans="1:9" x14ac:dyDescent="0.15">
      <c r="A115" s="9">
        <v>114</v>
      </c>
      <c r="B115" s="9" t="s">
        <v>9</v>
      </c>
      <c r="C115" s="9">
        <v>1925</v>
      </c>
      <c r="D115" s="10">
        <v>45715</v>
      </c>
      <c r="E115" s="11" t="str">
        <f>+HYPERLINK("http://trademark.i-assist.jp/data/china/image_1925th/80821990.pdf","80821990")</f>
        <v>80821990</v>
      </c>
      <c r="F115" s="9" t="s">
        <v>346</v>
      </c>
      <c r="G115" s="12" t="s">
        <v>317</v>
      </c>
      <c r="H115" s="9" t="s">
        <v>347</v>
      </c>
      <c r="I115" s="10">
        <v>45544</v>
      </c>
    </row>
    <row r="116" spans="1:9" x14ac:dyDescent="0.15">
      <c r="A116" s="9">
        <v>115</v>
      </c>
      <c r="B116" s="9" t="s">
        <v>9</v>
      </c>
      <c r="C116" s="9">
        <v>1925</v>
      </c>
      <c r="D116" s="10">
        <v>45715</v>
      </c>
      <c r="E116" s="11" t="str">
        <f>+HYPERLINK("http://trademark.i-assist.jp/data/china/image_1925th/80822002.pdf","80822002")</f>
        <v>80822002</v>
      </c>
      <c r="F116" s="9" t="s">
        <v>348</v>
      </c>
      <c r="G116" s="12" t="s">
        <v>317</v>
      </c>
      <c r="H116" s="9" t="s">
        <v>349</v>
      </c>
      <c r="I116" s="10">
        <v>45544</v>
      </c>
    </row>
    <row r="117" spans="1:9" x14ac:dyDescent="0.15">
      <c r="A117" s="9">
        <v>116</v>
      </c>
      <c r="B117" s="9" t="s">
        <v>9</v>
      </c>
      <c r="C117" s="9">
        <v>1925</v>
      </c>
      <c r="D117" s="10">
        <v>45715</v>
      </c>
      <c r="E117" s="11" t="str">
        <f>+HYPERLINK("http://trademark.i-assist.jp/data/china/image_1925th/80825275.pdf","80825275")</f>
        <v>80825275</v>
      </c>
      <c r="F117" s="9" t="s">
        <v>350</v>
      </c>
      <c r="G117" s="12" t="s">
        <v>317</v>
      </c>
      <c r="H117" s="9" t="s">
        <v>351</v>
      </c>
      <c r="I117" s="10">
        <v>45544</v>
      </c>
    </row>
    <row r="118" spans="1:9" x14ac:dyDescent="0.15">
      <c r="A118" s="9">
        <v>117</v>
      </c>
      <c r="B118" s="9" t="s">
        <v>9</v>
      </c>
      <c r="C118" s="9">
        <v>1925</v>
      </c>
      <c r="D118" s="10">
        <v>45715</v>
      </c>
      <c r="E118" s="11" t="str">
        <f>+HYPERLINK("http://trademark.i-assist.jp/data/china/image_1925th/80826830.pdf","80826830")</f>
        <v>80826830</v>
      </c>
      <c r="F118" s="9" t="s">
        <v>352</v>
      </c>
      <c r="G118" s="12" t="s">
        <v>317</v>
      </c>
      <c r="H118" s="9" t="s">
        <v>353</v>
      </c>
      <c r="I118" s="10">
        <v>45544</v>
      </c>
    </row>
    <row r="119" spans="1:9" x14ac:dyDescent="0.15">
      <c r="A119" s="9">
        <v>118</v>
      </c>
      <c r="B119" s="9" t="s">
        <v>9</v>
      </c>
      <c r="C119" s="9">
        <v>1925</v>
      </c>
      <c r="D119" s="10">
        <v>45715</v>
      </c>
      <c r="E119" s="11" t="str">
        <f>+HYPERLINK("http://trademark.i-assist.jp/data/china/image_1925th/80831531.pdf","80831531")</f>
        <v>80831531</v>
      </c>
      <c r="F119" s="9" t="s">
        <v>354</v>
      </c>
      <c r="G119" s="12" t="s">
        <v>317</v>
      </c>
      <c r="H119" s="9" t="s">
        <v>355</v>
      </c>
      <c r="I119" s="10">
        <v>45544</v>
      </c>
    </row>
    <row r="120" spans="1:9" x14ac:dyDescent="0.15">
      <c r="A120" s="9">
        <v>119</v>
      </c>
      <c r="B120" s="9" t="s">
        <v>9</v>
      </c>
      <c r="C120" s="9">
        <v>1925</v>
      </c>
      <c r="D120" s="10">
        <v>45715</v>
      </c>
      <c r="E120" s="11" t="str">
        <f>+HYPERLINK("http://trademark.i-assist.jp/data/china/image_1925th/80831926.pdf","80831926")</f>
        <v>80831926</v>
      </c>
      <c r="F120" s="9" t="s">
        <v>356</v>
      </c>
      <c r="G120" s="12" t="s">
        <v>317</v>
      </c>
      <c r="H120" s="9" t="s">
        <v>357</v>
      </c>
      <c r="I120" s="10">
        <v>45544</v>
      </c>
    </row>
    <row r="121" spans="1:9" x14ac:dyDescent="0.15">
      <c r="A121" s="9">
        <v>120</v>
      </c>
      <c r="B121" s="9" t="s">
        <v>9</v>
      </c>
      <c r="C121" s="9">
        <v>1925</v>
      </c>
      <c r="D121" s="10">
        <v>45715</v>
      </c>
      <c r="E121" s="11" t="str">
        <f>+HYPERLINK("http://trademark.i-assist.jp/data/china/image_1925th/80834337.pdf","80834337")</f>
        <v>80834337</v>
      </c>
      <c r="F121" s="12" t="s">
        <v>57</v>
      </c>
      <c r="G121" s="9" t="s">
        <v>358</v>
      </c>
      <c r="H121" s="9" t="s">
        <v>359</v>
      </c>
      <c r="I121" s="10">
        <v>45545</v>
      </c>
    </row>
    <row r="122" spans="1:9" x14ac:dyDescent="0.15">
      <c r="A122" s="9">
        <v>121</v>
      </c>
      <c r="B122" s="9" t="s">
        <v>9</v>
      </c>
      <c r="C122" s="9">
        <v>1925</v>
      </c>
      <c r="D122" s="10">
        <v>45715</v>
      </c>
      <c r="E122" s="11" t="str">
        <f>+HYPERLINK("http://trademark.i-assist.jp/data/china/image_1925th/80855241.pdf","80855241")</f>
        <v>80855241</v>
      </c>
      <c r="F122" s="9" t="s">
        <v>360</v>
      </c>
      <c r="G122" s="9" t="s">
        <v>361</v>
      </c>
      <c r="H122" s="9" t="s">
        <v>362</v>
      </c>
      <c r="I122" s="10">
        <v>45545</v>
      </c>
    </row>
    <row r="123" spans="1:9" x14ac:dyDescent="0.15">
      <c r="A123" s="9">
        <v>122</v>
      </c>
      <c r="B123" s="9" t="s">
        <v>9</v>
      </c>
      <c r="C123" s="9">
        <v>1925</v>
      </c>
      <c r="D123" s="10">
        <v>45715</v>
      </c>
      <c r="E123" s="11" t="str">
        <f>+HYPERLINK("http://trademark.i-assist.jp/data/china/image_1925th/80875151.pdf","80875151")</f>
        <v>80875151</v>
      </c>
      <c r="F123" s="9" t="s">
        <v>363</v>
      </c>
      <c r="G123" s="12" t="s">
        <v>364</v>
      </c>
      <c r="H123" s="9" t="s">
        <v>365</v>
      </c>
      <c r="I123" s="10">
        <v>45546</v>
      </c>
    </row>
    <row r="124" spans="1:9" x14ac:dyDescent="0.15">
      <c r="A124" s="9">
        <v>123</v>
      </c>
      <c r="B124" s="9" t="s">
        <v>9</v>
      </c>
      <c r="C124" s="9">
        <v>1925</v>
      </c>
      <c r="D124" s="10">
        <v>45715</v>
      </c>
      <c r="E124" s="11" t="str">
        <f>+HYPERLINK("http://trademark.i-assist.jp/data/china/image_1925th/80894208.pdf","80894208")</f>
        <v>80894208</v>
      </c>
      <c r="F124" s="9" t="s">
        <v>366</v>
      </c>
      <c r="G124" s="9" t="s">
        <v>287</v>
      </c>
      <c r="H124" s="12" t="s">
        <v>367</v>
      </c>
      <c r="I124" s="10">
        <v>45547</v>
      </c>
    </row>
    <row r="125" spans="1:9" x14ac:dyDescent="0.15">
      <c r="A125" s="9">
        <v>124</v>
      </c>
      <c r="B125" s="9" t="s">
        <v>9</v>
      </c>
      <c r="C125" s="9">
        <v>1925</v>
      </c>
      <c r="D125" s="10">
        <v>45715</v>
      </c>
      <c r="E125" s="11" t="str">
        <f>+HYPERLINK("http://trademark.i-assist.jp/data/china/image_1925th/80908511.pdf","80908511")</f>
        <v>80908511</v>
      </c>
      <c r="F125" s="9" t="s">
        <v>368</v>
      </c>
      <c r="G125" s="9" t="s">
        <v>287</v>
      </c>
      <c r="H125" s="9" t="s">
        <v>369</v>
      </c>
      <c r="I125" s="10">
        <v>45548</v>
      </c>
    </row>
    <row r="126" spans="1:9" x14ac:dyDescent="0.15">
      <c r="A126" s="9">
        <v>125</v>
      </c>
      <c r="B126" s="9" t="s">
        <v>9</v>
      </c>
      <c r="C126" s="9">
        <v>1925</v>
      </c>
      <c r="D126" s="10">
        <v>45715</v>
      </c>
      <c r="E126" s="11" t="str">
        <f>+HYPERLINK("http://trademark.i-assist.jp/data/china/image_1925th/80910441.pdf","80910441")</f>
        <v>80910441</v>
      </c>
      <c r="F126" s="9" t="s">
        <v>370</v>
      </c>
      <c r="G126" s="12" t="s">
        <v>371</v>
      </c>
      <c r="H126" s="9" t="s">
        <v>372</v>
      </c>
      <c r="I126" s="10">
        <v>45548</v>
      </c>
    </row>
    <row r="127" spans="1:9" x14ac:dyDescent="0.15">
      <c r="A127" s="9">
        <v>126</v>
      </c>
      <c r="B127" s="9" t="s">
        <v>9</v>
      </c>
      <c r="C127" s="9">
        <v>1925</v>
      </c>
      <c r="D127" s="10">
        <v>45715</v>
      </c>
      <c r="E127" s="11" t="str">
        <f>+HYPERLINK("http://trademark.i-assist.jp/data/china/image_1925th/80933926.pdf","80933926")</f>
        <v>80933926</v>
      </c>
      <c r="F127" s="12" t="s">
        <v>373</v>
      </c>
      <c r="G127" s="9" t="s">
        <v>374</v>
      </c>
      <c r="H127" s="9" t="s">
        <v>375</v>
      </c>
      <c r="I127" s="10">
        <v>45549</v>
      </c>
    </row>
    <row r="128" spans="1:9" x14ac:dyDescent="0.15">
      <c r="A128" s="9">
        <v>127</v>
      </c>
      <c r="B128" s="9" t="s">
        <v>9</v>
      </c>
      <c r="C128" s="9">
        <v>1925</v>
      </c>
      <c r="D128" s="10">
        <v>45715</v>
      </c>
      <c r="E128" s="11" t="str">
        <f>+HYPERLINK("http://trademark.i-assist.jp/data/china/image_1925th/80942226.pdf","80942226")</f>
        <v>80942226</v>
      </c>
      <c r="F128" s="9" t="s">
        <v>376</v>
      </c>
      <c r="G128" s="9" t="s">
        <v>377</v>
      </c>
      <c r="H128" s="9" t="s">
        <v>378</v>
      </c>
      <c r="I128" s="10">
        <v>45549</v>
      </c>
    </row>
    <row r="129" spans="1:9" x14ac:dyDescent="0.15">
      <c r="A129" s="9">
        <v>128</v>
      </c>
      <c r="B129" s="9" t="s">
        <v>9</v>
      </c>
      <c r="C129" s="9">
        <v>1925</v>
      </c>
      <c r="D129" s="10">
        <v>45715</v>
      </c>
      <c r="E129" s="11" t="str">
        <f>+HYPERLINK("http://trademark.i-assist.jp/data/china/image_1925th/80946493.pdf","80946493")</f>
        <v>80946493</v>
      </c>
      <c r="F129" s="9" t="s">
        <v>379</v>
      </c>
      <c r="G129" s="9" t="s">
        <v>374</v>
      </c>
      <c r="H129" s="12" t="s">
        <v>380</v>
      </c>
      <c r="I129" s="10">
        <v>45549</v>
      </c>
    </row>
    <row r="130" spans="1:9" x14ac:dyDescent="0.15">
      <c r="A130" s="9">
        <v>129</v>
      </c>
      <c r="B130" s="9" t="s">
        <v>9</v>
      </c>
      <c r="C130" s="9">
        <v>1925</v>
      </c>
      <c r="D130" s="10">
        <v>45715</v>
      </c>
      <c r="E130" s="11" t="str">
        <f>+HYPERLINK("http://trademark.i-assist.jp/data/china/image_1925th/80965304.pdf","80965304")</f>
        <v>80965304</v>
      </c>
      <c r="F130" s="9" t="s">
        <v>381</v>
      </c>
      <c r="G130" s="12" t="s">
        <v>382</v>
      </c>
      <c r="H130" s="9" t="s">
        <v>383</v>
      </c>
      <c r="I130" s="10">
        <v>45553</v>
      </c>
    </row>
    <row r="131" spans="1:9" x14ac:dyDescent="0.15">
      <c r="A131" s="9">
        <v>130</v>
      </c>
      <c r="B131" s="9" t="s">
        <v>9</v>
      </c>
      <c r="C131" s="9">
        <v>1925</v>
      </c>
      <c r="D131" s="10">
        <v>45715</v>
      </c>
      <c r="E131" s="11" t="str">
        <f>+HYPERLINK("http://trademark.i-assist.jp/data/china/image_1925th/80968740.pdf","80968740")</f>
        <v>80968740</v>
      </c>
      <c r="F131" s="9" t="s">
        <v>381</v>
      </c>
      <c r="G131" s="12" t="s">
        <v>382</v>
      </c>
      <c r="H131" s="9" t="s">
        <v>384</v>
      </c>
      <c r="I131" s="10">
        <v>45553</v>
      </c>
    </row>
    <row r="132" spans="1:9" x14ac:dyDescent="0.15">
      <c r="A132" s="9">
        <v>131</v>
      </c>
      <c r="B132" s="9" t="s">
        <v>9</v>
      </c>
      <c r="C132" s="9">
        <v>1925</v>
      </c>
      <c r="D132" s="10">
        <v>45715</v>
      </c>
      <c r="E132" s="11" t="str">
        <f>+HYPERLINK("http://trademark.i-assist.jp/data/china/image_1925th/80974986.pdf","80974986")</f>
        <v>80974986</v>
      </c>
      <c r="F132" s="9" t="s">
        <v>381</v>
      </c>
      <c r="G132" s="12" t="s">
        <v>382</v>
      </c>
      <c r="H132" s="9" t="s">
        <v>384</v>
      </c>
      <c r="I132" s="10">
        <v>45553</v>
      </c>
    </row>
    <row r="133" spans="1:9" x14ac:dyDescent="0.15">
      <c r="A133" s="9">
        <v>132</v>
      </c>
      <c r="B133" s="9" t="s">
        <v>9</v>
      </c>
      <c r="C133" s="9">
        <v>1925</v>
      </c>
      <c r="D133" s="10">
        <v>45715</v>
      </c>
      <c r="E133" s="11" t="str">
        <f>+HYPERLINK("http://trademark.i-assist.jp/data/china/image_1925th/80996240.pdf","80996240")</f>
        <v>80996240</v>
      </c>
      <c r="F133" s="9" t="s">
        <v>385</v>
      </c>
      <c r="G133" s="12" t="s">
        <v>386</v>
      </c>
      <c r="H133" s="9" t="s">
        <v>387</v>
      </c>
      <c r="I133" s="10">
        <v>45554</v>
      </c>
    </row>
    <row r="134" spans="1:9" x14ac:dyDescent="0.15">
      <c r="A134" s="9">
        <v>133</v>
      </c>
      <c r="B134" s="9" t="s">
        <v>9</v>
      </c>
      <c r="C134" s="9">
        <v>1925</v>
      </c>
      <c r="D134" s="10">
        <v>45715</v>
      </c>
      <c r="E134" s="11" t="str">
        <f>+HYPERLINK("http://trademark.i-assist.jp/data/china/image_1925th/80996801.pdf","80996801")</f>
        <v>80996801</v>
      </c>
      <c r="F134" s="9" t="s">
        <v>388</v>
      </c>
      <c r="G134" s="9" t="s">
        <v>389</v>
      </c>
      <c r="H134" s="9" t="s">
        <v>390</v>
      </c>
      <c r="I134" s="10">
        <v>45554</v>
      </c>
    </row>
    <row r="135" spans="1:9" x14ac:dyDescent="0.15">
      <c r="A135" s="9">
        <v>134</v>
      </c>
      <c r="B135" s="9" t="s">
        <v>9</v>
      </c>
      <c r="C135" s="9">
        <v>1925</v>
      </c>
      <c r="D135" s="10">
        <v>45715</v>
      </c>
      <c r="E135" s="11" t="str">
        <f>+HYPERLINK("http://trademark.i-assist.jp/data/china/image_1925th/81104309.pdf","81104309")</f>
        <v>81104309</v>
      </c>
      <c r="F135" s="12" t="s">
        <v>57</v>
      </c>
      <c r="G135" s="9" t="s">
        <v>391</v>
      </c>
      <c r="H135" s="9" t="s">
        <v>392</v>
      </c>
      <c r="I135" s="10">
        <v>45560</v>
      </c>
    </row>
    <row r="136" spans="1:9" x14ac:dyDescent="0.15">
      <c r="A136" s="9">
        <v>135</v>
      </c>
      <c r="B136" s="9" t="s">
        <v>9</v>
      </c>
      <c r="C136" s="9">
        <v>1925</v>
      </c>
      <c r="D136" s="10">
        <v>45715</v>
      </c>
      <c r="E136" s="11" t="str">
        <f>+HYPERLINK("http://trademark.i-assist.jp/data/china/image_1925th/81111316.pdf","81111316")</f>
        <v>81111316</v>
      </c>
      <c r="F136" s="9" t="s">
        <v>393</v>
      </c>
      <c r="G136" s="9" t="s">
        <v>394</v>
      </c>
      <c r="H136" s="9" t="s">
        <v>395</v>
      </c>
      <c r="I136" s="10">
        <v>45560</v>
      </c>
    </row>
    <row r="137" spans="1:9" x14ac:dyDescent="0.15">
      <c r="A137" s="9">
        <v>136</v>
      </c>
      <c r="B137" s="9" t="s">
        <v>9</v>
      </c>
      <c r="C137" s="9">
        <v>1925</v>
      </c>
      <c r="D137" s="10">
        <v>45715</v>
      </c>
      <c r="E137" s="11" t="str">
        <f>+HYPERLINK("http://trademark.i-assist.jp/data/china/image_1925th/81112893.pdf","81112893")</f>
        <v>81112893</v>
      </c>
      <c r="F137" s="9" t="s">
        <v>396</v>
      </c>
      <c r="G137" s="12" t="s">
        <v>397</v>
      </c>
      <c r="H137" s="9" t="s">
        <v>398</v>
      </c>
      <c r="I137" s="10">
        <v>45560</v>
      </c>
    </row>
    <row r="138" spans="1:9" x14ac:dyDescent="0.15">
      <c r="A138" s="9">
        <v>137</v>
      </c>
      <c r="B138" s="9" t="s">
        <v>9</v>
      </c>
      <c r="C138" s="9">
        <v>1925</v>
      </c>
      <c r="D138" s="10">
        <v>45715</v>
      </c>
      <c r="E138" s="11" t="str">
        <f>+HYPERLINK("http://trademark.i-assist.jp/data/china/image_1925th/81132843.pdf","81132843")</f>
        <v>81132843</v>
      </c>
      <c r="F138" s="9" t="s">
        <v>399</v>
      </c>
      <c r="G138" s="12" t="s">
        <v>400</v>
      </c>
      <c r="H138" s="9" t="s">
        <v>401</v>
      </c>
      <c r="I138" s="10">
        <v>45561</v>
      </c>
    </row>
    <row r="139" spans="1:9" x14ac:dyDescent="0.15">
      <c r="A139" s="9">
        <v>138</v>
      </c>
      <c r="B139" s="9" t="s">
        <v>9</v>
      </c>
      <c r="C139" s="9">
        <v>1925</v>
      </c>
      <c r="D139" s="10">
        <v>45715</v>
      </c>
      <c r="E139" s="11" t="str">
        <f>+HYPERLINK("http://trademark.i-assist.jp/data/china/image_1925th/81194803.pdf","81194803")</f>
        <v>81194803</v>
      </c>
      <c r="F139" s="12" t="s">
        <v>402</v>
      </c>
      <c r="G139" s="12" t="s">
        <v>403</v>
      </c>
      <c r="H139" s="12" t="s">
        <v>404</v>
      </c>
      <c r="I139" s="10">
        <v>45564</v>
      </c>
    </row>
    <row r="140" spans="1:9" x14ac:dyDescent="0.15">
      <c r="A140" s="9">
        <v>139</v>
      </c>
      <c r="B140" s="9" t="s">
        <v>9</v>
      </c>
      <c r="C140" s="9">
        <v>1925</v>
      </c>
      <c r="D140" s="10">
        <v>45715</v>
      </c>
      <c r="E140" s="11" t="str">
        <f>+HYPERLINK("http://trademark.i-assist.jp/data/china/image_1925th/81237792.pdf","81237792")</f>
        <v>81237792</v>
      </c>
      <c r="F140" s="12" t="s">
        <v>57</v>
      </c>
      <c r="G140" s="12" t="s">
        <v>405</v>
      </c>
      <c r="H140" s="9" t="s">
        <v>406</v>
      </c>
      <c r="I140" s="10">
        <v>45573</v>
      </c>
    </row>
    <row r="141" spans="1:9" x14ac:dyDescent="0.15">
      <c r="A141" s="9">
        <v>140</v>
      </c>
      <c r="B141" s="9" t="s">
        <v>9</v>
      </c>
      <c r="C141" s="9">
        <v>1925</v>
      </c>
      <c r="D141" s="10">
        <v>45715</v>
      </c>
      <c r="E141" s="11" t="str">
        <f>+HYPERLINK("http://trademark.i-assist.jp/data/china/image_1925th/81249941.pdf","81249941")</f>
        <v>81249941</v>
      </c>
      <c r="F141" s="12" t="s">
        <v>407</v>
      </c>
      <c r="G141" s="12" t="s">
        <v>408</v>
      </c>
      <c r="H141" s="9" t="s">
        <v>409</v>
      </c>
      <c r="I141" s="10">
        <v>45573</v>
      </c>
    </row>
    <row r="142" spans="1:9" x14ac:dyDescent="0.15">
      <c r="A142" s="9">
        <v>141</v>
      </c>
      <c r="B142" s="9" t="s">
        <v>9</v>
      </c>
      <c r="C142" s="9">
        <v>1925</v>
      </c>
      <c r="D142" s="10">
        <v>45715</v>
      </c>
      <c r="E142" s="11" t="str">
        <f>+HYPERLINK("http://trademark.i-assist.jp/data/china/image_1925th/81263327.pdf","81263327")</f>
        <v>81263327</v>
      </c>
      <c r="F142" s="12" t="s">
        <v>410</v>
      </c>
      <c r="G142" s="9" t="s">
        <v>411</v>
      </c>
      <c r="H142" s="9" t="s">
        <v>412</v>
      </c>
      <c r="I142" s="10">
        <v>45574</v>
      </c>
    </row>
    <row r="143" spans="1:9" x14ac:dyDescent="0.15">
      <c r="A143" s="9">
        <v>142</v>
      </c>
      <c r="B143" s="9" t="s">
        <v>9</v>
      </c>
      <c r="C143" s="9">
        <v>1925</v>
      </c>
      <c r="D143" s="10">
        <v>45715</v>
      </c>
      <c r="E143" s="11" t="str">
        <f>+HYPERLINK("http://trademark.i-assist.jp/data/china/image_1925th/81268875.pdf","81268875")</f>
        <v>81268875</v>
      </c>
      <c r="F143" s="12" t="s">
        <v>413</v>
      </c>
      <c r="G143" s="9" t="s">
        <v>414</v>
      </c>
      <c r="H143" s="12" t="s">
        <v>415</v>
      </c>
      <c r="I143" s="10">
        <v>45574</v>
      </c>
    </row>
    <row r="144" spans="1:9" x14ac:dyDescent="0.15">
      <c r="A144" s="9">
        <v>143</v>
      </c>
      <c r="B144" s="9" t="s">
        <v>9</v>
      </c>
      <c r="C144" s="9">
        <v>1925</v>
      </c>
      <c r="D144" s="10">
        <v>45715</v>
      </c>
      <c r="E144" s="11" t="str">
        <f>+HYPERLINK("http://trademark.i-assist.jp/data/china/image_1925th/81272021.pdf","81272021")</f>
        <v>81272021</v>
      </c>
      <c r="F144" s="12" t="s">
        <v>410</v>
      </c>
      <c r="G144" s="9" t="s">
        <v>411</v>
      </c>
      <c r="H144" s="9" t="s">
        <v>416</v>
      </c>
      <c r="I144" s="10">
        <v>45574</v>
      </c>
    </row>
    <row r="145" spans="1:9" x14ac:dyDescent="0.15">
      <c r="A145" s="9">
        <v>144</v>
      </c>
      <c r="B145" s="9" t="s">
        <v>9</v>
      </c>
      <c r="C145" s="9">
        <v>1925</v>
      </c>
      <c r="D145" s="10">
        <v>45715</v>
      </c>
      <c r="E145" s="11" t="str">
        <f>+HYPERLINK("http://trademark.i-assist.jp/data/china/image_1925th/81275859.pdf","81275859")</f>
        <v>81275859</v>
      </c>
      <c r="F145" s="9" t="s">
        <v>417</v>
      </c>
      <c r="G145" s="9" t="s">
        <v>418</v>
      </c>
      <c r="H145" s="9" t="s">
        <v>419</v>
      </c>
      <c r="I145" s="10">
        <v>45574</v>
      </c>
    </row>
    <row r="146" spans="1:9" x14ac:dyDescent="0.15">
      <c r="A146" s="9">
        <v>145</v>
      </c>
      <c r="B146" s="9" t="s">
        <v>9</v>
      </c>
      <c r="C146" s="9">
        <v>1925</v>
      </c>
      <c r="D146" s="10">
        <v>45715</v>
      </c>
      <c r="E146" s="11" t="str">
        <f>+HYPERLINK("http://trademark.i-assist.jp/data/china/image_1925th/81280636.pdf","81280636")</f>
        <v>81280636</v>
      </c>
      <c r="F146" s="9" t="s">
        <v>420</v>
      </c>
      <c r="G146" s="12" t="s">
        <v>421</v>
      </c>
      <c r="H146" s="9" t="s">
        <v>422</v>
      </c>
      <c r="I146" s="10">
        <v>45574</v>
      </c>
    </row>
    <row r="147" spans="1:9" x14ac:dyDescent="0.15">
      <c r="A147" s="9">
        <v>146</v>
      </c>
      <c r="B147" s="9" t="s">
        <v>9</v>
      </c>
      <c r="C147" s="9">
        <v>1925</v>
      </c>
      <c r="D147" s="10">
        <v>45715</v>
      </c>
      <c r="E147" s="11" t="str">
        <f>+HYPERLINK("http://trademark.i-assist.jp/data/china/image_1925th/81285766.pdf","81285766")</f>
        <v>81285766</v>
      </c>
      <c r="F147" s="9" t="s">
        <v>423</v>
      </c>
      <c r="G147" s="12" t="s">
        <v>424</v>
      </c>
      <c r="H147" s="12" t="s">
        <v>425</v>
      </c>
      <c r="I147" s="10">
        <v>45575</v>
      </c>
    </row>
    <row r="148" spans="1:9" x14ac:dyDescent="0.15">
      <c r="A148" s="9">
        <v>147</v>
      </c>
      <c r="B148" s="9" t="s">
        <v>9</v>
      </c>
      <c r="C148" s="9">
        <v>1925</v>
      </c>
      <c r="D148" s="10">
        <v>45715</v>
      </c>
      <c r="E148" s="11" t="str">
        <f>+HYPERLINK("http://trademark.i-assist.jp/data/china/image_1925th/81286861.pdf","81286861")</f>
        <v>81286861</v>
      </c>
      <c r="F148" s="9" t="s">
        <v>426</v>
      </c>
      <c r="G148" s="9" t="s">
        <v>427</v>
      </c>
      <c r="H148" s="9" t="s">
        <v>428</v>
      </c>
      <c r="I148" s="10">
        <v>45575</v>
      </c>
    </row>
    <row r="149" spans="1:9" x14ac:dyDescent="0.15">
      <c r="A149" s="9">
        <v>148</v>
      </c>
      <c r="B149" s="9" t="s">
        <v>9</v>
      </c>
      <c r="C149" s="9">
        <v>1925</v>
      </c>
      <c r="D149" s="10">
        <v>45715</v>
      </c>
      <c r="E149" s="11" t="str">
        <f>+HYPERLINK("http://trademark.i-assist.jp/data/china/image_1925th/81287476.pdf","81287476")</f>
        <v>81287476</v>
      </c>
      <c r="F149" s="9" t="s">
        <v>429</v>
      </c>
      <c r="G149" s="12" t="s">
        <v>430</v>
      </c>
      <c r="H149" s="9" t="s">
        <v>431</v>
      </c>
      <c r="I149" s="10">
        <v>45575</v>
      </c>
    </row>
    <row r="150" spans="1:9" x14ac:dyDescent="0.15">
      <c r="A150" s="9">
        <v>149</v>
      </c>
      <c r="B150" s="9" t="s">
        <v>9</v>
      </c>
      <c r="C150" s="9">
        <v>1925</v>
      </c>
      <c r="D150" s="10">
        <v>45715</v>
      </c>
      <c r="E150" s="11" t="str">
        <f>+HYPERLINK("http://trademark.i-assist.jp/data/china/image_1925th/81298419.pdf","81298419")</f>
        <v>81298419</v>
      </c>
      <c r="F150" s="9" t="s">
        <v>432</v>
      </c>
      <c r="G150" s="9" t="s">
        <v>433</v>
      </c>
      <c r="H150" s="9" t="s">
        <v>434</v>
      </c>
      <c r="I150" s="10">
        <v>45575</v>
      </c>
    </row>
    <row r="151" spans="1:9" x14ac:dyDescent="0.15">
      <c r="A151" s="9">
        <v>150</v>
      </c>
      <c r="B151" s="9" t="s">
        <v>9</v>
      </c>
      <c r="C151" s="9">
        <v>1925</v>
      </c>
      <c r="D151" s="10">
        <v>45715</v>
      </c>
      <c r="E151" s="11" t="str">
        <f>+HYPERLINK("http://trademark.i-assist.jp/data/china/image_1925th/81301503.pdf","81301503")</f>
        <v>81301503</v>
      </c>
      <c r="F151" s="9" t="s">
        <v>435</v>
      </c>
      <c r="G151" s="12" t="s">
        <v>424</v>
      </c>
      <c r="H151" s="12" t="s">
        <v>436</v>
      </c>
      <c r="I151" s="10">
        <v>45575</v>
      </c>
    </row>
    <row r="152" spans="1:9" x14ac:dyDescent="0.15">
      <c r="A152" s="9">
        <v>151</v>
      </c>
      <c r="B152" s="9" t="s">
        <v>9</v>
      </c>
      <c r="C152" s="9">
        <v>1925</v>
      </c>
      <c r="D152" s="10">
        <v>45715</v>
      </c>
      <c r="E152" s="11" t="str">
        <f>+HYPERLINK("http://trademark.i-assist.jp/data/china/image_1925th/81308326.pdf","81308326")</f>
        <v>81308326</v>
      </c>
      <c r="F152" s="9" t="s">
        <v>437</v>
      </c>
      <c r="G152" s="12" t="s">
        <v>424</v>
      </c>
      <c r="H152" s="9" t="s">
        <v>438</v>
      </c>
      <c r="I152" s="10">
        <v>45575</v>
      </c>
    </row>
    <row r="153" spans="1:9" x14ac:dyDescent="0.15">
      <c r="A153" s="9">
        <v>152</v>
      </c>
      <c r="B153" s="9" t="s">
        <v>9</v>
      </c>
      <c r="C153" s="9">
        <v>1925</v>
      </c>
      <c r="D153" s="10">
        <v>45715</v>
      </c>
      <c r="E153" s="11" t="str">
        <f>+HYPERLINK("http://trademark.i-assist.jp/data/china/image_1925th/81334396.pdf","81334396")</f>
        <v>81334396</v>
      </c>
      <c r="F153" s="9" t="s">
        <v>439</v>
      </c>
      <c r="G153" s="9" t="s">
        <v>287</v>
      </c>
      <c r="H153" s="9" t="s">
        <v>440</v>
      </c>
      <c r="I153" s="10">
        <v>45577</v>
      </c>
    </row>
    <row r="154" spans="1:9" x14ac:dyDescent="0.15">
      <c r="A154" s="9">
        <v>153</v>
      </c>
      <c r="B154" s="9" t="s">
        <v>9</v>
      </c>
      <c r="C154" s="9">
        <v>1925</v>
      </c>
      <c r="D154" s="10">
        <v>45715</v>
      </c>
      <c r="E154" s="11" t="str">
        <f>+HYPERLINK("http://trademark.i-assist.jp/data/china/image_1925th/81337124.pdf","81337124")</f>
        <v>81337124</v>
      </c>
      <c r="F154" s="9" t="s">
        <v>441</v>
      </c>
      <c r="G154" s="9" t="s">
        <v>287</v>
      </c>
      <c r="H154" s="9" t="s">
        <v>442</v>
      </c>
      <c r="I154" s="10">
        <v>45577</v>
      </c>
    </row>
    <row r="155" spans="1:9" x14ac:dyDescent="0.15">
      <c r="A155" s="9">
        <v>154</v>
      </c>
      <c r="B155" s="9" t="s">
        <v>9</v>
      </c>
      <c r="C155" s="9">
        <v>1925</v>
      </c>
      <c r="D155" s="10">
        <v>45715</v>
      </c>
      <c r="E155" s="11" t="str">
        <f>+HYPERLINK("http://trademark.i-assist.jp/data/china/image_1925th/81337534.pdf","81337534")</f>
        <v>81337534</v>
      </c>
      <c r="F155" s="9" t="s">
        <v>443</v>
      </c>
      <c r="G155" s="9" t="s">
        <v>287</v>
      </c>
      <c r="H155" s="9" t="s">
        <v>444</v>
      </c>
      <c r="I155" s="10">
        <v>45577</v>
      </c>
    </row>
    <row r="156" spans="1:9" x14ac:dyDescent="0.15">
      <c r="A156" s="9">
        <v>155</v>
      </c>
      <c r="B156" s="9" t="s">
        <v>9</v>
      </c>
      <c r="C156" s="9">
        <v>1925</v>
      </c>
      <c r="D156" s="10">
        <v>45715</v>
      </c>
      <c r="E156" s="11" t="str">
        <f>+HYPERLINK("http://trademark.i-assist.jp/data/china/image_1925th/81338792.pdf","81338792")</f>
        <v>81338792</v>
      </c>
      <c r="F156" s="9" t="s">
        <v>445</v>
      </c>
      <c r="G156" s="9" t="s">
        <v>287</v>
      </c>
      <c r="H156" s="12" t="s">
        <v>446</v>
      </c>
      <c r="I156" s="10">
        <v>45577</v>
      </c>
    </row>
    <row r="157" spans="1:9" x14ac:dyDescent="0.15">
      <c r="A157" s="9">
        <v>156</v>
      </c>
      <c r="B157" s="9" t="s">
        <v>9</v>
      </c>
      <c r="C157" s="9">
        <v>1925</v>
      </c>
      <c r="D157" s="10">
        <v>45715</v>
      </c>
      <c r="E157" s="11" t="str">
        <f>+HYPERLINK("http://trademark.i-assist.jp/data/china/image_1925th/81338809.pdf","81338809")</f>
        <v>81338809</v>
      </c>
      <c r="F157" s="9" t="s">
        <v>447</v>
      </c>
      <c r="G157" s="9" t="s">
        <v>448</v>
      </c>
      <c r="H157" s="12" t="s">
        <v>449</v>
      </c>
      <c r="I157" s="10">
        <v>45577</v>
      </c>
    </row>
    <row r="158" spans="1:9" x14ac:dyDescent="0.15">
      <c r="A158" s="9">
        <v>157</v>
      </c>
      <c r="B158" s="9" t="s">
        <v>9</v>
      </c>
      <c r="C158" s="9">
        <v>1925</v>
      </c>
      <c r="D158" s="10">
        <v>45715</v>
      </c>
      <c r="E158" s="11" t="str">
        <f>+HYPERLINK("http://trademark.i-assist.jp/data/china/image_1925th/81339095.pdf","81339095")</f>
        <v>81339095</v>
      </c>
      <c r="F158" s="9" t="s">
        <v>450</v>
      </c>
      <c r="G158" s="9" t="s">
        <v>287</v>
      </c>
      <c r="H158" s="9" t="s">
        <v>451</v>
      </c>
      <c r="I158" s="10">
        <v>45577</v>
      </c>
    </row>
    <row r="159" spans="1:9" x14ac:dyDescent="0.15">
      <c r="A159" s="9">
        <v>158</v>
      </c>
      <c r="B159" s="9" t="s">
        <v>9</v>
      </c>
      <c r="C159" s="9">
        <v>1925</v>
      </c>
      <c r="D159" s="10">
        <v>45715</v>
      </c>
      <c r="E159" s="11" t="str">
        <f>+HYPERLINK("http://trademark.i-assist.jp/data/china/image_1925th/81339109.pdf","81339109")</f>
        <v>81339109</v>
      </c>
      <c r="F159" s="9" t="s">
        <v>452</v>
      </c>
      <c r="G159" s="9" t="s">
        <v>287</v>
      </c>
      <c r="H159" s="12" t="s">
        <v>453</v>
      </c>
      <c r="I159" s="10">
        <v>45577</v>
      </c>
    </row>
    <row r="160" spans="1:9" x14ac:dyDescent="0.15">
      <c r="A160" s="9">
        <v>159</v>
      </c>
      <c r="B160" s="9" t="s">
        <v>9</v>
      </c>
      <c r="C160" s="9">
        <v>1925</v>
      </c>
      <c r="D160" s="10">
        <v>45715</v>
      </c>
      <c r="E160" s="11" t="str">
        <f>+HYPERLINK("http://trademark.i-assist.jp/data/china/image_1925th/81341878.pdf","81341878")</f>
        <v>81341878</v>
      </c>
      <c r="F160" s="9" t="s">
        <v>454</v>
      </c>
      <c r="G160" s="9" t="s">
        <v>287</v>
      </c>
      <c r="H160" s="9" t="s">
        <v>455</v>
      </c>
      <c r="I160" s="10">
        <v>45577</v>
      </c>
    </row>
    <row r="161" spans="1:9" x14ac:dyDescent="0.15">
      <c r="A161" s="9">
        <v>160</v>
      </c>
      <c r="B161" s="9" t="s">
        <v>9</v>
      </c>
      <c r="C161" s="9">
        <v>1925</v>
      </c>
      <c r="D161" s="10">
        <v>45715</v>
      </c>
      <c r="E161" s="11" t="str">
        <f>+HYPERLINK("http://trademark.i-assist.jp/data/china/image_1925th/81342197.pdf","81342197")</f>
        <v>81342197</v>
      </c>
      <c r="F161" s="9" t="s">
        <v>456</v>
      </c>
      <c r="G161" s="9" t="s">
        <v>287</v>
      </c>
      <c r="H161" s="9" t="s">
        <v>457</v>
      </c>
      <c r="I161" s="10">
        <v>45577</v>
      </c>
    </row>
    <row r="162" spans="1:9" x14ac:dyDescent="0.15">
      <c r="A162" s="9">
        <v>161</v>
      </c>
      <c r="B162" s="9" t="s">
        <v>9</v>
      </c>
      <c r="C162" s="9">
        <v>1925</v>
      </c>
      <c r="D162" s="10">
        <v>45715</v>
      </c>
      <c r="E162" s="11" t="str">
        <f>+HYPERLINK("http://trademark.i-assist.jp/data/china/image_1925th/81342211.pdf","81342211")</f>
        <v>81342211</v>
      </c>
      <c r="F162" s="9" t="s">
        <v>458</v>
      </c>
      <c r="G162" s="9" t="s">
        <v>287</v>
      </c>
      <c r="H162" s="9" t="s">
        <v>459</v>
      </c>
      <c r="I162" s="10">
        <v>45577</v>
      </c>
    </row>
    <row r="163" spans="1:9" x14ac:dyDescent="0.15">
      <c r="A163" s="9">
        <v>162</v>
      </c>
      <c r="B163" s="9" t="s">
        <v>9</v>
      </c>
      <c r="C163" s="9">
        <v>1925</v>
      </c>
      <c r="D163" s="10">
        <v>45715</v>
      </c>
      <c r="E163" s="11" t="str">
        <f>+HYPERLINK("http://trademark.i-assist.jp/data/china/image_1925th/81343337.pdf","81343337")</f>
        <v>81343337</v>
      </c>
      <c r="F163" s="9" t="s">
        <v>460</v>
      </c>
      <c r="G163" s="9" t="s">
        <v>287</v>
      </c>
      <c r="H163" s="9" t="s">
        <v>461</v>
      </c>
      <c r="I163" s="10">
        <v>45577</v>
      </c>
    </row>
    <row r="164" spans="1:9" x14ac:dyDescent="0.15">
      <c r="A164" s="9">
        <v>163</v>
      </c>
      <c r="B164" s="9" t="s">
        <v>9</v>
      </c>
      <c r="C164" s="9">
        <v>1925</v>
      </c>
      <c r="D164" s="10">
        <v>45715</v>
      </c>
      <c r="E164" s="11" t="str">
        <f>+HYPERLINK("http://trademark.i-assist.jp/data/china/image_1925th/81345848.pdf","81345848")</f>
        <v>81345848</v>
      </c>
      <c r="F164" s="9" t="s">
        <v>462</v>
      </c>
      <c r="G164" s="9" t="s">
        <v>287</v>
      </c>
      <c r="H164" s="9" t="s">
        <v>463</v>
      </c>
      <c r="I164" s="10">
        <v>45577</v>
      </c>
    </row>
    <row r="165" spans="1:9" x14ac:dyDescent="0.15">
      <c r="A165" s="9">
        <v>164</v>
      </c>
      <c r="B165" s="9" t="s">
        <v>9</v>
      </c>
      <c r="C165" s="9">
        <v>1925</v>
      </c>
      <c r="D165" s="10">
        <v>45715</v>
      </c>
      <c r="E165" s="11" t="str">
        <f>+HYPERLINK("http://trademark.i-assist.jp/data/china/image_1925th/81345867.pdf","81345867")</f>
        <v>81345867</v>
      </c>
      <c r="F165" s="9" t="s">
        <v>464</v>
      </c>
      <c r="G165" s="9" t="s">
        <v>287</v>
      </c>
      <c r="H165" s="12" t="s">
        <v>465</v>
      </c>
      <c r="I165" s="10">
        <v>45577</v>
      </c>
    </row>
    <row r="166" spans="1:9" x14ac:dyDescent="0.15">
      <c r="A166" s="9">
        <v>165</v>
      </c>
      <c r="B166" s="9" t="s">
        <v>9</v>
      </c>
      <c r="C166" s="9">
        <v>1925</v>
      </c>
      <c r="D166" s="10">
        <v>45715</v>
      </c>
      <c r="E166" s="11" t="str">
        <f>+HYPERLINK("http://trademark.i-assist.jp/data/china/image_1925th/81345888.pdf","81345888")</f>
        <v>81345888</v>
      </c>
      <c r="F166" s="9" t="s">
        <v>466</v>
      </c>
      <c r="G166" s="9" t="s">
        <v>448</v>
      </c>
      <c r="H166" s="9" t="s">
        <v>467</v>
      </c>
      <c r="I166" s="10">
        <v>45577</v>
      </c>
    </row>
    <row r="167" spans="1:9" x14ac:dyDescent="0.15">
      <c r="A167" s="9">
        <v>166</v>
      </c>
      <c r="B167" s="9" t="s">
        <v>9</v>
      </c>
      <c r="C167" s="9">
        <v>1925</v>
      </c>
      <c r="D167" s="10">
        <v>45715</v>
      </c>
      <c r="E167" s="11" t="str">
        <f>+HYPERLINK("http://trademark.i-assist.jp/data/china/image_1925th/81351173.pdf","81351173")</f>
        <v>81351173</v>
      </c>
      <c r="F167" s="9" t="s">
        <v>468</v>
      </c>
      <c r="G167" s="9" t="s">
        <v>287</v>
      </c>
      <c r="H167" s="9" t="s">
        <v>469</v>
      </c>
      <c r="I167" s="10">
        <v>45577</v>
      </c>
    </row>
    <row r="168" spans="1:9" x14ac:dyDescent="0.15">
      <c r="A168" s="9">
        <v>167</v>
      </c>
      <c r="B168" s="9" t="s">
        <v>9</v>
      </c>
      <c r="C168" s="9">
        <v>1925</v>
      </c>
      <c r="D168" s="10">
        <v>45715</v>
      </c>
      <c r="E168" s="11" t="str">
        <f>+HYPERLINK("http://trademark.i-assist.jp/data/china/image_1925th/81364942.pdf","81364942")</f>
        <v>81364942</v>
      </c>
      <c r="F168" s="12" t="s">
        <v>57</v>
      </c>
      <c r="G168" s="9" t="s">
        <v>470</v>
      </c>
      <c r="H168" s="12" t="s">
        <v>471</v>
      </c>
      <c r="I168" s="10">
        <v>45579</v>
      </c>
    </row>
    <row r="169" spans="1:9" x14ac:dyDescent="0.15">
      <c r="A169" s="9">
        <v>168</v>
      </c>
      <c r="B169" s="9" t="s">
        <v>9</v>
      </c>
      <c r="C169" s="9">
        <v>1925</v>
      </c>
      <c r="D169" s="10">
        <v>45715</v>
      </c>
      <c r="E169" s="11" t="str">
        <f>+HYPERLINK("http://trademark.i-assist.jp/data/china/image_1925th/81370587.pdf","81370587")</f>
        <v>81370587</v>
      </c>
      <c r="F169" s="9" t="s">
        <v>472</v>
      </c>
      <c r="G169" s="12" t="s">
        <v>473</v>
      </c>
      <c r="H169" s="9" t="s">
        <v>474</v>
      </c>
      <c r="I169" s="10">
        <v>45579</v>
      </c>
    </row>
    <row r="170" spans="1:9" x14ac:dyDescent="0.15">
      <c r="A170" s="9">
        <v>169</v>
      </c>
      <c r="B170" s="9" t="s">
        <v>9</v>
      </c>
      <c r="C170" s="9">
        <v>1925</v>
      </c>
      <c r="D170" s="10">
        <v>45715</v>
      </c>
      <c r="E170" s="11" t="str">
        <f>+HYPERLINK("http://trademark.i-assist.jp/data/china/image_1925th/81371660.pdf","81371660")</f>
        <v>81371660</v>
      </c>
      <c r="F170" s="9" t="s">
        <v>475</v>
      </c>
      <c r="G170" s="12" t="s">
        <v>476</v>
      </c>
      <c r="H170" s="9" t="s">
        <v>477</v>
      </c>
      <c r="I170" s="10">
        <v>45579</v>
      </c>
    </row>
    <row r="171" spans="1:9" x14ac:dyDescent="0.15">
      <c r="A171" s="9">
        <v>170</v>
      </c>
      <c r="B171" s="9" t="s">
        <v>9</v>
      </c>
      <c r="C171" s="9">
        <v>1925</v>
      </c>
      <c r="D171" s="10">
        <v>45715</v>
      </c>
      <c r="E171" s="11" t="str">
        <f>+HYPERLINK("http://trademark.i-assist.jp/data/china/image_1925th/81373197.pdf","81373197")</f>
        <v>81373197</v>
      </c>
      <c r="F171" s="12" t="s">
        <v>57</v>
      </c>
      <c r="G171" s="9" t="s">
        <v>470</v>
      </c>
      <c r="H171" s="12" t="s">
        <v>478</v>
      </c>
      <c r="I171" s="10">
        <v>45579</v>
      </c>
    </row>
    <row r="172" spans="1:9" x14ac:dyDescent="0.15">
      <c r="A172" s="9">
        <v>171</v>
      </c>
      <c r="B172" s="9" t="s">
        <v>9</v>
      </c>
      <c r="C172" s="9">
        <v>1925</v>
      </c>
      <c r="D172" s="10">
        <v>45715</v>
      </c>
      <c r="E172" s="11" t="str">
        <f>+HYPERLINK("http://trademark.i-assist.jp/data/china/image_1925th/81375003.pdf","81375003")</f>
        <v>81375003</v>
      </c>
      <c r="F172" s="9" t="s">
        <v>479</v>
      </c>
      <c r="G172" s="9" t="s">
        <v>480</v>
      </c>
      <c r="H172" s="9" t="s">
        <v>481</v>
      </c>
      <c r="I172" s="10">
        <v>45579</v>
      </c>
    </row>
    <row r="173" spans="1:9" x14ac:dyDescent="0.15">
      <c r="A173" s="9">
        <v>172</v>
      </c>
      <c r="B173" s="9" t="s">
        <v>9</v>
      </c>
      <c r="C173" s="9">
        <v>1925</v>
      </c>
      <c r="D173" s="10">
        <v>45715</v>
      </c>
      <c r="E173" s="11" t="str">
        <f>+HYPERLINK("http://trademark.i-assist.jp/data/china/image_1925th/81380159.pdf","81380159")</f>
        <v>81380159</v>
      </c>
      <c r="F173" s="9" t="s">
        <v>482</v>
      </c>
      <c r="G173" s="12" t="s">
        <v>476</v>
      </c>
      <c r="H173" s="9" t="s">
        <v>483</v>
      </c>
      <c r="I173" s="10">
        <v>45579</v>
      </c>
    </row>
    <row r="174" spans="1:9" x14ac:dyDescent="0.15">
      <c r="A174" s="9">
        <v>173</v>
      </c>
      <c r="B174" s="9" t="s">
        <v>9</v>
      </c>
      <c r="C174" s="9">
        <v>1925</v>
      </c>
      <c r="D174" s="10">
        <v>45715</v>
      </c>
      <c r="E174" s="11" t="str">
        <f>+HYPERLINK("http://trademark.i-assist.jp/data/china/image_1925th/81384504.pdf","81384504")</f>
        <v>81384504</v>
      </c>
      <c r="F174" s="9" t="s">
        <v>484</v>
      </c>
      <c r="G174" s="9" t="s">
        <v>485</v>
      </c>
      <c r="H174" s="12" t="s">
        <v>486</v>
      </c>
      <c r="I174" s="10">
        <v>45580</v>
      </c>
    </row>
    <row r="175" spans="1:9" x14ac:dyDescent="0.15">
      <c r="A175" s="9">
        <v>174</v>
      </c>
      <c r="B175" s="9" t="s">
        <v>9</v>
      </c>
      <c r="C175" s="9">
        <v>1925</v>
      </c>
      <c r="D175" s="10">
        <v>45715</v>
      </c>
      <c r="E175" s="11" t="str">
        <f>+HYPERLINK("http://trademark.i-assist.jp/data/china/image_1925th/81384918.pdf","81384918")</f>
        <v>81384918</v>
      </c>
      <c r="F175" s="9" t="s">
        <v>487</v>
      </c>
      <c r="G175" s="9" t="s">
        <v>488</v>
      </c>
      <c r="H175" s="9" t="s">
        <v>489</v>
      </c>
      <c r="I175" s="10">
        <v>45580</v>
      </c>
    </row>
    <row r="176" spans="1:9" x14ac:dyDescent="0.15">
      <c r="A176" s="9">
        <v>175</v>
      </c>
      <c r="B176" s="9" t="s">
        <v>9</v>
      </c>
      <c r="C176" s="9">
        <v>1925</v>
      </c>
      <c r="D176" s="10">
        <v>45715</v>
      </c>
      <c r="E176" s="11" t="str">
        <f>+HYPERLINK("http://trademark.i-assist.jp/data/china/image_1925th/81392778.pdf","81392778")</f>
        <v>81392778</v>
      </c>
      <c r="F176" s="9" t="s">
        <v>490</v>
      </c>
      <c r="G176" s="9" t="s">
        <v>491</v>
      </c>
      <c r="H176" s="9" t="s">
        <v>492</v>
      </c>
      <c r="I176" s="10">
        <v>45580</v>
      </c>
    </row>
    <row r="177" spans="1:9" x14ac:dyDescent="0.15">
      <c r="A177" s="9">
        <v>176</v>
      </c>
      <c r="B177" s="9" t="s">
        <v>9</v>
      </c>
      <c r="C177" s="9">
        <v>1925</v>
      </c>
      <c r="D177" s="10">
        <v>45715</v>
      </c>
      <c r="E177" s="11" t="str">
        <f>+HYPERLINK("http://trademark.i-assist.jp/data/china/image_1925th/81395641.pdf","81395641")</f>
        <v>81395641</v>
      </c>
      <c r="F177" s="9" t="s">
        <v>493</v>
      </c>
      <c r="G177" s="9" t="s">
        <v>494</v>
      </c>
      <c r="H177" s="9" t="s">
        <v>495</v>
      </c>
      <c r="I177" s="10">
        <v>45580</v>
      </c>
    </row>
    <row r="178" spans="1:9" x14ac:dyDescent="0.15">
      <c r="A178" s="9">
        <v>177</v>
      </c>
      <c r="B178" s="9" t="s">
        <v>9</v>
      </c>
      <c r="C178" s="9">
        <v>1925</v>
      </c>
      <c r="D178" s="10">
        <v>45715</v>
      </c>
      <c r="E178" s="11" t="str">
        <f>+HYPERLINK("http://trademark.i-assist.jp/data/china/image_1925th/81410736.pdf","81410736")</f>
        <v>81410736</v>
      </c>
      <c r="F178" s="9" t="s">
        <v>496</v>
      </c>
      <c r="G178" s="9" t="s">
        <v>497</v>
      </c>
      <c r="H178" s="9" t="s">
        <v>498</v>
      </c>
      <c r="I178" s="10">
        <v>45581</v>
      </c>
    </row>
    <row r="179" spans="1:9" x14ac:dyDescent="0.15">
      <c r="A179" s="9">
        <v>178</v>
      </c>
      <c r="B179" s="9" t="s">
        <v>9</v>
      </c>
      <c r="C179" s="9">
        <v>1925</v>
      </c>
      <c r="D179" s="10">
        <v>45715</v>
      </c>
      <c r="E179" s="11" t="str">
        <f>+HYPERLINK("http://trademark.i-assist.jp/data/china/image_1925th/81415880.pdf","81415880")</f>
        <v>81415880</v>
      </c>
      <c r="F179" s="9" t="s">
        <v>499</v>
      </c>
      <c r="G179" s="12" t="s">
        <v>500</v>
      </c>
      <c r="H179" s="9" t="s">
        <v>501</v>
      </c>
      <c r="I179" s="10">
        <v>45581</v>
      </c>
    </row>
    <row r="180" spans="1:9" x14ac:dyDescent="0.15">
      <c r="A180" s="9">
        <v>179</v>
      </c>
      <c r="B180" s="9" t="s">
        <v>9</v>
      </c>
      <c r="C180" s="9">
        <v>1925</v>
      </c>
      <c r="D180" s="10">
        <v>45715</v>
      </c>
      <c r="E180" s="11" t="str">
        <f>+HYPERLINK("http://trademark.i-assist.jp/data/china/image_1925th/81423511.pdf","81423511")</f>
        <v>81423511</v>
      </c>
      <c r="F180" s="9" t="s">
        <v>502</v>
      </c>
      <c r="G180" s="9" t="s">
        <v>503</v>
      </c>
      <c r="H180" s="12" t="s">
        <v>504</v>
      </c>
      <c r="I180" s="10">
        <v>45581</v>
      </c>
    </row>
    <row r="181" spans="1:9" x14ac:dyDescent="0.15">
      <c r="A181" s="9">
        <v>180</v>
      </c>
      <c r="B181" s="9" t="s">
        <v>9</v>
      </c>
      <c r="C181" s="9">
        <v>1925</v>
      </c>
      <c r="D181" s="10">
        <v>45715</v>
      </c>
      <c r="E181" s="11" t="str">
        <f>+HYPERLINK("http://trademark.i-assist.jp/data/china/image_1925th/81425373.pdf","81425373")</f>
        <v>81425373</v>
      </c>
      <c r="F181" s="9" t="s">
        <v>505</v>
      </c>
      <c r="G181" s="12" t="s">
        <v>506</v>
      </c>
      <c r="H181" s="9" t="s">
        <v>507</v>
      </c>
      <c r="I181" s="10">
        <v>45581</v>
      </c>
    </row>
    <row r="182" spans="1:9" x14ac:dyDescent="0.15">
      <c r="A182" s="9">
        <v>181</v>
      </c>
      <c r="B182" s="9" t="s">
        <v>9</v>
      </c>
      <c r="C182" s="9">
        <v>1925</v>
      </c>
      <c r="D182" s="10">
        <v>45715</v>
      </c>
      <c r="E182" s="11" t="str">
        <f>+HYPERLINK("http://trademark.i-assist.jp/data/china/image_1925th/81428977.pdf","81428977")</f>
        <v>81428977</v>
      </c>
      <c r="F182" s="9" t="s">
        <v>508</v>
      </c>
      <c r="G182" s="9" t="s">
        <v>509</v>
      </c>
      <c r="H182" s="9" t="s">
        <v>510</v>
      </c>
      <c r="I182" s="10">
        <v>45581</v>
      </c>
    </row>
    <row r="183" spans="1:9" x14ac:dyDescent="0.15">
      <c r="A183" s="9">
        <v>182</v>
      </c>
      <c r="B183" s="9" t="s">
        <v>9</v>
      </c>
      <c r="C183" s="9">
        <v>1925</v>
      </c>
      <c r="D183" s="10">
        <v>45715</v>
      </c>
      <c r="E183" s="11" t="str">
        <f>+HYPERLINK("http://trademark.i-assist.jp/data/china/image_1925th/81453691.pdf","81453691")</f>
        <v>81453691</v>
      </c>
      <c r="F183" s="9" t="s">
        <v>511</v>
      </c>
      <c r="G183" s="9" t="s">
        <v>512</v>
      </c>
      <c r="H183" s="9" t="s">
        <v>513</v>
      </c>
      <c r="I183" s="10">
        <v>45583</v>
      </c>
    </row>
    <row r="184" spans="1:9" x14ac:dyDescent="0.15">
      <c r="A184" s="9">
        <v>183</v>
      </c>
      <c r="B184" s="9" t="s">
        <v>9</v>
      </c>
      <c r="C184" s="9">
        <v>1925</v>
      </c>
      <c r="D184" s="10">
        <v>45715</v>
      </c>
      <c r="E184" s="11" t="str">
        <f>+HYPERLINK("http://trademark.i-assist.jp/data/china/image_1925th/81467706.pdf","81467706")</f>
        <v>81467706</v>
      </c>
      <c r="F184" s="9" t="s">
        <v>514</v>
      </c>
      <c r="G184" s="12" t="s">
        <v>515</v>
      </c>
      <c r="H184" s="9" t="s">
        <v>516</v>
      </c>
      <c r="I184" s="10">
        <v>45583</v>
      </c>
    </row>
    <row r="185" spans="1:9" x14ac:dyDescent="0.15">
      <c r="A185" s="9">
        <v>184</v>
      </c>
      <c r="B185" s="9" t="s">
        <v>9</v>
      </c>
      <c r="C185" s="9">
        <v>1925</v>
      </c>
      <c r="D185" s="10">
        <v>45715</v>
      </c>
      <c r="E185" s="11" t="str">
        <f>+HYPERLINK("http://trademark.i-assist.jp/data/china/image_1925th/81472269.pdf","81472269")</f>
        <v>81472269</v>
      </c>
      <c r="F185" s="9" t="s">
        <v>517</v>
      </c>
      <c r="G185" s="9" t="s">
        <v>518</v>
      </c>
      <c r="H185" s="9" t="s">
        <v>519</v>
      </c>
      <c r="I185" s="10">
        <v>45583</v>
      </c>
    </row>
    <row r="186" spans="1:9" x14ac:dyDescent="0.15">
      <c r="A186" s="9">
        <v>185</v>
      </c>
      <c r="B186" s="9" t="s">
        <v>9</v>
      </c>
      <c r="C186" s="9">
        <v>1925</v>
      </c>
      <c r="D186" s="10">
        <v>45715</v>
      </c>
      <c r="E186" s="11" t="str">
        <f>+HYPERLINK("http://trademark.i-assist.jp/data/china/image_1925th/81472436.pdf","81472436")</f>
        <v>81472436</v>
      </c>
      <c r="F186" s="9" t="s">
        <v>520</v>
      </c>
      <c r="G186" s="9" t="s">
        <v>521</v>
      </c>
      <c r="H186" s="12" t="s">
        <v>522</v>
      </c>
      <c r="I186" s="10">
        <v>45583</v>
      </c>
    </row>
    <row r="187" spans="1:9" x14ac:dyDescent="0.15">
      <c r="A187" s="9">
        <v>186</v>
      </c>
      <c r="B187" s="9" t="s">
        <v>9</v>
      </c>
      <c r="C187" s="9">
        <v>1925</v>
      </c>
      <c r="D187" s="10">
        <v>45715</v>
      </c>
      <c r="E187" s="11" t="str">
        <f>+HYPERLINK("http://trademark.i-assist.jp/data/china/image_1925th/81475584.pdf","81475584")</f>
        <v>81475584</v>
      </c>
      <c r="F187" s="9" t="s">
        <v>523</v>
      </c>
      <c r="G187" s="9" t="s">
        <v>524</v>
      </c>
      <c r="H187" s="9" t="s">
        <v>525</v>
      </c>
      <c r="I187" s="10">
        <v>45583</v>
      </c>
    </row>
    <row r="188" spans="1:9" x14ac:dyDescent="0.15">
      <c r="A188" s="9">
        <v>187</v>
      </c>
      <c r="B188" s="9" t="s">
        <v>9</v>
      </c>
      <c r="C188" s="9">
        <v>1925</v>
      </c>
      <c r="D188" s="10">
        <v>45715</v>
      </c>
      <c r="E188" s="11" t="str">
        <f>+HYPERLINK("http://trademark.i-assist.jp/data/china/image_1925th/81479583.pdf","81479583")</f>
        <v>81479583</v>
      </c>
      <c r="F188" s="9" t="s">
        <v>526</v>
      </c>
      <c r="G188" s="9" t="s">
        <v>527</v>
      </c>
      <c r="H188" s="9" t="s">
        <v>528</v>
      </c>
      <c r="I188" s="10">
        <v>45584</v>
      </c>
    </row>
    <row r="189" spans="1:9" x14ac:dyDescent="0.15">
      <c r="A189" s="9">
        <v>188</v>
      </c>
      <c r="B189" s="9" t="s">
        <v>9</v>
      </c>
      <c r="C189" s="9">
        <v>1925</v>
      </c>
      <c r="D189" s="10">
        <v>45715</v>
      </c>
      <c r="E189" s="11" t="str">
        <f>+HYPERLINK("http://trademark.i-assist.jp/data/china/image_1925th/81496887.pdf","81496887")</f>
        <v>81496887</v>
      </c>
      <c r="F189" s="9" t="s">
        <v>529</v>
      </c>
      <c r="G189" s="9" t="s">
        <v>530</v>
      </c>
      <c r="H189" s="9" t="s">
        <v>531</v>
      </c>
      <c r="I189" s="10">
        <v>45586</v>
      </c>
    </row>
    <row r="190" spans="1:9" x14ac:dyDescent="0.15">
      <c r="A190" s="9">
        <v>189</v>
      </c>
      <c r="B190" s="9" t="s">
        <v>9</v>
      </c>
      <c r="C190" s="9">
        <v>1925</v>
      </c>
      <c r="D190" s="10">
        <v>45715</v>
      </c>
      <c r="E190" s="11" t="str">
        <f>+HYPERLINK("http://trademark.i-assist.jp/data/china/image_1925th/81505427.pdf","81505427")</f>
        <v>81505427</v>
      </c>
      <c r="F190" s="9" t="s">
        <v>532</v>
      </c>
      <c r="G190" s="9" t="s">
        <v>530</v>
      </c>
      <c r="H190" s="9" t="s">
        <v>533</v>
      </c>
      <c r="I190" s="10">
        <v>45586</v>
      </c>
    </row>
    <row r="191" spans="1:9" x14ac:dyDescent="0.15">
      <c r="A191" s="9">
        <v>190</v>
      </c>
      <c r="B191" s="9" t="s">
        <v>9</v>
      </c>
      <c r="C191" s="9">
        <v>1925</v>
      </c>
      <c r="D191" s="10">
        <v>45715</v>
      </c>
      <c r="E191" s="11" t="str">
        <f>+HYPERLINK("http://trademark.i-assist.jp/data/china/image_1925th/81509847.pdf","81509847")</f>
        <v>81509847</v>
      </c>
      <c r="F191" s="9" t="s">
        <v>534</v>
      </c>
      <c r="G191" s="12" t="s">
        <v>535</v>
      </c>
      <c r="H191" s="9" t="s">
        <v>536</v>
      </c>
      <c r="I191" s="10">
        <v>45587</v>
      </c>
    </row>
    <row r="192" spans="1:9" x14ac:dyDescent="0.15">
      <c r="A192" s="9">
        <v>191</v>
      </c>
      <c r="B192" s="9" t="s">
        <v>9</v>
      </c>
      <c r="C192" s="9">
        <v>1925</v>
      </c>
      <c r="D192" s="10">
        <v>45715</v>
      </c>
      <c r="E192" s="11" t="str">
        <f>+HYPERLINK("http://trademark.i-assist.jp/data/china/image_1925th/81515464.pdf","81515464")</f>
        <v>81515464</v>
      </c>
      <c r="F192" s="9" t="s">
        <v>537</v>
      </c>
      <c r="G192" s="9" t="s">
        <v>538</v>
      </c>
      <c r="H192" s="9" t="s">
        <v>539</v>
      </c>
      <c r="I192" s="10">
        <v>45587</v>
      </c>
    </row>
    <row r="193" spans="1:9" x14ac:dyDescent="0.15">
      <c r="A193" s="9">
        <v>192</v>
      </c>
      <c r="B193" s="9" t="s">
        <v>9</v>
      </c>
      <c r="C193" s="9">
        <v>1925</v>
      </c>
      <c r="D193" s="10">
        <v>45715</v>
      </c>
      <c r="E193" s="11" t="str">
        <f>+HYPERLINK("http://trademark.i-assist.jp/data/china/image_1925th/81516512.pdf","81516512")</f>
        <v>81516512</v>
      </c>
      <c r="F193" s="9" t="s">
        <v>540</v>
      </c>
      <c r="G193" s="9" t="s">
        <v>541</v>
      </c>
      <c r="H193" s="9" t="s">
        <v>542</v>
      </c>
      <c r="I193" s="10">
        <v>45587</v>
      </c>
    </row>
    <row r="194" spans="1:9" x14ac:dyDescent="0.15">
      <c r="A194" s="9">
        <v>193</v>
      </c>
      <c r="B194" s="9" t="s">
        <v>9</v>
      </c>
      <c r="C194" s="9">
        <v>1925</v>
      </c>
      <c r="D194" s="10">
        <v>45715</v>
      </c>
      <c r="E194" s="11" t="str">
        <f>+HYPERLINK("http://trademark.i-assist.jp/data/china/image_1925th/81523333.pdf","81523333")</f>
        <v>81523333</v>
      </c>
      <c r="F194" s="13" t="s">
        <v>543</v>
      </c>
      <c r="G194" s="9" t="s">
        <v>544</v>
      </c>
      <c r="H194" s="12" t="s">
        <v>545</v>
      </c>
      <c r="I194" s="10">
        <v>45587</v>
      </c>
    </row>
    <row r="195" spans="1:9" x14ac:dyDescent="0.15">
      <c r="A195" s="9">
        <v>194</v>
      </c>
      <c r="B195" s="9" t="s">
        <v>9</v>
      </c>
      <c r="C195" s="9">
        <v>1925</v>
      </c>
      <c r="D195" s="10">
        <v>45715</v>
      </c>
      <c r="E195" s="11" t="str">
        <f>+HYPERLINK("http://trademark.i-assist.jp/data/china/image_1925th/81530860.pdf","81530860")</f>
        <v>81530860</v>
      </c>
      <c r="F195" s="9" t="s">
        <v>546</v>
      </c>
      <c r="G195" s="9" t="s">
        <v>547</v>
      </c>
      <c r="H195" s="12" t="s">
        <v>548</v>
      </c>
      <c r="I195" s="10">
        <v>45587</v>
      </c>
    </row>
    <row r="196" spans="1:9" x14ac:dyDescent="0.15">
      <c r="A196" s="9">
        <v>195</v>
      </c>
      <c r="B196" s="9" t="s">
        <v>9</v>
      </c>
      <c r="C196" s="9">
        <v>1925</v>
      </c>
      <c r="D196" s="10">
        <v>45715</v>
      </c>
      <c r="E196" s="11" t="str">
        <f>+HYPERLINK("http://trademark.i-assist.jp/data/china/image_1925th/81540661.pdf","81540661")</f>
        <v>81540661</v>
      </c>
      <c r="F196" s="9" t="s">
        <v>549</v>
      </c>
      <c r="G196" s="12" t="s">
        <v>550</v>
      </c>
      <c r="H196" s="9" t="s">
        <v>551</v>
      </c>
      <c r="I196" s="10">
        <v>45588</v>
      </c>
    </row>
    <row r="197" spans="1:9" x14ac:dyDescent="0.15">
      <c r="A197" s="9">
        <v>196</v>
      </c>
      <c r="B197" s="9" t="s">
        <v>9</v>
      </c>
      <c r="C197" s="9">
        <v>1925</v>
      </c>
      <c r="D197" s="10">
        <v>45715</v>
      </c>
      <c r="E197" s="11" t="str">
        <f>+HYPERLINK("http://trademark.i-assist.jp/data/china/image_1925th/81546221.pdf","81546221")</f>
        <v>81546221</v>
      </c>
      <c r="F197" s="9" t="s">
        <v>552</v>
      </c>
      <c r="G197" s="12" t="s">
        <v>553</v>
      </c>
      <c r="H197" s="9" t="s">
        <v>554</v>
      </c>
      <c r="I197" s="10">
        <v>45588</v>
      </c>
    </row>
    <row r="198" spans="1:9" x14ac:dyDescent="0.15">
      <c r="A198" s="9">
        <v>197</v>
      </c>
      <c r="B198" s="9" t="s">
        <v>9</v>
      </c>
      <c r="C198" s="9">
        <v>1925</v>
      </c>
      <c r="D198" s="10">
        <v>45715</v>
      </c>
      <c r="E198" s="11" t="str">
        <f>+HYPERLINK("http://trademark.i-assist.jp/data/china/image_1925th/81548610.pdf","81548610")</f>
        <v>81548610</v>
      </c>
      <c r="F198" s="12" t="s">
        <v>57</v>
      </c>
      <c r="G198" s="9" t="s">
        <v>555</v>
      </c>
      <c r="H198" s="9" t="s">
        <v>556</v>
      </c>
      <c r="I198" s="10">
        <v>45588</v>
      </c>
    </row>
    <row r="199" spans="1:9" x14ac:dyDescent="0.15">
      <c r="A199" s="9">
        <v>198</v>
      </c>
      <c r="B199" s="9" t="s">
        <v>9</v>
      </c>
      <c r="C199" s="9">
        <v>1925</v>
      </c>
      <c r="D199" s="10">
        <v>45715</v>
      </c>
      <c r="E199" s="11" t="str">
        <f>+HYPERLINK("http://trademark.i-assist.jp/data/china/image_1925th/81568083.pdf","81568083")</f>
        <v>81568083</v>
      </c>
      <c r="F199" s="9" t="s">
        <v>557</v>
      </c>
      <c r="G199" s="9" t="s">
        <v>558</v>
      </c>
      <c r="H199" s="9" t="s">
        <v>559</v>
      </c>
      <c r="I199" s="10">
        <v>45589</v>
      </c>
    </row>
    <row r="200" spans="1:9" x14ac:dyDescent="0.15">
      <c r="A200" s="9">
        <v>199</v>
      </c>
      <c r="B200" s="9" t="s">
        <v>9</v>
      </c>
      <c r="C200" s="9">
        <v>1925</v>
      </c>
      <c r="D200" s="10">
        <v>45715</v>
      </c>
      <c r="E200" s="11" t="str">
        <f>+HYPERLINK("http://trademark.i-assist.jp/data/china/image_1925th/81571249.pdf","81571249")</f>
        <v>81571249</v>
      </c>
      <c r="F200" s="9" t="s">
        <v>560</v>
      </c>
      <c r="G200" s="9" t="s">
        <v>561</v>
      </c>
      <c r="H200" s="9" t="s">
        <v>562</v>
      </c>
      <c r="I200" s="10">
        <v>45589</v>
      </c>
    </row>
    <row r="201" spans="1:9" x14ac:dyDescent="0.15">
      <c r="A201" s="9">
        <v>200</v>
      </c>
      <c r="B201" s="9" t="s">
        <v>9</v>
      </c>
      <c r="C201" s="9">
        <v>1925</v>
      </c>
      <c r="D201" s="10">
        <v>45715</v>
      </c>
      <c r="E201" s="11" t="str">
        <f>+HYPERLINK("http://trademark.i-assist.jp/data/china/image_1925th/81575578.pdf","81575578")</f>
        <v>81575578</v>
      </c>
      <c r="F201" s="9" t="s">
        <v>563</v>
      </c>
      <c r="G201" s="9" t="s">
        <v>561</v>
      </c>
      <c r="H201" s="9" t="s">
        <v>564</v>
      </c>
      <c r="I201" s="10">
        <v>45589</v>
      </c>
    </row>
    <row r="202" spans="1:9" x14ac:dyDescent="0.15">
      <c r="A202" s="9">
        <v>201</v>
      </c>
      <c r="B202" s="9" t="s">
        <v>9</v>
      </c>
      <c r="C202" s="9">
        <v>1925</v>
      </c>
      <c r="D202" s="10">
        <v>45715</v>
      </c>
      <c r="E202" s="11" t="str">
        <f>+HYPERLINK("http://trademark.i-assist.jp/data/china/image_1925th/81575905.pdf","81575905")</f>
        <v>81575905</v>
      </c>
      <c r="F202" s="9" t="s">
        <v>565</v>
      </c>
      <c r="G202" s="9" t="s">
        <v>566</v>
      </c>
      <c r="H202" s="9" t="s">
        <v>567</v>
      </c>
      <c r="I202" s="10">
        <v>45589</v>
      </c>
    </row>
    <row r="203" spans="1:9" x14ac:dyDescent="0.15">
      <c r="A203" s="9">
        <v>202</v>
      </c>
      <c r="B203" s="9" t="s">
        <v>9</v>
      </c>
      <c r="C203" s="9">
        <v>1925</v>
      </c>
      <c r="D203" s="10">
        <v>45715</v>
      </c>
      <c r="E203" s="11" t="str">
        <f>+HYPERLINK("http://trademark.i-assist.jp/data/china/image_1925th/81590001.pdf","81590001")</f>
        <v>81590001</v>
      </c>
      <c r="F203" s="12" t="s">
        <v>57</v>
      </c>
      <c r="G203" s="9" t="s">
        <v>568</v>
      </c>
      <c r="H203" s="9" t="s">
        <v>569</v>
      </c>
      <c r="I203" s="10">
        <v>45590</v>
      </c>
    </row>
    <row r="204" spans="1:9" x14ac:dyDescent="0.15">
      <c r="A204" s="9">
        <v>203</v>
      </c>
      <c r="B204" s="9" t="s">
        <v>9</v>
      </c>
      <c r="C204" s="9">
        <v>1925</v>
      </c>
      <c r="D204" s="10">
        <v>45715</v>
      </c>
      <c r="E204" s="11" t="str">
        <f>+HYPERLINK("http://trademark.i-assist.jp/data/china/image_1925th/81591744.pdf","81591744")</f>
        <v>81591744</v>
      </c>
      <c r="F204" s="12" t="s">
        <v>570</v>
      </c>
      <c r="G204" s="12" t="s">
        <v>571</v>
      </c>
      <c r="H204" s="9" t="s">
        <v>572</v>
      </c>
      <c r="I204" s="10">
        <v>45590</v>
      </c>
    </row>
    <row r="205" spans="1:9" x14ac:dyDescent="0.15">
      <c r="A205" s="9">
        <v>204</v>
      </c>
      <c r="B205" s="9" t="s">
        <v>9</v>
      </c>
      <c r="C205" s="9">
        <v>1925</v>
      </c>
      <c r="D205" s="10">
        <v>45715</v>
      </c>
      <c r="E205" s="11" t="str">
        <f>+HYPERLINK("http://trademark.i-assist.jp/data/china/image_1925th/81594198.pdf","81594198")</f>
        <v>81594198</v>
      </c>
      <c r="F205" s="9" t="s">
        <v>573</v>
      </c>
      <c r="G205" s="9" t="s">
        <v>574</v>
      </c>
      <c r="H205" s="9" t="s">
        <v>575</v>
      </c>
      <c r="I205" s="10">
        <v>45590</v>
      </c>
    </row>
    <row r="206" spans="1:9" x14ac:dyDescent="0.15">
      <c r="A206" s="9">
        <v>205</v>
      </c>
      <c r="B206" s="9" t="s">
        <v>9</v>
      </c>
      <c r="C206" s="9">
        <v>1925</v>
      </c>
      <c r="D206" s="10">
        <v>45715</v>
      </c>
      <c r="E206" s="11" t="str">
        <f>+HYPERLINK("http://trademark.i-assist.jp/data/china/image_1925th/81598489.pdf","81598489")</f>
        <v>81598489</v>
      </c>
      <c r="F206" s="9" t="s">
        <v>576</v>
      </c>
      <c r="G206" s="9" t="s">
        <v>577</v>
      </c>
      <c r="H206" s="9" t="s">
        <v>578</v>
      </c>
      <c r="I206" s="10">
        <v>45590</v>
      </c>
    </row>
    <row r="207" spans="1:9" x14ac:dyDescent="0.15">
      <c r="A207" s="9">
        <v>206</v>
      </c>
      <c r="B207" s="9" t="s">
        <v>9</v>
      </c>
      <c r="C207" s="9">
        <v>1925</v>
      </c>
      <c r="D207" s="10">
        <v>45715</v>
      </c>
      <c r="E207" s="11" t="str">
        <f>+HYPERLINK("http://trademark.i-assist.jp/data/china/image_1925th/81608550.pdf","81608550")</f>
        <v>81608550</v>
      </c>
      <c r="F207" s="9" t="s">
        <v>579</v>
      </c>
      <c r="G207" s="9" t="s">
        <v>580</v>
      </c>
      <c r="H207" s="9" t="s">
        <v>581</v>
      </c>
      <c r="I207" s="10">
        <v>45591</v>
      </c>
    </row>
    <row r="208" spans="1:9" x14ac:dyDescent="0.15">
      <c r="A208" s="9">
        <v>207</v>
      </c>
      <c r="B208" s="9" t="s">
        <v>9</v>
      </c>
      <c r="C208" s="9">
        <v>1925</v>
      </c>
      <c r="D208" s="10">
        <v>45715</v>
      </c>
      <c r="E208" s="11" t="str">
        <f>+HYPERLINK("http://trademark.i-assist.jp/data/china/image_1925th/81619449.pdf","81619449")</f>
        <v>81619449</v>
      </c>
      <c r="F208" s="9" t="s">
        <v>582</v>
      </c>
      <c r="G208" s="9" t="s">
        <v>287</v>
      </c>
      <c r="H208" s="9" t="s">
        <v>583</v>
      </c>
      <c r="I208" s="10">
        <v>45593</v>
      </c>
    </row>
    <row r="209" spans="1:9" x14ac:dyDescent="0.15">
      <c r="A209" s="9">
        <v>208</v>
      </c>
      <c r="B209" s="9" t="s">
        <v>9</v>
      </c>
      <c r="C209" s="9">
        <v>1925</v>
      </c>
      <c r="D209" s="10">
        <v>45715</v>
      </c>
      <c r="E209" s="11" t="str">
        <f>+HYPERLINK("http://trademark.i-assist.jp/data/china/image_1925th/81620744.pdf","81620744")</f>
        <v>81620744</v>
      </c>
      <c r="F209" s="12" t="s">
        <v>584</v>
      </c>
      <c r="G209" s="9" t="s">
        <v>585</v>
      </c>
      <c r="H209" s="9" t="s">
        <v>586</v>
      </c>
      <c r="I209" s="10">
        <v>45593</v>
      </c>
    </row>
    <row r="210" spans="1:9" x14ac:dyDescent="0.15">
      <c r="A210" s="9">
        <v>209</v>
      </c>
      <c r="B210" s="9" t="s">
        <v>9</v>
      </c>
      <c r="C210" s="9">
        <v>1925</v>
      </c>
      <c r="D210" s="10">
        <v>45715</v>
      </c>
      <c r="E210" s="11" t="str">
        <f>+HYPERLINK("http://trademark.i-assist.jp/data/china/image_1925th/81623693.pdf","81623693")</f>
        <v>81623693</v>
      </c>
      <c r="F210" s="9" t="s">
        <v>587</v>
      </c>
      <c r="G210" s="9" t="s">
        <v>588</v>
      </c>
      <c r="H210" s="12" t="s">
        <v>589</v>
      </c>
      <c r="I210" s="10">
        <v>45593</v>
      </c>
    </row>
    <row r="211" spans="1:9" x14ac:dyDescent="0.15">
      <c r="A211" s="9">
        <v>210</v>
      </c>
      <c r="B211" s="9" t="s">
        <v>9</v>
      </c>
      <c r="C211" s="9">
        <v>1925</v>
      </c>
      <c r="D211" s="10">
        <v>45715</v>
      </c>
      <c r="E211" s="11" t="str">
        <f>+HYPERLINK("http://trademark.i-assist.jp/data/china/image_1925th/81625032.pdf","81625032")</f>
        <v>81625032</v>
      </c>
      <c r="F211" s="9" t="s">
        <v>590</v>
      </c>
      <c r="G211" s="9" t="s">
        <v>591</v>
      </c>
      <c r="H211" s="9" t="s">
        <v>592</v>
      </c>
      <c r="I211" s="10">
        <v>45593</v>
      </c>
    </row>
    <row r="212" spans="1:9" x14ac:dyDescent="0.15">
      <c r="A212" s="9">
        <v>211</v>
      </c>
      <c r="B212" s="9" t="s">
        <v>9</v>
      </c>
      <c r="C212" s="9">
        <v>1925</v>
      </c>
      <c r="D212" s="10">
        <v>45715</v>
      </c>
      <c r="E212" s="11" t="str">
        <f>+HYPERLINK("http://trademark.i-assist.jp/data/china/image_1925th/81625625.pdf","81625625")</f>
        <v>81625625</v>
      </c>
      <c r="F212" s="9" t="s">
        <v>593</v>
      </c>
      <c r="G212" s="9" t="s">
        <v>594</v>
      </c>
      <c r="H212" s="9" t="s">
        <v>595</v>
      </c>
      <c r="I212" s="10">
        <v>45593</v>
      </c>
    </row>
    <row r="213" spans="1:9" x14ac:dyDescent="0.15">
      <c r="A213" s="9">
        <v>212</v>
      </c>
      <c r="B213" s="9" t="s">
        <v>9</v>
      </c>
      <c r="C213" s="9">
        <v>1925</v>
      </c>
      <c r="D213" s="10">
        <v>45715</v>
      </c>
      <c r="E213" s="11" t="str">
        <f>+HYPERLINK("http://trademark.i-assist.jp/data/china/image_1925th/81626892.pdf","81626892")</f>
        <v>81626892</v>
      </c>
      <c r="F213" s="9" t="s">
        <v>596</v>
      </c>
      <c r="G213" s="9" t="s">
        <v>597</v>
      </c>
      <c r="H213" s="9" t="s">
        <v>598</v>
      </c>
      <c r="I213" s="10">
        <v>45593</v>
      </c>
    </row>
    <row r="214" spans="1:9" x14ac:dyDescent="0.15">
      <c r="A214" s="9">
        <v>213</v>
      </c>
      <c r="B214" s="9" t="s">
        <v>9</v>
      </c>
      <c r="C214" s="9">
        <v>1925</v>
      </c>
      <c r="D214" s="10">
        <v>45715</v>
      </c>
      <c r="E214" s="11" t="str">
        <f>+HYPERLINK("http://trademark.i-assist.jp/data/china/image_1925th/81627040.pdf","81627040")</f>
        <v>81627040</v>
      </c>
      <c r="F214" s="9" t="s">
        <v>599</v>
      </c>
      <c r="G214" s="12" t="s">
        <v>600</v>
      </c>
      <c r="H214" s="9" t="s">
        <v>601</v>
      </c>
      <c r="I214" s="10">
        <v>45593</v>
      </c>
    </row>
    <row r="215" spans="1:9" x14ac:dyDescent="0.15">
      <c r="A215" s="9">
        <v>214</v>
      </c>
      <c r="B215" s="9" t="s">
        <v>9</v>
      </c>
      <c r="C215" s="9">
        <v>1925</v>
      </c>
      <c r="D215" s="10">
        <v>45715</v>
      </c>
      <c r="E215" s="11" t="str">
        <f>+HYPERLINK("http://trademark.i-assist.jp/data/china/image_1925th/81627625.pdf","81627625")</f>
        <v>81627625</v>
      </c>
      <c r="F215" s="12" t="s">
        <v>57</v>
      </c>
      <c r="G215" s="9" t="s">
        <v>602</v>
      </c>
      <c r="H215" s="9" t="s">
        <v>603</v>
      </c>
      <c r="I215" s="10">
        <v>45593</v>
      </c>
    </row>
    <row r="216" spans="1:9" x14ac:dyDescent="0.15">
      <c r="A216" s="9">
        <v>215</v>
      </c>
      <c r="B216" s="9" t="s">
        <v>9</v>
      </c>
      <c r="C216" s="9">
        <v>1925</v>
      </c>
      <c r="D216" s="10">
        <v>45715</v>
      </c>
      <c r="E216" s="11" t="str">
        <f>+HYPERLINK("http://trademark.i-assist.jp/data/china/image_1925th/81631461.pdf","81631461")</f>
        <v>81631461</v>
      </c>
      <c r="F216" s="9" t="s">
        <v>604</v>
      </c>
      <c r="G216" s="9" t="s">
        <v>287</v>
      </c>
      <c r="H216" s="12" t="s">
        <v>605</v>
      </c>
      <c r="I216" s="10">
        <v>45593</v>
      </c>
    </row>
    <row r="217" spans="1:9" x14ac:dyDescent="0.15">
      <c r="A217" s="9">
        <v>216</v>
      </c>
      <c r="B217" s="9" t="s">
        <v>9</v>
      </c>
      <c r="C217" s="9">
        <v>1925</v>
      </c>
      <c r="D217" s="10">
        <v>45715</v>
      </c>
      <c r="E217" s="11" t="str">
        <f>+HYPERLINK("http://trademark.i-assist.jp/data/china/image_1925th/81635513.pdf","81635513")</f>
        <v>81635513</v>
      </c>
      <c r="F217" s="12" t="s">
        <v>57</v>
      </c>
      <c r="G217" s="9" t="s">
        <v>606</v>
      </c>
      <c r="H217" s="9" t="s">
        <v>607</v>
      </c>
      <c r="I217" s="10">
        <v>45593</v>
      </c>
    </row>
    <row r="218" spans="1:9" x14ac:dyDescent="0.15">
      <c r="A218" s="9">
        <v>217</v>
      </c>
      <c r="B218" s="9" t="s">
        <v>9</v>
      </c>
      <c r="C218" s="9">
        <v>1925</v>
      </c>
      <c r="D218" s="10">
        <v>45715</v>
      </c>
      <c r="E218" s="11" t="str">
        <f>+HYPERLINK("http://trademark.i-assist.jp/data/china/image_1925th/81645998.pdf","81645998")</f>
        <v>81645998</v>
      </c>
      <c r="F218" s="12" t="s">
        <v>608</v>
      </c>
      <c r="G218" s="9" t="s">
        <v>609</v>
      </c>
      <c r="H218" s="9" t="s">
        <v>610</v>
      </c>
      <c r="I218" s="10">
        <v>45594</v>
      </c>
    </row>
    <row r="219" spans="1:9" x14ac:dyDescent="0.15">
      <c r="A219" s="9">
        <v>218</v>
      </c>
      <c r="B219" s="9" t="s">
        <v>9</v>
      </c>
      <c r="C219" s="9">
        <v>1925</v>
      </c>
      <c r="D219" s="10">
        <v>45715</v>
      </c>
      <c r="E219" s="11" t="str">
        <f>+HYPERLINK("http://trademark.i-assist.jp/data/china/image_1925th/81647624.pdf","81647624")</f>
        <v>81647624</v>
      </c>
      <c r="F219" s="12" t="s">
        <v>611</v>
      </c>
      <c r="G219" s="9" t="s">
        <v>612</v>
      </c>
      <c r="H219" s="9" t="s">
        <v>613</v>
      </c>
      <c r="I219" s="10">
        <v>45594</v>
      </c>
    </row>
    <row r="220" spans="1:9" x14ac:dyDescent="0.15">
      <c r="A220" s="9">
        <v>219</v>
      </c>
      <c r="B220" s="9" t="s">
        <v>9</v>
      </c>
      <c r="C220" s="9">
        <v>1925</v>
      </c>
      <c r="D220" s="10">
        <v>45715</v>
      </c>
      <c r="E220" s="11" t="str">
        <f>+HYPERLINK("http://trademark.i-assist.jp/data/china/image_1925th/81647989.pdf","81647989")</f>
        <v>81647989</v>
      </c>
      <c r="F220" s="12" t="s">
        <v>614</v>
      </c>
      <c r="G220" s="9" t="s">
        <v>615</v>
      </c>
      <c r="H220" s="12" t="s">
        <v>616</v>
      </c>
      <c r="I220" s="10">
        <v>45594</v>
      </c>
    </row>
    <row r="221" spans="1:9" x14ac:dyDescent="0.15">
      <c r="A221" s="9">
        <v>220</v>
      </c>
      <c r="B221" s="9" t="s">
        <v>9</v>
      </c>
      <c r="C221" s="9">
        <v>1925</v>
      </c>
      <c r="D221" s="10">
        <v>45715</v>
      </c>
      <c r="E221" s="11" t="str">
        <f>+HYPERLINK("http://trademark.i-assist.jp/data/china/image_1925th/81651915.pdf","81651915")</f>
        <v>81651915</v>
      </c>
      <c r="F221" s="9" t="s">
        <v>617</v>
      </c>
      <c r="G221" s="12" t="s">
        <v>618</v>
      </c>
      <c r="H221" s="12" t="s">
        <v>619</v>
      </c>
      <c r="I221" s="10">
        <v>45594</v>
      </c>
    </row>
    <row r="222" spans="1:9" x14ac:dyDescent="0.15">
      <c r="A222" s="9">
        <v>221</v>
      </c>
      <c r="B222" s="9" t="s">
        <v>9</v>
      </c>
      <c r="C222" s="9">
        <v>1925</v>
      </c>
      <c r="D222" s="10">
        <v>45715</v>
      </c>
      <c r="E222" s="11" t="str">
        <f>+HYPERLINK("http://trademark.i-assist.jp/data/china/image_1925th/81655931.pdf","81655931")</f>
        <v>81655931</v>
      </c>
      <c r="F222" s="12" t="s">
        <v>620</v>
      </c>
      <c r="G222" s="9" t="s">
        <v>621</v>
      </c>
      <c r="H222" s="9" t="s">
        <v>622</v>
      </c>
      <c r="I222" s="10">
        <v>45594</v>
      </c>
    </row>
    <row r="223" spans="1:9" x14ac:dyDescent="0.15">
      <c r="A223" s="9">
        <v>222</v>
      </c>
      <c r="B223" s="9" t="s">
        <v>9</v>
      </c>
      <c r="C223" s="9">
        <v>1925</v>
      </c>
      <c r="D223" s="10">
        <v>45715</v>
      </c>
      <c r="E223" s="11" t="str">
        <f>+HYPERLINK("http://trademark.i-assist.jp/data/china/image_1925th/81657061.pdf","81657061")</f>
        <v>81657061</v>
      </c>
      <c r="F223" s="12" t="s">
        <v>623</v>
      </c>
      <c r="G223" s="9" t="s">
        <v>11</v>
      </c>
      <c r="H223" s="9" t="s">
        <v>624</v>
      </c>
      <c r="I223" s="10">
        <v>45594</v>
      </c>
    </row>
    <row r="224" spans="1:9" x14ac:dyDescent="0.15">
      <c r="A224" s="9">
        <v>223</v>
      </c>
      <c r="B224" s="9" t="s">
        <v>9</v>
      </c>
      <c r="C224" s="9">
        <v>1925</v>
      </c>
      <c r="D224" s="10">
        <v>45715</v>
      </c>
      <c r="E224" s="11" t="str">
        <f>+HYPERLINK("http://trademark.i-assist.jp/data/china/image_1925th/81665916.pdf","81665916")</f>
        <v>81665916</v>
      </c>
      <c r="F224" s="9" t="s">
        <v>625</v>
      </c>
      <c r="G224" s="9" t="s">
        <v>626</v>
      </c>
      <c r="H224" s="9" t="s">
        <v>627</v>
      </c>
      <c r="I224" s="10">
        <v>45595</v>
      </c>
    </row>
    <row r="225" spans="1:9" x14ac:dyDescent="0.15">
      <c r="A225" s="9">
        <v>224</v>
      </c>
      <c r="B225" s="9" t="s">
        <v>9</v>
      </c>
      <c r="C225" s="9">
        <v>1925</v>
      </c>
      <c r="D225" s="10">
        <v>45715</v>
      </c>
      <c r="E225" s="11" t="str">
        <f>+HYPERLINK("http://trademark.i-assist.jp/data/china/image_1925th/81672216.pdf","81672216")</f>
        <v>81672216</v>
      </c>
      <c r="F225" s="9" t="s">
        <v>628</v>
      </c>
      <c r="G225" s="9" t="s">
        <v>629</v>
      </c>
      <c r="H225" s="9" t="s">
        <v>630</v>
      </c>
      <c r="I225" s="10">
        <v>45595</v>
      </c>
    </row>
    <row r="226" spans="1:9" x14ac:dyDescent="0.15">
      <c r="A226" s="9">
        <v>225</v>
      </c>
      <c r="B226" s="9" t="s">
        <v>9</v>
      </c>
      <c r="C226" s="9">
        <v>1925</v>
      </c>
      <c r="D226" s="10">
        <v>45715</v>
      </c>
      <c r="E226" s="11" t="str">
        <f>+HYPERLINK("http://trademark.i-assist.jp/data/china/image_1925th/81672464.pdf","81672464")</f>
        <v>81672464</v>
      </c>
      <c r="F226" s="9" t="s">
        <v>631</v>
      </c>
      <c r="G226" s="12" t="s">
        <v>632</v>
      </c>
      <c r="H226" s="9" t="s">
        <v>633</v>
      </c>
      <c r="I226" s="10">
        <v>45595</v>
      </c>
    </row>
    <row r="227" spans="1:9" x14ac:dyDescent="0.15">
      <c r="A227" s="9">
        <v>226</v>
      </c>
      <c r="B227" s="9" t="s">
        <v>9</v>
      </c>
      <c r="C227" s="9">
        <v>1925</v>
      </c>
      <c r="D227" s="10">
        <v>45715</v>
      </c>
      <c r="E227" s="11" t="str">
        <f>+HYPERLINK("http://trademark.i-assist.jp/data/china/image_1925th/81676631.pdf","81676631")</f>
        <v>81676631</v>
      </c>
      <c r="F227" s="9" t="s">
        <v>634</v>
      </c>
      <c r="G227" s="9" t="s">
        <v>635</v>
      </c>
      <c r="H227" s="9" t="s">
        <v>636</v>
      </c>
      <c r="I227" s="10">
        <v>45595</v>
      </c>
    </row>
    <row r="228" spans="1:9" x14ac:dyDescent="0.15">
      <c r="A228" s="9">
        <v>227</v>
      </c>
      <c r="B228" s="9" t="s">
        <v>9</v>
      </c>
      <c r="C228" s="9">
        <v>1925</v>
      </c>
      <c r="D228" s="10">
        <v>45715</v>
      </c>
      <c r="E228" s="11" t="str">
        <f>+HYPERLINK("http://trademark.i-assist.jp/data/china/image_1925th/81676685.pdf","81676685")</f>
        <v>81676685</v>
      </c>
      <c r="F228" s="9" t="s">
        <v>637</v>
      </c>
      <c r="G228" s="9" t="s">
        <v>638</v>
      </c>
      <c r="H228" s="9" t="s">
        <v>639</v>
      </c>
      <c r="I228" s="10">
        <v>45595</v>
      </c>
    </row>
    <row r="229" spans="1:9" x14ac:dyDescent="0.15">
      <c r="A229" s="9">
        <v>228</v>
      </c>
      <c r="B229" s="9" t="s">
        <v>9</v>
      </c>
      <c r="C229" s="9">
        <v>1925</v>
      </c>
      <c r="D229" s="10">
        <v>45715</v>
      </c>
      <c r="E229" s="11" t="str">
        <f>+HYPERLINK("http://trademark.i-assist.jp/data/china/image_1925th/81685171.pdf","81685171")</f>
        <v>81685171</v>
      </c>
      <c r="F229" s="9" t="s">
        <v>640</v>
      </c>
      <c r="G229" s="12" t="s">
        <v>641</v>
      </c>
      <c r="H229" s="9" t="s">
        <v>642</v>
      </c>
      <c r="I229" s="10">
        <v>45595</v>
      </c>
    </row>
    <row r="230" spans="1:9" x14ac:dyDescent="0.15">
      <c r="A230" s="9">
        <v>229</v>
      </c>
      <c r="B230" s="9" t="s">
        <v>9</v>
      </c>
      <c r="C230" s="9">
        <v>1925</v>
      </c>
      <c r="D230" s="10">
        <v>45715</v>
      </c>
      <c r="E230" s="11" t="str">
        <f>+HYPERLINK("http://trademark.i-assist.jp/data/china/image_1925th/81687247.pdf","81687247")</f>
        <v>81687247</v>
      </c>
      <c r="F230" s="9" t="s">
        <v>643</v>
      </c>
      <c r="G230" s="9" t="s">
        <v>644</v>
      </c>
      <c r="H230" s="9" t="s">
        <v>645</v>
      </c>
      <c r="I230" s="10">
        <v>45595</v>
      </c>
    </row>
    <row r="231" spans="1:9" x14ac:dyDescent="0.15">
      <c r="A231" s="9">
        <v>230</v>
      </c>
      <c r="B231" s="9" t="s">
        <v>9</v>
      </c>
      <c r="C231" s="9">
        <v>1925</v>
      </c>
      <c r="D231" s="10">
        <v>45715</v>
      </c>
      <c r="E231" s="11" t="str">
        <f>+HYPERLINK("http://trademark.i-assist.jp/data/china/image_1925th/81692840.pdf","81692840")</f>
        <v>81692840</v>
      </c>
      <c r="F231" s="12" t="s">
        <v>57</v>
      </c>
      <c r="G231" s="12" t="s">
        <v>646</v>
      </c>
      <c r="H231" s="9" t="s">
        <v>647</v>
      </c>
      <c r="I231" s="10">
        <v>45596</v>
      </c>
    </row>
    <row r="232" spans="1:9" x14ac:dyDescent="0.15">
      <c r="A232" s="9">
        <v>231</v>
      </c>
      <c r="B232" s="9" t="s">
        <v>9</v>
      </c>
      <c r="C232" s="9">
        <v>1925</v>
      </c>
      <c r="D232" s="10">
        <v>45715</v>
      </c>
      <c r="E232" s="11" t="str">
        <f>+HYPERLINK("http://trademark.i-assist.jp/data/china/image_1925th/81695415.pdf","81695415")</f>
        <v>81695415</v>
      </c>
      <c r="F232" s="9" t="s">
        <v>648</v>
      </c>
      <c r="G232" s="9" t="s">
        <v>649</v>
      </c>
      <c r="H232" s="9" t="s">
        <v>92</v>
      </c>
      <c r="I232" s="10">
        <v>45596</v>
      </c>
    </row>
    <row r="233" spans="1:9" x14ac:dyDescent="0.15">
      <c r="A233" s="9">
        <v>232</v>
      </c>
      <c r="B233" s="9" t="s">
        <v>9</v>
      </c>
      <c r="C233" s="9">
        <v>1925</v>
      </c>
      <c r="D233" s="10">
        <v>45715</v>
      </c>
      <c r="E233" s="11" t="str">
        <f>+HYPERLINK("http://trademark.i-assist.jp/data/china/image_1925th/81706385.pdf","81706385")</f>
        <v>81706385</v>
      </c>
      <c r="F233" s="9" t="s">
        <v>650</v>
      </c>
      <c r="G233" s="9" t="s">
        <v>651</v>
      </c>
      <c r="H233" s="9" t="s">
        <v>652</v>
      </c>
      <c r="I233" s="10">
        <v>45596</v>
      </c>
    </row>
    <row r="234" spans="1:9" x14ac:dyDescent="0.15">
      <c r="A234" s="9">
        <v>233</v>
      </c>
      <c r="B234" s="9" t="s">
        <v>9</v>
      </c>
      <c r="C234" s="9">
        <v>1925</v>
      </c>
      <c r="D234" s="10">
        <v>45715</v>
      </c>
      <c r="E234" s="11" t="str">
        <f>+HYPERLINK("http://trademark.i-assist.jp/data/china/image_1925th/81708020.pdf","81708020")</f>
        <v>81708020</v>
      </c>
      <c r="F234" s="9" t="s">
        <v>653</v>
      </c>
      <c r="G234" s="9" t="s">
        <v>654</v>
      </c>
      <c r="H234" s="9" t="s">
        <v>655</v>
      </c>
      <c r="I234" s="10">
        <v>45596</v>
      </c>
    </row>
    <row r="235" spans="1:9" x14ac:dyDescent="0.15">
      <c r="A235" s="9">
        <v>234</v>
      </c>
      <c r="B235" s="9" t="s">
        <v>9</v>
      </c>
      <c r="C235" s="9">
        <v>1925</v>
      </c>
      <c r="D235" s="10">
        <v>45715</v>
      </c>
      <c r="E235" s="11" t="str">
        <f>+HYPERLINK("http://trademark.i-assist.jp/data/china/image_1925th/81709743.pdf","81709743")</f>
        <v>81709743</v>
      </c>
      <c r="F235" s="9" t="s">
        <v>656</v>
      </c>
      <c r="G235" s="9" t="s">
        <v>657</v>
      </c>
      <c r="H235" s="12" t="s">
        <v>658</v>
      </c>
      <c r="I235" s="10">
        <v>45596</v>
      </c>
    </row>
    <row r="236" spans="1:9" x14ac:dyDescent="0.15">
      <c r="A236" s="9">
        <v>235</v>
      </c>
      <c r="B236" s="9" t="s">
        <v>9</v>
      </c>
      <c r="C236" s="9">
        <v>1925</v>
      </c>
      <c r="D236" s="10">
        <v>45715</v>
      </c>
      <c r="E236" s="11" t="str">
        <f>+HYPERLINK("http://trademark.i-assist.jp/data/china/image_1925th/81712079.pdf","81712079")</f>
        <v>81712079</v>
      </c>
      <c r="F236" s="9" t="s">
        <v>659</v>
      </c>
      <c r="G236" s="9" t="s">
        <v>659</v>
      </c>
      <c r="H236" s="9" t="s">
        <v>660</v>
      </c>
      <c r="I236" s="10">
        <v>45596</v>
      </c>
    </row>
    <row r="237" spans="1:9" x14ac:dyDescent="0.15">
      <c r="A237" s="9">
        <v>236</v>
      </c>
      <c r="B237" s="9" t="s">
        <v>9</v>
      </c>
      <c r="C237" s="9">
        <v>1925</v>
      </c>
      <c r="D237" s="10">
        <v>45715</v>
      </c>
      <c r="E237" s="11" t="str">
        <f>+HYPERLINK("http://trademark.i-assist.jp/data/china/image_1925th/81713206.pdf","81713206")</f>
        <v>81713206</v>
      </c>
      <c r="F237" s="9" t="s">
        <v>661</v>
      </c>
      <c r="G237" s="12" t="s">
        <v>662</v>
      </c>
      <c r="H237" s="9" t="s">
        <v>663</v>
      </c>
      <c r="I237" s="10">
        <v>45597</v>
      </c>
    </row>
    <row r="238" spans="1:9" x14ac:dyDescent="0.15">
      <c r="A238" s="9">
        <v>237</v>
      </c>
      <c r="B238" s="9" t="s">
        <v>9</v>
      </c>
      <c r="C238" s="9">
        <v>1925</v>
      </c>
      <c r="D238" s="10">
        <v>45715</v>
      </c>
      <c r="E238" s="11" t="str">
        <f>+HYPERLINK("http://trademark.i-assist.jp/data/china/image_1925th/81713300.pdf","81713300")</f>
        <v>81713300</v>
      </c>
      <c r="F238" s="9" t="s">
        <v>664</v>
      </c>
      <c r="G238" s="9" t="s">
        <v>665</v>
      </c>
      <c r="H238" s="9" t="s">
        <v>666</v>
      </c>
      <c r="I238" s="10">
        <v>45597</v>
      </c>
    </row>
    <row r="239" spans="1:9" x14ac:dyDescent="0.15">
      <c r="A239" s="9">
        <v>238</v>
      </c>
      <c r="B239" s="9" t="s">
        <v>9</v>
      </c>
      <c r="C239" s="9">
        <v>1925</v>
      </c>
      <c r="D239" s="10">
        <v>45715</v>
      </c>
      <c r="E239" s="11" t="str">
        <f>+HYPERLINK("http://trademark.i-assist.jp/data/china/image_1925th/81718015.pdf","81718015")</f>
        <v>81718015</v>
      </c>
      <c r="F239" s="9" t="s">
        <v>667</v>
      </c>
      <c r="G239" s="9" t="s">
        <v>668</v>
      </c>
      <c r="H239" s="9" t="s">
        <v>669</v>
      </c>
      <c r="I239" s="10">
        <v>45597</v>
      </c>
    </row>
    <row r="240" spans="1:9" x14ac:dyDescent="0.15">
      <c r="A240" s="9">
        <v>239</v>
      </c>
      <c r="B240" s="9" t="s">
        <v>9</v>
      </c>
      <c r="C240" s="9">
        <v>1925</v>
      </c>
      <c r="D240" s="10">
        <v>45715</v>
      </c>
      <c r="E240" s="11" t="str">
        <f>+HYPERLINK("http://trademark.i-assist.jp/data/china/image_1925th/81718574.pdf","81718574")</f>
        <v>81718574</v>
      </c>
      <c r="F240" s="9" t="s">
        <v>670</v>
      </c>
      <c r="G240" s="9" t="s">
        <v>668</v>
      </c>
      <c r="H240" s="9" t="s">
        <v>671</v>
      </c>
      <c r="I240" s="10">
        <v>45597</v>
      </c>
    </row>
    <row r="241" spans="1:9" x14ac:dyDescent="0.15">
      <c r="A241" s="9">
        <v>240</v>
      </c>
      <c r="B241" s="9" t="s">
        <v>9</v>
      </c>
      <c r="C241" s="9">
        <v>1925</v>
      </c>
      <c r="D241" s="10">
        <v>45715</v>
      </c>
      <c r="E241" s="11" t="str">
        <f>+HYPERLINK("http://trademark.i-assist.jp/data/china/image_1925th/81719805.pdf","81719805")</f>
        <v>81719805</v>
      </c>
      <c r="F241" s="9" t="s">
        <v>672</v>
      </c>
      <c r="G241" s="9" t="s">
        <v>668</v>
      </c>
      <c r="H241" s="9" t="s">
        <v>673</v>
      </c>
      <c r="I241" s="10">
        <v>45597</v>
      </c>
    </row>
    <row r="242" spans="1:9" x14ac:dyDescent="0.15">
      <c r="A242" s="9">
        <v>241</v>
      </c>
      <c r="B242" s="9" t="s">
        <v>9</v>
      </c>
      <c r="C242" s="9">
        <v>1925</v>
      </c>
      <c r="D242" s="10">
        <v>45715</v>
      </c>
      <c r="E242" s="11" t="str">
        <f>+HYPERLINK("http://trademark.i-assist.jp/data/china/image_1925th/81720874.pdf","81720874")</f>
        <v>81720874</v>
      </c>
      <c r="F242" s="12" t="s">
        <v>674</v>
      </c>
      <c r="G242" s="12" t="s">
        <v>675</v>
      </c>
      <c r="H242" s="9" t="s">
        <v>676</v>
      </c>
      <c r="I242" s="10">
        <v>45597</v>
      </c>
    </row>
    <row r="243" spans="1:9" x14ac:dyDescent="0.15">
      <c r="A243" s="9">
        <v>242</v>
      </c>
      <c r="B243" s="9" t="s">
        <v>9</v>
      </c>
      <c r="C243" s="9">
        <v>1925</v>
      </c>
      <c r="D243" s="10">
        <v>45715</v>
      </c>
      <c r="E243" s="11" t="str">
        <f>+HYPERLINK("http://trademark.i-assist.jp/data/china/image_1925th/81723524.pdf","81723524")</f>
        <v>81723524</v>
      </c>
      <c r="F243" s="9" t="s">
        <v>677</v>
      </c>
      <c r="G243" s="12" t="s">
        <v>678</v>
      </c>
      <c r="H243" s="9" t="s">
        <v>679</v>
      </c>
      <c r="I243" s="10">
        <v>45597</v>
      </c>
    </row>
    <row r="244" spans="1:9" x14ac:dyDescent="0.15">
      <c r="A244" s="9">
        <v>243</v>
      </c>
      <c r="B244" s="9" t="s">
        <v>9</v>
      </c>
      <c r="C244" s="9">
        <v>1925</v>
      </c>
      <c r="D244" s="10">
        <v>45715</v>
      </c>
      <c r="E244" s="11" t="str">
        <f>+HYPERLINK("http://trademark.i-assist.jp/data/china/image_1925th/81724736.pdf","81724736")</f>
        <v>81724736</v>
      </c>
      <c r="F244" s="12" t="s">
        <v>680</v>
      </c>
      <c r="G244" s="9" t="s">
        <v>681</v>
      </c>
      <c r="H244" s="9" t="s">
        <v>682</v>
      </c>
      <c r="I244" s="10">
        <v>45597</v>
      </c>
    </row>
    <row r="245" spans="1:9" x14ac:dyDescent="0.15">
      <c r="A245" s="9">
        <v>244</v>
      </c>
      <c r="B245" s="9" t="s">
        <v>9</v>
      </c>
      <c r="C245" s="9">
        <v>1925</v>
      </c>
      <c r="D245" s="10">
        <v>45715</v>
      </c>
      <c r="E245" s="11" t="str">
        <f>+HYPERLINK("http://trademark.i-assist.jp/data/china/image_1925th/81724939.pdf","81724939")</f>
        <v>81724939</v>
      </c>
      <c r="F245" s="9" t="s">
        <v>683</v>
      </c>
      <c r="G245" s="9" t="s">
        <v>684</v>
      </c>
      <c r="H245" s="9" t="s">
        <v>685</v>
      </c>
      <c r="I245" s="10">
        <v>45597</v>
      </c>
    </row>
    <row r="246" spans="1:9" x14ac:dyDescent="0.15">
      <c r="A246" s="9">
        <v>245</v>
      </c>
      <c r="B246" s="9" t="s">
        <v>9</v>
      </c>
      <c r="C246" s="9">
        <v>1925</v>
      </c>
      <c r="D246" s="10">
        <v>45715</v>
      </c>
      <c r="E246" s="11" t="str">
        <f>+HYPERLINK("http://trademark.i-assist.jp/data/china/image_1925th/81729553.pdf","81729553")</f>
        <v>81729553</v>
      </c>
      <c r="F246" s="9" t="s">
        <v>686</v>
      </c>
      <c r="G246" s="9" t="s">
        <v>668</v>
      </c>
      <c r="H246" s="9" t="s">
        <v>687</v>
      </c>
      <c r="I246" s="10">
        <v>45597</v>
      </c>
    </row>
    <row r="247" spans="1:9" x14ac:dyDescent="0.15">
      <c r="A247" s="9">
        <v>246</v>
      </c>
      <c r="B247" s="9" t="s">
        <v>9</v>
      </c>
      <c r="C247" s="9">
        <v>1925</v>
      </c>
      <c r="D247" s="10">
        <v>45715</v>
      </c>
      <c r="E247" s="11" t="str">
        <f>+HYPERLINK("http://trademark.i-assist.jp/data/china/image_1925th/81731923.pdf","81731923")</f>
        <v>81731923</v>
      </c>
      <c r="F247" s="9" t="s">
        <v>688</v>
      </c>
      <c r="G247" s="9" t="s">
        <v>668</v>
      </c>
      <c r="H247" s="9" t="s">
        <v>689</v>
      </c>
      <c r="I247" s="10">
        <v>45597</v>
      </c>
    </row>
    <row r="248" spans="1:9" x14ac:dyDescent="0.15">
      <c r="A248" s="9">
        <v>247</v>
      </c>
      <c r="B248" s="9" t="s">
        <v>9</v>
      </c>
      <c r="C248" s="9">
        <v>1925</v>
      </c>
      <c r="D248" s="10">
        <v>45715</v>
      </c>
      <c r="E248" s="11" t="str">
        <f>+HYPERLINK("http://trademark.i-assist.jp/data/china/image_1925th/81733056.pdf","81733056")</f>
        <v>81733056</v>
      </c>
      <c r="F248" s="9" t="s">
        <v>690</v>
      </c>
      <c r="G248" s="9" t="s">
        <v>668</v>
      </c>
      <c r="H248" s="9" t="s">
        <v>691</v>
      </c>
      <c r="I248" s="10">
        <v>45597</v>
      </c>
    </row>
    <row r="249" spans="1:9" x14ac:dyDescent="0.15">
      <c r="A249" s="9">
        <v>248</v>
      </c>
      <c r="B249" s="9" t="s">
        <v>9</v>
      </c>
      <c r="C249" s="9">
        <v>1925</v>
      </c>
      <c r="D249" s="10">
        <v>45715</v>
      </c>
      <c r="E249" s="11" t="str">
        <f>+HYPERLINK("http://trademark.i-assist.jp/data/china/image_1925th/81734131.pdf","81734131")</f>
        <v>81734131</v>
      </c>
      <c r="F249" s="9" t="s">
        <v>692</v>
      </c>
      <c r="G249" s="9" t="s">
        <v>693</v>
      </c>
      <c r="H249" s="9" t="s">
        <v>694</v>
      </c>
      <c r="I249" s="10">
        <v>45597</v>
      </c>
    </row>
    <row r="250" spans="1:9" x14ac:dyDescent="0.15">
      <c r="A250" s="9">
        <v>249</v>
      </c>
      <c r="B250" s="9" t="s">
        <v>9</v>
      </c>
      <c r="C250" s="9">
        <v>1925</v>
      </c>
      <c r="D250" s="10">
        <v>45715</v>
      </c>
      <c r="E250" s="11" t="str">
        <f>+HYPERLINK("http://trademark.i-assist.jp/data/china/image_1925th/81736491.pdf","81736491")</f>
        <v>81736491</v>
      </c>
      <c r="F250" s="9" t="s">
        <v>695</v>
      </c>
      <c r="G250" s="12" t="s">
        <v>696</v>
      </c>
      <c r="H250" s="9" t="s">
        <v>697</v>
      </c>
      <c r="I250" s="10">
        <v>45598</v>
      </c>
    </row>
    <row r="251" spans="1:9" x14ac:dyDescent="0.15">
      <c r="A251" s="9">
        <v>250</v>
      </c>
      <c r="B251" s="9" t="s">
        <v>9</v>
      </c>
      <c r="C251" s="9">
        <v>1925</v>
      </c>
      <c r="D251" s="10">
        <v>45715</v>
      </c>
      <c r="E251" s="11" t="str">
        <f>+HYPERLINK("http://trademark.i-assist.jp/data/china/image_1925th/81744197.pdf","81744197")</f>
        <v>81744197</v>
      </c>
      <c r="F251" s="9" t="s">
        <v>698</v>
      </c>
      <c r="G251" s="12" t="s">
        <v>699</v>
      </c>
      <c r="H251" s="9" t="s">
        <v>700</v>
      </c>
      <c r="I251" s="10">
        <v>45600</v>
      </c>
    </row>
    <row r="252" spans="1:9" x14ac:dyDescent="0.15">
      <c r="A252" s="9">
        <v>251</v>
      </c>
      <c r="B252" s="9" t="s">
        <v>9</v>
      </c>
      <c r="C252" s="9">
        <v>1925</v>
      </c>
      <c r="D252" s="10">
        <v>45715</v>
      </c>
      <c r="E252" s="11" t="str">
        <f>+HYPERLINK("http://trademark.i-assist.jp/data/china/image_1925th/81753180.pdf","81753180")</f>
        <v>81753180</v>
      </c>
      <c r="F252" s="9" t="s">
        <v>701</v>
      </c>
      <c r="G252" s="9" t="s">
        <v>702</v>
      </c>
      <c r="H252" s="9" t="s">
        <v>703</v>
      </c>
      <c r="I252" s="10">
        <v>45600</v>
      </c>
    </row>
    <row r="253" spans="1:9" x14ac:dyDescent="0.15">
      <c r="A253" s="9">
        <v>252</v>
      </c>
      <c r="B253" s="9" t="s">
        <v>9</v>
      </c>
      <c r="C253" s="9">
        <v>1925</v>
      </c>
      <c r="D253" s="10">
        <v>45715</v>
      </c>
      <c r="E253" s="11" t="str">
        <f>+HYPERLINK("http://trademark.i-assist.jp/data/china/image_1925th/81758198.pdf","81758198")</f>
        <v>81758198</v>
      </c>
      <c r="F253" s="13" t="s">
        <v>704</v>
      </c>
      <c r="G253" s="9" t="s">
        <v>705</v>
      </c>
      <c r="H253" s="9" t="s">
        <v>706</v>
      </c>
      <c r="I253" s="10">
        <v>45600</v>
      </c>
    </row>
    <row r="254" spans="1:9" x14ac:dyDescent="0.15">
      <c r="A254" s="9">
        <v>253</v>
      </c>
      <c r="B254" s="9" t="s">
        <v>9</v>
      </c>
      <c r="C254" s="9">
        <v>1925</v>
      </c>
      <c r="D254" s="10">
        <v>45715</v>
      </c>
      <c r="E254" s="11" t="str">
        <f>+HYPERLINK("http://trademark.i-assist.jp/data/china/image_1925th/81759533.pdf","81759533")</f>
        <v>81759533</v>
      </c>
      <c r="F254" s="12" t="s">
        <v>707</v>
      </c>
      <c r="G254" s="9" t="s">
        <v>23</v>
      </c>
      <c r="H254" s="9" t="s">
        <v>708</v>
      </c>
      <c r="I254" s="10">
        <v>45600</v>
      </c>
    </row>
    <row r="255" spans="1:9" x14ac:dyDescent="0.15">
      <c r="A255" s="9">
        <v>254</v>
      </c>
      <c r="B255" s="9" t="s">
        <v>9</v>
      </c>
      <c r="C255" s="9">
        <v>1925</v>
      </c>
      <c r="D255" s="10">
        <v>45715</v>
      </c>
      <c r="E255" s="11" t="str">
        <f>+HYPERLINK("http://trademark.i-assist.jp/data/china/image_1925th/81762193.pdf","81762193")</f>
        <v>81762193</v>
      </c>
      <c r="F255" s="12" t="s">
        <v>709</v>
      </c>
      <c r="G255" s="9" t="s">
        <v>710</v>
      </c>
      <c r="H255" s="9" t="s">
        <v>711</v>
      </c>
      <c r="I255" s="10">
        <v>45601</v>
      </c>
    </row>
    <row r="256" spans="1:9" x14ac:dyDescent="0.15">
      <c r="A256" s="9">
        <v>255</v>
      </c>
      <c r="B256" s="9" t="s">
        <v>9</v>
      </c>
      <c r="C256" s="9">
        <v>1925</v>
      </c>
      <c r="D256" s="10">
        <v>45715</v>
      </c>
      <c r="E256" s="11" t="str">
        <f>+HYPERLINK("http://trademark.i-assist.jp/data/china/image_1925th/81762287.pdf","81762287")</f>
        <v>81762287</v>
      </c>
      <c r="F256" s="9" t="s">
        <v>712</v>
      </c>
      <c r="G256" s="9" t="s">
        <v>713</v>
      </c>
      <c r="H256" s="12" t="s">
        <v>714</v>
      </c>
      <c r="I256" s="10">
        <v>45601</v>
      </c>
    </row>
    <row r="257" spans="1:9" x14ac:dyDescent="0.15">
      <c r="A257" s="9">
        <v>256</v>
      </c>
      <c r="B257" s="9" t="s">
        <v>9</v>
      </c>
      <c r="C257" s="9">
        <v>1925</v>
      </c>
      <c r="D257" s="10">
        <v>45715</v>
      </c>
      <c r="E257" s="11" t="str">
        <f>+HYPERLINK("http://trademark.i-assist.jp/data/china/image_1925th/81762866.pdf","81762866")</f>
        <v>81762866</v>
      </c>
      <c r="F257" s="9" t="s">
        <v>715</v>
      </c>
      <c r="G257" s="9" t="s">
        <v>716</v>
      </c>
      <c r="H257" s="9" t="s">
        <v>717</v>
      </c>
      <c r="I257" s="10">
        <v>45601</v>
      </c>
    </row>
    <row r="258" spans="1:9" x14ac:dyDescent="0.15">
      <c r="A258" s="9">
        <v>257</v>
      </c>
      <c r="B258" s="9" t="s">
        <v>9</v>
      </c>
      <c r="C258" s="9">
        <v>1925</v>
      </c>
      <c r="D258" s="10">
        <v>45715</v>
      </c>
      <c r="E258" s="11" t="str">
        <f>+HYPERLINK("http://trademark.i-assist.jp/data/china/image_1925th/81763127.pdf","81763127")</f>
        <v>81763127</v>
      </c>
      <c r="F258" s="9" t="s">
        <v>718</v>
      </c>
      <c r="G258" s="9" t="s">
        <v>719</v>
      </c>
      <c r="H258" s="9" t="s">
        <v>720</v>
      </c>
      <c r="I258" s="10">
        <v>45601</v>
      </c>
    </row>
    <row r="259" spans="1:9" x14ac:dyDescent="0.15">
      <c r="A259" s="9">
        <v>258</v>
      </c>
      <c r="B259" s="9" t="s">
        <v>9</v>
      </c>
      <c r="C259" s="9">
        <v>1925</v>
      </c>
      <c r="D259" s="10">
        <v>45715</v>
      </c>
      <c r="E259" s="11" t="str">
        <f>+HYPERLINK("http://trademark.i-assist.jp/data/china/image_1925th/81765547.pdf","81765547")</f>
        <v>81765547</v>
      </c>
      <c r="F259" s="9" t="s">
        <v>721</v>
      </c>
      <c r="G259" s="9" t="s">
        <v>722</v>
      </c>
      <c r="H259" s="9" t="s">
        <v>723</v>
      </c>
      <c r="I259" s="10">
        <v>45601</v>
      </c>
    </row>
    <row r="260" spans="1:9" x14ac:dyDescent="0.15">
      <c r="A260" s="9">
        <v>259</v>
      </c>
      <c r="B260" s="9" t="s">
        <v>9</v>
      </c>
      <c r="C260" s="9">
        <v>1925</v>
      </c>
      <c r="D260" s="10">
        <v>45715</v>
      </c>
      <c r="E260" s="11" t="str">
        <f>+HYPERLINK("http://trademark.i-assist.jp/data/china/image_1925th/81767009.pdf","81767009")</f>
        <v>81767009</v>
      </c>
      <c r="F260" s="9" t="s">
        <v>724</v>
      </c>
      <c r="G260" s="9" t="s">
        <v>725</v>
      </c>
      <c r="H260" s="9" t="s">
        <v>726</v>
      </c>
      <c r="I260" s="10">
        <v>45601</v>
      </c>
    </row>
    <row r="261" spans="1:9" x14ac:dyDescent="0.15">
      <c r="A261" s="9">
        <v>260</v>
      </c>
      <c r="B261" s="9" t="s">
        <v>9</v>
      </c>
      <c r="C261" s="9">
        <v>1925</v>
      </c>
      <c r="D261" s="10">
        <v>45715</v>
      </c>
      <c r="E261" s="11" t="str">
        <f>+HYPERLINK("http://trademark.i-assist.jp/data/china/image_1925th/81771038.pdf","81771038")</f>
        <v>81771038</v>
      </c>
      <c r="F261" s="9" t="s">
        <v>727</v>
      </c>
      <c r="G261" s="9" t="s">
        <v>728</v>
      </c>
      <c r="H261" s="9" t="s">
        <v>729</v>
      </c>
      <c r="I261" s="10">
        <v>45600</v>
      </c>
    </row>
    <row r="262" spans="1:9" x14ac:dyDescent="0.15">
      <c r="A262" s="9">
        <v>261</v>
      </c>
      <c r="B262" s="9" t="s">
        <v>9</v>
      </c>
      <c r="C262" s="9">
        <v>1925</v>
      </c>
      <c r="D262" s="10">
        <v>45715</v>
      </c>
      <c r="E262" s="11" t="str">
        <f>+HYPERLINK("http://trademark.i-assist.jp/data/china/image_1925th/81778182.pdf","81778182")</f>
        <v>81778182</v>
      </c>
      <c r="F262" s="9" t="s">
        <v>730</v>
      </c>
      <c r="G262" s="12" t="s">
        <v>731</v>
      </c>
      <c r="H262" s="12" t="s">
        <v>732</v>
      </c>
      <c r="I262" s="10">
        <v>45601</v>
      </c>
    </row>
    <row r="263" spans="1:9" x14ac:dyDescent="0.15">
      <c r="A263" s="9">
        <v>262</v>
      </c>
      <c r="B263" s="9" t="s">
        <v>9</v>
      </c>
      <c r="C263" s="9">
        <v>1925</v>
      </c>
      <c r="D263" s="10">
        <v>45715</v>
      </c>
      <c r="E263" s="11" t="str">
        <f>+HYPERLINK("http://trademark.i-assist.jp/data/china/image_1925th/81778192.pdf","81778192")</f>
        <v>81778192</v>
      </c>
      <c r="F263" s="12" t="s">
        <v>57</v>
      </c>
      <c r="G263" s="12" t="s">
        <v>733</v>
      </c>
      <c r="H263" s="9" t="s">
        <v>734</v>
      </c>
      <c r="I263" s="10">
        <v>45601</v>
      </c>
    </row>
    <row r="264" spans="1:9" x14ac:dyDescent="0.15">
      <c r="A264" s="9">
        <v>263</v>
      </c>
      <c r="B264" s="9" t="s">
        <v>9</v>
      </c>
      <c r="C264" s="9">
        <v>1925</v>
      </c>
      <c r="D264" s="10">
        <v>45715</v>
      </c>
      <c r="E264" s="11" t="str">
        <f>+HYPERLINK("http://trademark.i-assist.jp/data/china/image_1925th/81778296.pdf","81778296")</f>
        <v>81778296</v>
      </c>
      <c r="F264" s="12" t="s">
        <v>57</v>
      </c>
      <c r="G264" s="12" t="s">
        <v>733</v>
      </c>
      <c r="H264" s="9" t="s">
        <v>735</v>
      </c>
      <c r="I264" s="10">
        <v>45601</v>
      </c>
    </row>
    <row r="265" spans="1:9" x14ac:dyDescent="0.15">
      <c r="A265" s="9">
        <v>264</v>
      </c>
      <c r="B265" s="9" t="s">
        <v>9</v>
      </c>
      <c r="C265" s="9">
        <v>1925</v>
      </c>
      <c r="D265" s="10">
        <v>45715</v>
      </c>
      <c r="E265" s="11" t="str">
        <f>+HYPERLINK("http://trademark.i-assist.jp/data/china/image_1925th/81779278.pdf","81779278")</f>
        <v>81779278</v>
      </c>
      <c r="F265" s="9" t="s">
        <v>736</v>
      </c>
      <c r="G265" s="12" t="s">
        <v>737</v>
      </c>
      <c r="H265" s="9" t="s">
        <v>738</v>
      </c>
      <c r="I265" s="10">
        <v>45600</v>
      </c>
    </row>
    <row r="266" spans="1:9" x14ac:dyDescent="0.15">
      <c r="A266" s="9">
        <v>265</v>
      </c>
      <c r="B266" s="9" t="s">
        <v>9</v>
      </c>
      <c r="C266" s="9">
        <v>1925</v>
      </c>
      <c r="D266" s="10">
        <v>45715</v>
      </c>
      <c r="E266" s="11" t="str">
        <f>+HYPERLINK("http://trademark.i-assist.jp/data/china/image_1925th/81781378.pdf","81781378")</f>
        <v>81781378</v>
      </c>
      <c r="F266" s="9" t="s">
        <v>739</v>
      </c>
      <c r="G266" s="9" t="s">
        <v>740</v>
      </c>
      <c r="H266" s="9" t="s">
        <v>741</v>
      </c>
      <c r="I266" s="10">
        <v>45601</v>
      </c>
    </row>
    <row r="267" spans="1:9" x14ac:dyDescent="0.15">
      <c r="A267" s="9">
        <v>266</v>
      </c>
      <c r="B267" s="9" t="s">
        <v>9</v>
      </c>
      <c r="C267" s="9">
        <v>1925</v>
      </c>
      <c r="D267" s="10">
        <v>45715</v>
      </c>
      <c r="E267" s="11" t="str">
        <f>+HYPERLINK("http://trademark.i-assist.jp/data/china/image_1925th/81782420.pdf","81782420")</f>
        <v>81782420</v>
      </c>
      <c r="F267" s="9" t="s">
        <v>742</v>
      </c>
      <c r="G267" s="9" t="s">
        <v>719</v>
      </c>
      <c r="H267" s="9" t="s">
        <v>743</v>
      </c>
      <c r="I267" s="10">
        <v>45601</v>
      </c>
    </row>
    <row r="268" spans="1:9" x14ac:dyDescent="0.15">
      <c r="A268" s="9">
        <v>267</v>
      </c>
      <c r="B268" s="9" t="s">
        <v>9</v>
      </c>
      <c r="C268" s="9">
        <v>1925</v>
      </c>
      <c r="D268" s="10">
        <v>45715</v>
      </c>
      <c r="E268" s="11" t="str">
        <f>+HYPERLINK("http://trademark.i-assist.jp/data/china/image_1925th/81785933.pdf","81785933")</f>
        <v>81785933</v>
      </c>
      <c r="F268" s="9" t="s">
        <v>744</v>
      </c>
      <c r="G268" s="9" t="s">
        <v>745</v>
      </c>
      <c r="H268" s="9" t="s">
        <v>746</v>
      </c>
      <c r="I268" s="10">
        <v>45600</v>
      </c>
    </row>
    <row r="269" spans="1:9" x14ac:dyDescent="0.15">
      <c r="A269" s="9">
        <v>268</v>
      </c>
      <c r="B269" s="9" t="s">
        <v>9</v>
      </c>
      <c r="C269" s="9">
        <v>1925</v>
      </c>
      <c r="D269" s="10">
        <v>45715</v>
      </c>
      <c r="E269" s="11" t="str">
        <f>+HYPERLINK("http://trademark.i-assist.jp/data/china/image_1925th/81786576.pdf","81786576")</f>
        <v>81786576</v>
      </c>
      <c r="F269" s="12" t="s">
        <v>57</v>
      </c>
      <c r="G269" s="9" t="s">
        <v>747</v>
      </c>
      <c r="H269" s="12" t="s">
        <v>748</v>
      </c>
      <c r="I269" s="10">
        <v>45600</v>
      </c>
    </row>
    <row r="270" spans="1:9" x14ac:dyDescent="0.15">
      <c r="A270" s="9">
        <v>269</v>
      </c>
      <c r="B270" s="9" t="s">
        <v>9</v>
      </c>
      <c r="C270" s="9">
        <v>1925</v>
      </c>
      <c r="D270" s="10">
        <v>45715</v>
      </c>
      <c r="E270" s="11" t="str">
        <f>+HYPERLINK("http://trademark.i-assist.jp/data/china/image_1925th/81787081.pdf","81787081")</f>
        <v>81787081</v>
      </c>
      <c r="F270" s="9" t="s">
        <v>749</v>
      </c>
      <c r="G270" s="9" t="s">
        <v>750</v>
      </c>
      <c r="H270" s="9" t="s">
        <v>751</v>
      </c>
      <c r="I270" s="10">
        <v>45600</v>
      </c>
    </row>
    <row r="271" spans="1:9" x14ac:dyDescent="0.15">
      <c r="A271" s="9">
        <v>270</v>
      </c>
      <c r="B271" s="9" t="s">
        <v>9</v>
      </c>
      <c r="C271" s="9">
        <v>1925</v>
      </c>
      <c r="D271" s="10">
        <v>45715</v>
      </c>
      <c r="E271" s="11" t="str">
        <f>+HYPERLINK("http://trademark.i-assist.jp/data/china/image_1925th/81788168.pdf","81788168")</f>
        <v>81788168</v>
      </c>
      <c r="F271" s="9" t="s">
        <v>752</v>
      </c>
      <c r="G271" s="9" t="s">
        <v>753</v>
      </c>
      <c r="H271" s="9" t="s">
        <v>754</v>
      </c>
      <c r="I271" s="10">
        <v>45600</v>
      </c>
    </row>
    <row r="272" spans="1:9" x14ac:dyDescent="0.15">
      <c r="A272" s="9">
        <v>271</v>
      </c>
      <c r="B272" s="9" t="s">
        <v>9</v>
      </c>
      <c r="C272" s="9">
        <v>1925</v>
      </c>
      <c r="D272" s="10">
        <v>45715</v>
      </c>
      <c r="E272" s="11" t="str">
        <f>+HYPERLINK("http://trademark.i-assist.jp/data/china/image_1925th/81791849.pdf","81791849")</f>
        <v>81791849</v>
      </c>
      <c r="F272" s="12" t="s">
        <v>755</v>
      </c>
      <c r="G272" s="9" t="s">
        <v>756</v>
      </c>
      <c r="H272" s="9" t="s">
        <v>757</v>
      </c>
      <c r="I272" s="10">
        <v>45600</v>
      </c>
    </row>
    <row r="273" spans="1:9" x14ac:dyDescent="0.15">
      <c r="A273" s="9">
        <v>272</v>
      </c>
      <c r="B273" s="9" t="s">
        <v>9</v>
      </c>
      <c r="C273" s="9">
        <v>1925</v>
      </c>
      <c r="D273" s="10">
        <v>45715</v>
      </c>
      <c r="E273" s="11" t="str">
        <f>+HYPERLINK("http://trademark.i-assist.jp/data/china/image_1925th/81794546.pdf","81794546")</f>
        <v>81794546</v>
      </c>
      <c r="F273" s="12" t="s">
        <v>758</v>
      </c>
      <c r="G273" s="9" t="s">
        <v>27</v>
      </c>
      <c r="H273" s="9" t="s">
        <v>759</v>
      </c>
      <c r="I273" s="10">
        <v>45602</v>
      </c>
    </row>
    <row r="274" spans="1:9" x14ac:dyDescent="0.15">
      <c r="A274" s="9">
        <v>273</v>
      </c>
      <c r="B274" s="9" t="s">
        <v>9</v>
      </c>
      <c r="C274" s="9">
        <v>1925</v>
      </c>
      <c r="D274" s="10">
        <v>45715</v>
      </c>
      <c r="E274" s="11" t="str">
        <f>+HYPERLINK("http://trademark.i-assist.jp/data/china/image_1925th/81797168.pdf","81797168")</f>
        <v>81797168</v>
      </c>
      <c r="F274" s="9" t="s">
        <v>760</v>
      </c>
      <c r="G274" s="9" t="s">
        <v>761</v>
      </c>
      <c r="H274" s="9" t="s">
        <v>762</v>
      </c>
      <c r="I274" s="10">
        <v>45602</v>
      </c>
    </row>
    <row r="275" spans="1:9" x14ac:dyDescent="0.15">
      <c r="A275" s="9">
        <v>274</v>
      </c>
      <c r="B275" s="9" t="s">
        <v>9</v>
      </c>
      <c r="C275" s="9">
        <v>1925</v>
      </c>
      <c r="D275" s="10">
        <v>45715</v>
      </c>
      <c r="E275" s="11" t="str">
        <f>+HYPERLINK("http://trademark.i-assist.jp/data/china/image_1925th/81797816.pdf","81797816")</f>
        <v>81797816</v>
      </c>
      <c r="F275" s="9" t="s">
        <v>763</v>
      </c>
      <c r="G275" s="12" t="s">
        <v>764</v>
      </c>
      <c r="H275" s="9" t="s">
        <v>765</v>
      </c>
      <c r="I275" s="10">
        <v>45602</v>
      </c>
    </row>
    <row r="276" spans="1:9" x14ac:dyDescent="0.15">
      <c r="A276" s="9">
        <v>275</v>
      </c>
      <c r="B276" s="9" t="s">
        <v>9</v>
      </c>
      <c r="C276" s="9">
        <v>1925</v>
      </c>
      <c r="D276" s="10">
        <v>45715</v>
      </c>
      <c r="E276" s="11" t="str">
        <f>+HYPERLINK("http://trademark.i-assist.jp/data/china/image_1925th/81798373.pdf","81798373")</f>
        <v>81798373</v>
      </c>
      <c r="F276" s="12" t="s">
        <v>766</v>
      </c>
      <c r="G276" s="12" t="s">
        <v>767</v>
      </c>
      <c r="H276" s="12" t="s">
        <v>768</v>
      </c>
      <c r="I276" s="10">
        <v>45602</v>
      </c>
    </row>
    <row r="277" spans="1:9" x14ac:dyDescent="0.15">
      <c r="A277" s="9">
        <v>276</v>
      </c>
      <c r="B277" s="9" t="s">
        <v>9</v>
      </c>
      <c r="C277" s="9">
        <v>1925</v>
      </c>
      <c r="D277" s="10">
        <v>45715</v>
      </c>
      <c r="E277" s="11" t="str">
        <f>+HYPERLINK("http://trademark.i-assist.jp/data/china/image_1925th/81798993.pdf","81798993")</f>
        <v>81798993</v>
      </c>
      <c r="F277" s="12" t="s">
        <v>57</v>
      </c>
      <c r="G277" s="9" t="s">
        <v>769</v>
      </c>
      <c r="H277" s="9" t="s">
        <v>770</v>
      </c>
      <c r="I277" s="10">
        <v>45602</v>
      </c>
    </row>
    <row r="278" spans="1:9" x14ac:dyDescent="0.15">
      <c r="A278" s="9">
        <v>277</v>
      </c>
      <c r="B278" s="9" t="s">
        <v>9</v>
      </c>
      <c r="C278" s="9">
        <v>1925</v>
      </c>
      <c r="D278" s="10">
        <v>45715</v>
      </c>
      <c r="E278" s="11" t="str">
        <f>+HYPERLINK("http://trademark.i-assist.jp/data/china/image_1925th/81801722.pdf","81801722")</f>
        <v>81801722</v>
      </c>
      <c r="F278" s="9" t="s">
        <v>771</v>
      </c>
      <c r="G278" s="9" t="s">
        <v>772</v>
      </c>
      <c r="H278" s="9" t="s">
        <v>773</v>
      </c>
      <c r="I278" s="10">
        <v>45602</v>
      </c>
    </row>
    <row r="279" spans="1:9" x14ac:dyDescent="0.15">
      <c r="A279" s="9">
        <v>278</v>
      </c>
      <c r="B279" s="9" t="s">
        <v>9</v>
      </c>
      <c r="C279" s="9">
        <v>1925</v>
      </c>
      <c r="D279" s="10">
        <v>45715</v>
      </c>
      <c r="E279" s="11" t="str">
        <f>+HYPERLINK("http://trademark.i-assist.jp/data/china/image_1925th/81801944.pdf","81801944")</f>
        <v>81801944</v>
      </c>
      <c r="F279" s="9" t="s">
        <v>774</v>
      </c>
      <c r="G279" s="9" t="s">
        <v>775</v>
      </c>
      <c r="H279" s="9" t="s">
        <v>776</v>
      </c>
      <c r="I279" s="10">
        <v>45602</v>
      </c>
    </row>
    <row r="280" spans="1:9" x14ac:dyDescent="0.15">
      <c r="A280" s="9">
        <v>279</v>
      </c>
      <c r="B280" s="9" t="s">
        <v>9</v>
      </c>
      <c r="C280" s="9">
        <v>1925</v>
      </c>
      <c r="D280" s="10">
        <v>45715</v>
      </c>
      <c r="E280" s="11" t="str">
        <f>+HYPERLINK("http://trademark.i-assist.jp/data/china/image_1925th/81803646.pdf","81803646")</f>
        <v>81803646</v>
      </c>
      <c r="F280" s="9" t="s">
        <v>777</v>
      </c>
      <c r="G280" s="9" t="s">
        <v>769</v>
      </c>
      <c r="H280" s="9" t="s">
        <v>778</v>
      </c>
      <c r="I280" s="10">
        <v>45602</v>
      </c>
    </row>
    <row r="281" spans="1:9" x14ac:dyDescent="0.15">
      <c r="A281" s="9">
        <v>280</v>
      </c>
      <c r="B281" s="9" t="s">
        <v>9</v>
      </c>
      <c r="C281" s="9">
        <v>1925</v>
      </c>
      <c r="D281" s="10">
        <v>45715</v>
      </c>
      <c r="E281" s="11" t="str">
        <f>+HYPERLINK("http://trademark.i-assist.jp/data/china/image_1925th/81804806.pdf","81804806")</f>
        <v>81804806</v>
      </c>
      <c r="F281" s="9" t="s">
        <v>779</v>
      </c>
      <c r="G281" s="9" t="s">
        <v>780</v>
      </c>
      <c r="H281" s="9" t="s">
        <v>781</v>
      </c>
      <c r="I281" s="10">
        <v>45602</v>
      </c>
    </row>
    <row r="282" spans="1:9" x14ac:dyDescent="0.15">
      <c r="A282" s="9">
        <v>281</v>
      </c>
      <c r="B282" s="9" t="s">
        <v>9</v>
      </c>
      <c r="C282" s="9">
        <v>1925</v>
      </c>
      <c r="D282" s="10">
        <v>45715</v>
      </c>
      <c r="E282" s="11" t="str">
        <f>+HYPERLINK("http://trademark.i-assist.jp/data/china/image_1925th/81805557.pdf","81805557")</f>
        <v>81805557</v>
      </c>
      <c r="F282" s="9" t="s">
        <v>782</v>
      </c>
      <c r="G282" s="9" t="s">
        <v>783</v>
      </c>
      <c r="H282" s="9" t="s">
        <v>784</v>
      </c>
      <c r="I282" s="10">
        <v>45602</v>
      </c>
    </row>
    <row r="283" spans="1:9" x14ac:dyDescent="0.15">
      <c r="A283" s="9">
        <v>282</v>
      </c>
      <c r="B283" s="9" t="s">
        <v>9</v>
      </c>
      <c r="C283" s="9">
        <v>1925</v>
      </c>
      <c r="D283" s="10">
        <v>45715</v>
      </c>
      <c r="E283" s="11" t="str">
        <f>+HYPERLINK("http://trademark.i-assist.jp/data/china/image_1925th/81806991.pdf","81806991")</f>
        <v>81806991</v>
      </c>
      <c r="F283" s="9" t="s">
        <v>785</v>
      </c>
      <c r="G283" s="12" t="s">
        <v>786</v>
      </c>
      <c r="H283" s="12" t="s">
        <v>787</v>
      </c>
      <c r="I283" s="10">
        <v>45602</v>
      </c>
    </row>
    <row r="284" spans="1:9" x14ac:dyDescent="0.15">
      <c r="A284" s="9">
        <v>283</v>
      </c>
      <c r="B284" s="9" t="s">
        <v>9</v>
      </c>
      <c r="C284" s="9">
        <v>1925</v>
      </c>
      <c r="D284" s="10">
        <v>45715</v>
      </c>
      <c r="E284" s="11" t="str">
        <f>+HYPERLINK("http://trademark.i-assist.jp/data/china/image_1925th/81807264.pdf","81807264")</f>
        <v>81807264</v>
      </c>
      <c r="F284" s="9" t="s">
        <v>788</v>
      </c>
      <c r="G284" s="12" t="s">
        <v>789</v>
      </c>
      <c r="H284" s="9" t="s">
        <v>790</v>
      </c>
      <c r="I284" s="10">
        <v>45602</v>
      </c>
    </row>
    <row r="285" spans="1:9" x14ac:dyDescent="0.15">
      <c r="A285" s="9">
        <v>284</v>
      </c>
      <c r="B285" s="9" t="s">
        <v>9</v>
      </c>
      <c r="C285" s="9">
        <v>1925</v>
      </c>
      <c r="D285" s="10">
        <v>45715</v>
      </c>
      <c r="E285" s="11" t="str">
        <f>+HYPERLINK("http://trademark.i-assist.jp/data/china/image_1925th/81809161.pdf","81809161")</f>
        <v>81809161</v>
      </c>
      <c r="F285" s="9" t="s">
        <v>791</v>
      </c>
      <c r="G285" s="9" t="s">
        <v>792</v>
      </c>
      <c r="H285" s="9" t="s">
        <v>793</v>
      </c>
      <c r="I285" s="10">
        <v>45602</v>
      </c>
    </row>
    <row r="286" spans="1:9" x14ac:dyDescent="0.15">
      <c r="A286" s="9">
        <v>285</v>
      </c>
      <c r="B286" s="9" t="s">
        <v>9</v>
      </c>
      <c r="C286" s="9">
        <v>1925</v>
      </c>
      <c r="D286" s="10">
        <v>45715</v>
      </c>
      <c r="E286" s="11" t="str">
        <f>+HYPERLINK("http://trademark.i-assist.jp/data/china/image_1925th/81811475.pdf","81811475")</f>
        <v>81811475</v>
      </c>
      <c r="F286" s="9" t="s">
        <v>794</v>
      </c>
      <c r="G286" s="12" t="s">
        <v>795</v>
      </c>
      <c r="H286" s="9" t="s">
        <v>796</v>
      </c>
      <c r="I286" s="10">
        <v>45602</v>
      </c>
    </row>
    <row r="287" spans="1:9" x14ac:dyDescent="0.15">
      <c r="A287" s="9">
        <v>286</v>
      </c>
      <c r="B287" s="9" t="s">
        <v>9</v>
      </c>
      <c r="C287" s="9">
        <v>1925</v>
      </c>
      <c r="D287" s="10">
        <v>45715</v>
      </c>
      <c r="E287" s="11" t="str">
        <f>+HYPERLINK("http://trademark.i-assist.jp/data/china/image_1925th/81812146.pdf","81812146")</f>
        <v>81812146</v>
      </c>
      <c r="F287" s="9" t="s">
        <v>797</v>
      </c>
      <c r="G287" s="9" t="s">
        <v>798</v>
      </c>
      <c r="H287" s="9" t="s">
        <v>799</v>
      </c>
      <c r="I287" s="10">
        <v>45602</v>
      </c>
    </row>
    <row r="288" spans="1:9" x14ac:dyDescent="0.15">
      <c r="A288" s="9">
        <v>287</v>
      </c>
      <c r="B288" s="9" t="s">
        <v>9</v>
      </c>
      <c r="C288" s="9">
        <v>1925</v>
      </c>
      <c r="D288" s="10">
        <v>45715</v>
      </c>
      <c r="E288" s="11" t="str">
        <f>+HYPERLINK("http://trademark.i-assist.jp/data/china/image_1925th/81814497.pdf","81814497")</f>
        <v>81814497</v>
      </c>
      <c r="F288" s="12" t="s">
        <v>800</v>
      </c>
      <c r="G288" s="12" t="s">
        <v>801</v>
      </c>
      <c r="H288" s="9" t="s">
        <v>802</v>
      </c>
      <c r="I288" s="10">
        <v>45602</v>
      </c>
    </row>
    <row r="289" spans="1:9" x14ac:dyDescent="0.15">
      <c r="A289" s="9">
        <v>288</v>
      </c>
      <c r="B289" s="9" t="s">
        <v>9</v>
      </c>
      <c r="C289" s="9">
        <v>1925</v>
      </c>
      <c r="D289" s="10">
        <v>45715</v>
      </c>
      <c r="E289" s="11" t="str">
        <f>+HYPERLINK("http://trademark.i-assist.jp/data/china/image_1925th/81814776.pdf","81814776")</f>
        <v>81814776</v>
      </c>
      <c r="F289" s="9" t="s">
        <v>803</v>
      </c>
      <c r="G289" s="12" t="s">
        <v>804</v>
      </c>
      <c r="H289" s="9" t="s">
        <v>805</v>
      </c>
      <c r="I289" s="10">
        <v>45602</v>
      </c>
    </row>
    <row r="290" spans="1:9" x14ac:dyDescent="0.15">
      <c r="A290" s="9">
        <v>289</v>
      </c>
      <c r="B290" s="9" t="s">
        <v>9</v>
      </c>
      <c r="C290" s="9">
        <v>1925</v>
      </c>
      <c r="D290" s="10">
        <v>45715</v>
      </c>
      <c r="E290" s="11" t="str">
        <f>+HYPERLINK("http://trademark.i-assist.jp/data/china/image_1925th/81814963.pdf","81814963")</f>
        <v>81814963</v>
      </c>
      <c r="F290" s="9" t="s">
        <v>806</v>
      </c>
      <c r="G290" s="9" t="s">
        <v>807</v>
      </c>
      <c r="H290" s="9" t="s">
        <v>808</v>
      </c>
      <c r="I290" s="10">
        <v>45602</v>
      </c>
    </row>
    <row r="291" spans="1:9" x14ac:dyDescent="0.15">
      <c r="A291" s="9">
        <v>290</v>
      </c>
      <c r="B291" s="9" t="s">
        <v>9</v>
      </c>
      <c r="C291" s="9">
        <v>1925</v>
      </c>
      <c r="D291" s="10">
        <v>45715</v>
      </c>
      <c r="E291" s="11" t="str">
        <f>+HYPERLINK("http://trademark.i-assist.jp/data/china/image_1925th/81817765.pdf","81817765")</f>
        <v>81817765</v>
      </c>
      <c r="F291" s="12" t="s">
        <v>809</v>
      </c>
      <c r="G291" s="9" t="s">
        <v>810</v>
      </c>
      <c r="H291" s="9" t="s">
        <v>811</v>
      </c>
      <c r="I291" s="10">
        <v>45603</v>
      </c>
    </row>
    <row r="292" spans="1:9" x14ac:dyDescent="0.15">
      <c r="A292" s="9">
        <v>291</v>
      </c>
      <c r="B292" s="9" t="s">
        <v>9</v>
      </c>
      <c r="C292" s="9">
        <v>1925</v>
      </c>
      <c r="D292" s="10">
        <v>45715</v>
      </c>
      <c r="E292" s="11" t="str">
        <f>+HYPERLINK("http://trademark.i-assist.jp/data/china/image_1925th/81819736.pdf","81819736")</f>
        <v>81819736</v>
      </c>
      <c r="F292" s="12" t="s">
        <v>57</v>
      </c>
      <c r="G292" s="9" t="s">
        <v>812</v>
      </c>
      <c r="H292" s="9" t="s">
        <v>813</v>
      </c>
      <c r="I292" s="10">
        <v>45603</v>
      </c>
    </row>
    <row r="293" spans="1:9" x14ac:dyDescent="0.15">
      <c r="A293" s="9">
        <v>292</v>
      </c>
      <c r="B293" s="9" t="s">
        <v>9</v>
      </c>
      <c r="C293" s="9">
        <v>1925</v>
      </c>
      <c r="D293" s="10">
        <v>45715</v>
      </c>
      <c r="E293" s="11" t="str">
        <f>+HYPERLINK("http://trademark.i-assist.jp/data/china/image_1925th/81819916.pdf","81819916")</f>
        <v>81819916</v>
      </c>
      <c r="F293" s="9" t="s">
        <v>814</v>
      </c>
      <c r="G293" s="9" t="s">
        <v>810</v>
      </c>
      <c r="H293" s="9" t="s">
        <v>815</v>
      </c>
      <c r="I293" s="10">
        <v>45603</v>
      </c>
    </row>
    <row r="294" spans="1:9" x14ac:dyDescent="0.15">
      <c r="A294" s="9">
        <v>293</v>
      </c>
      <c r="B294" s="9" t="s">
        <v>9</v>
      </c>
      <c r="C294" s="9">
        <v>1925</v>
      </c>
      <c r="D294" s="10">
        <v>45715</v>
      </c>
      <c r="E294" s="11" t="str">
        <f>+HYPERLINK("http://trademark.i-assist.jp/data/china/image_1925th/81821374.pdf","81821374")</f>
        <v>81821374</v>
      </c>
      <c r="F294" s="12" t="s">
        <v>816</v>
      </c>
      <c r="G294" s="9" t="s">
        <v>817</v>
      </c>
      <c r="H294" s="12" t="s">
        <v>818</v>
      </c>
      <c r="I294" s="10">
        <v>45603</v>
      </c>
    </row>
    <row r="295" spans="1:9" x14ac:dyDescent="0.15">
      <c r="A295" s="9">
        <v>294</v>
      </c>
      <c r="B295" s="9" t="s">
        <v>9</v>
      </c>
      <c r="C295" s="9">
        <v>1925</v>
      </c>
      <c r="D295" s="10">
        <v>45715</v>
      </c>
      <c r="E295" s="11" t="str">
        <f>+HYPERLINK("http://trademark.i-assist.jp/data/china/image_1925th/81822831.pdf","81822831")</f>
        <v>81822831</v>
      </c>
      <c r="F295" s="12" t="s">
        <v>819</v>
      </c>
      <c r="G295" s="9" t="s">
        <v>810</v>
      </c>
      <c r="H295" s="12" t="s">
        <v>820</v>
      </c>
      <c r="I295" s="10">
        <v>45603</v>
      </c>
    </row>
    <row r="296" spans="1:9" x14ac:dyDescent="0.15">
      <c r="A296" s="9">
        <v>295</v>
      </c>
      <c r="B296" s="9" t="s">
        <v>9</v>
      </c>
      <c r="C296" s="9">
        <v>1925</v>
      </c>
      <c r="D296" s="10">
        <v>45715</v>
      </c>
      <c r="E296" s="11" t="str">
        <f>+HYPERLINK("http://trademark.i-assist.jp/data/china/image_1925th/81823002.pdf","81823002")</f>
        <v>81823002</v>
      </c>
      <c r="F296" s="12" t="s">
        <v>821</v>
      </c>
      <c r="G296" s="12" t="s">
        <v>822</v>
      </c>
      <c r="H296" s="9" t="s">
        <v>823</v>
      </c>
      <c r="I296" s="10">
        <v>45603</v>
      </c>
    </row>
    <row r="297" spans="1:9" x14ac:dyDescent="0.15">
      <c r="A297" s="9">
        <v>296</v>
      </c>
      <c r="B297" s="9" t="s">
        <v>9</v>
      </c>
      <c r="C297" s="9">
        <v>1925</v>
      </c>
      <c r="D297" s="10">
        <v>45715</v>
      </c>
      <c r="E297" s="11" t="str">
        <f>+HYPERLINK("http://trademark.i-assist.jp/data/china/image_1925th/81823301.pdf","81823301")</f>
        <v>81823301</v>
      </c>
      <c r="F297" s="9" t="s">
        <v>824</v>
      </c>
      <c r="G297" s="9" t="s">
        <v>825</v>
      </c>
      <c r="H297" s="9" t="s">
        <v>826</v>
      </c>
      <c r="I297" s="10">
        <v>45603</v>
      </c>
    </row>
    <row r="298" spans="1:9" x14ac:dyDescent="0.15">
      <c r="A298" s="9">
        <v>297</v>
      </c>
      <c r="B298" s="9" t="s">
        <v>9</v>
      </c>
      <c r="C298" s="9">
        <v>1925</v>
      </c>
      <c r="D298" s="10">
        <v>45715</v>
      </c>
      <c r="E298" s="11" t="str">
        <f>+HYPERLINK("http://trademark.i-assist.jp/data/china/image_1925th/81823906.pdf","81823906")</f>
        <v>81823906</v>
      </c>
      <c r="F298" s="9" t="s">
        <v>827</v>
      </c>
      <c r="G298" s="9" t="s">
        <v>828</v>
      </c>
      <c r="H298" s="9" t="s">
        <v>829</v>
      </c>
      <c r="I298" s="10">
        <v>45603</v>
      </c>
    </row>
    <row r="299" spans="1:9" x14ac:dyDescent="0.15">
      <c r="A299" s="9">
        <v>298</v>
      </c>
      <c r="B299" s="9" t="s">
        <v>9</v>
      </c>
      <c r="C299" s="9">
        <v>1925</v>
      </c>
      <c r="D299" s="10">
        <v>45715</v>
      </c>
      <c r="E299" s="11" t="str">
        <f>+HYPERLINK("http://trademark.i-assist.jp/data/china/image_1925th/81824213.pdf","81824213")</f>
        <v>81824213</v>
      </c>
      <c r="F299" s="9" t="s">
        <v>830</v>
      </c>
      <c r="G299" s="9" t="s">
        <v>831</v>
      </c>
      <c r="H299" s="9" t="s">
        <v>832</v>
      </c>
      <c r="I299" s="10">
        <v>45603</v>
      </c>
    </row>
    <row r="300" spans="1:9" x14ac:dyDescent="0.15">
      <c r="A300" s="9">
        <v>299</v>
      </c>
      <c r="B300" s="9" t="s">
        <v>9</v>
      </c>
      <c r="C300" s="9">
        <v>1925</v>
      </c>
      <c r="D300" s="10">
        <v>45715</v>
      </c>
      <c r="E300" s="11" t="str">
        <f>+HYPERLINK("http://trademark.i-assist.jp/data/china/image_1925th/81824914.pdf","81824914")</f>
        <v>81824914</v>
      </c>
      <c r="F300" s="9" t="s">
        <v>833</v>
      </c>
      <c r="G300" s="12" t="s">
        <v>834</v>
      </c>
      <c r="H300" s="9" t="s">
        <v>835</v>
      </c>
      <c r="I300" s="10">
        <v>45603</v>
      </c>
    </row>
    <row r="301" spans="1:9" x14ac:dyDescent="0.15">
      <c r="A301" s="9">
        <v>300</v>
      </c>
      <c r="B301" s="9" t="s">
        <v>9</v>
      </c>
      <c r="C301" s="9">
        <v>1925</v>
      </c>
      <c r="D301" s="10">
        <v>45715</v>
      </c>
      <c r="E301" s="11" t="str">
        <f>+HYPERLINK("http://trademark.i-assist.jp/data/china/image_1925th/81826736.pdf","81826736")</f>
        <v>81826736</v>
      </c>
      <c r="F301" s="9" t="s">
        <v>836</v>
      </c>
      <c r="G301" s="9" t="s">
        <v>837</v>
      </c>
      <c r="H301" s="9" t="s">
        <v>14</v>
      </c>
      <c r="I301" s="10">
        <v>45603</v>
      </c>
    </row>
    <row r="302" spans="1:9" x14ac:dyDescent="0.15">
      <c r="A302" s="9">
        <v>301</v>
      </c>
      <c r="B302" s="9" t="s">
        <v>9</v>
      </c>
      <c r="C302" s="9">
        <v>1925</v>
      </c>
      <c r="D302" s="10">
        <v>45715</v>
      </c>
      <c r="E302" s="11" t="str">
        <f>+HYPERLINK("http://trademark.i-assist.jp/data/china/image_1925th/81827024.pdf","81827024")</f>
        <v>81827024</v>
      </c>
      <c r="F302" s="9" t="s">
        <v>838</v>
      </c>
      <c r="G302" s="9" t="s">
        <v>810</v>
      </c>
      <c r="H302" s="9" t="s">
        <v>839</v>
      </c>
      <c r="I302" s="10">
        <v>45603</v>
      </c>
    </row>
    <row r="303" spans="1:9" x14ac:dyDescent="0.15">
      <c r="A303" s="9">
        <v>302</v>
      </c>
      <c r="B303" s="9" t="s">
        <v>9</v>
      </c>
      <c r="C303" s="9">
        <v>1925</v>
      </c>
      <c r="D303" s="10">
        <v>45715</v>
      </c>
      <c r="E303" s="11" t="str">
        <f>+HYPERLINK("http://trademark.i-assist.jp/data/china/image_1925th/81827612.pdf","81827612")</f>
        <v>81827612</v>
      </c>
      <c r="F303" s="9" t="s">
        <v>840</v>
      </c>
      <c r="G303" s="9" t="s">
        <v>841</v>
      </c>
      <c r="H303" s="12" t="s">
        <v>842</v>
      </c>
      <c r="I303" s="10">
        <v>45603</v>
      </c>
    </row>
    <row r="304" spans="1:9" x14ac:dyDescent="0.15">
      <c r="A304" s="9">
        <v>303</v>
      </c>
      <c r="B304" s="9" t="s">
        <v>9</v>
      </c>
      <c r="C304" s="9">
        <v>1925</v>
      </c>
      <c r="D304" s="10">
        <v>45715</v>
      </c>
      <c r="E304" s="11" t="str">
        <f>+HYPERLINK("http://trademark.i-assist.jp/data/china/image_1925th/81828375.pdf","81828375")</f>
        <v>81828375</v>
      </c>
      <c r="F304" s="9" t="s">
        <v>843</v>
      </c>
      <c r="G304" s="9" t="s">
        <v>844</v>
      </c>
      <c r="H304" s="9" t="s">
        <v>845</v>
      </c>
      <c r="I304" s="10">
        <v>45603</v>
      </c>
    </row>
    <row r="305" spans="1:9" x14ac:dyDescent="0.15">
      <c r="A305" s="9">
        <v>304</v>
      </c>
      <c r="B305" s="9" t="s">
        <v>9</v>
      </c>
      <c r="C305" s="9">
        <v>1925</v>
      </c>
      <c r="D305" s="10">
        <v>45715</v>
      </c>
      <c r="E305" s="11" t="str">
        <f>+HYPERLINK("http://trademark.i-assist.jp/data/china/image_1925th/81828538.pdf","81828538")</f>
        <v>81828538</v>
      </c>
      <c r="F305" s="9" t="s">
        <v>846</v>
      </c>
      <c r="G305" s="9" t="s">
        <v>847</v>
      </c>
      <c r="H305" s="9" t="s">
        <v>848</v>
      </c>
      <c r="I305" s="10">
        <v>45603</v>
      </c>
    </row>
    <row r="306" spans="1:9" x14ac:dyDescent="0.15">
      <c r="A306" s="9">
        <v>305</v>
      </c>
      <c r="B306" s="9" t="s">
        <v>9</v>
      </c>
      <c r="C306" s="9">
        <v>1925</v>
      </c>
      <c r="D306" s="10">
        <v>45715</v>
      </c>
      <c r="E306" s="11" t="str">
        <f>+HYPERLINK("http://trademark.i-assist.jp/data/china/image_1925th/81829060.pdf","81829060")</f>
        <v>81829060</v>
      </c>
      <c r="F306" s="9" t="s">
        <v>849</v>
      </c>
      <c r="G306" s="9" t="s">
        <v>850</v>
      </c>
      <c r="H306" s="9" t="s">
        <v>851</v>
      </c>
      <c r="I306" s="10">
        <v>45603</v>
      </c>
    </row>
    <row r="307" spans="1:9" x14ac:dyDescent="0.15">
      <c r="A307" s="9">
        <v>306</v>
      </c>
      <c r="B307" s="9" t="s">
        <v>9</v>
      </c>
      <c r="C307" s="9">
        <v>1925</v>
      </c>
      <c r="D307" s="10">
        <v>45715</v>
      </c>
      <c r="E307" s="11" t="str">
        <f>+HYPERLINK("http://trademark.i-assist.jp/data/china/image_1925th/81830564.pdf","81830564")</f>
        <v>81830564</v>
      </c>
      <c r="F307" s="12" t="s">
        <v>852</v>
      </c>
      <c r="G307" s="9" t="s">
        <v>817</v>
      </c>
      <c r="H307" s="12" t="s">
        <v>853</v>
      </c>
      <c r="I307" s="10">
        <v>45603</v>
      </c>
    </row>
    <row r="308" spans="1:9" x14ac:dyDescent="0.15">
      <c r="A308" s="9">
        <v>307</v>
      </c>
      <c r="B308" s="9" t="s">
        <v>9</v>
      </c>
      <c r="C308" s="9">
        <v>1925</v>
      </c>
      <c r="D308" s="10">
        <v>45715</v>
      </c>
      <c r="E308" s="11" t="str">
        <f>+HYPERLINK("http://trademark.i-assist.jp/data/china/image_1925th/81830679.pdf","81830679")</f>
        <v>81830679</v>
      </c>
      <c r="F308" s="9" t="s">
        <v>854</v>
      </c>
      <c r="G308" s="9" t="s">
        <v>841</v>
      </c>
      <c r="H308" s="12" t="s">
        <v>855</v>
      </c>
      <c r="I308" s="10">
        <v>45603</v>
      </c>
    </row>
    <row r="309" spans="1:9" x14ac:dyDescent="0.15">
      <c r="A309" s="9">
        <v>308</v>
      </c>
      <c r="B309" s="9" t="s">
        <v>9</v>
      </c>
      <c r="C309" s="9">
        <v>1925</v>
      </c>
      <c r="D309" s="10">
        <v>45715</v>
      </c>
      <c r="E309" s="11" t="str">
        <f>+HYPERLINK("http://trademark.i-assist.jp/data/china/image_1925th/81831206.pdf","81831206")</f>
        <v>81831206</v>
      </c>
      <c r="F309" s="9" t="s">
        <v>856</v>
      </c>
      <c r="G309" s="9" t="s">
        <v>857</v>
      </c>
      <c r="H309" s="9" t="s">
        <v>858</v>
      </c>
      <c r="I309" s="10">
        <v>45603</v>
      </c>
    </row>
    <row r="310" spans="1:9" x14ac:dyDescent="0.15">
      <c r="A310" s="9">
        <v>309</v>
      </c>
      <c r="B310" s="9" t="s">
        <v>9</v>
      </c>
      <c r="C310" s="9">
        <v>1925</v>
      </c>
      <c r="D310" s="10">
        <v>45715</v>
      </c>
      <c r="E310" s="11" t="str">
        <f>+HYPERLINK("http://trademark.i-assist.jp/data/china/image_1925th/81831383.pdf","81831383")</f>
        <v>81831383</v>
      </c>
      <c r="F310" s="9" t="s">
        <v>859</v>
      </c>
      <c r="G310" s="9" t="s">
        <v>16</v>
      </c>
      <c r="H310" s="12" t="s">
        <v>860</v>
      </c>
      <c r="I310" s="10">
        <v>45603</v>
      </c>
    </row>
    <row r="311" spans="1:9" x14ac:dyDescent="0.15">
      <c r="A311" s="9">
        <v>310</v>
      </c>
      <c r="B311" s="9" t="s">
        <v>9</v>
      </c>
      <c r="C311" s="9">
        <v>1925</v>
      </c>
      <c r="D311" s="10">
        <v>45715</v>
      </c>
      <c r="E311" s="11" t="str">
        <f>+HYPERLINK("http://trademark.i-assist.jp/data/china/image_1925th/81831956.pdf","81831956")</f>
        <v>81831956</v>
      </c>
      <c r="F311" s="9" t="s">
        <v>861</v>
      </c>
      <c r="G311" s="9" t="s">
        <v>841</v>
      </c>
      <c r="H311" s="12" t="s">
        <v>862</v>
      </c>
      <c r="I311" s="10">
        <v>45603</v>
      </c>
    </row>
    <row r="312" spans="1:9" x14ac:dyDescent="0.15">
      <c r="A312" s="9">
        <v>311</v>
      </c>
      <c r="B312" s="9" t="s">
        <v>9</v>
      </c>
      <c r="C312" s="9">
        <v>1925</v>
      </c>
      <c r="D312" s="10">
        <v>45715</v>
      </c>
      <c r="E312" s="11" t="str">
        <f>+HYPERLINK("http://trademark.i-assist.jp/data/china/image_1925th/81832367.pdf","81832367")</f>
        <v>81832367</v>
      </c>
      <c r="F312" s="9" t="s">
        <v>863</v>
      </c>
      <c r="G312" s="9" t="s">
        <v>810</v>
      </c>
      <c r="H312" s="9" t="s">
        <v>864</v>
      </c>
      <c r="I312" s="10">
        <v>45603</v>
      </c>
    </row>
    <row r="313" spans="1:9" x14ac:dyDescent="0.15">
      <c r="A313" s="9">
        <v>312</v>
      </c>
      <c r="B313" s="9" t="s">
        <v>9</v>
      </c>
      <c r="C313" s="9">
        <v>1925</v>
      </c>
      <c r="D313" s="10">
        <v>45715</v>
      </c>
      <c r="E313" s="11" t="str">
        <f>+HYPERLINK("http://trademark.i-assist.jp/data/china/image_1925th/81832377.pdf","81832377")</f>
        <v>81832377</v>
      </c>
      <c r="F313" s="9" t="s">
        <v>865</v>
      </c>
      <c r="G313" s="9" t="s">
        <v>810</v>
      </c>
      <c r="H313" s="9" t="s">
        <v>866</v>
      </c>
      <c r="I313" s="10">
        <v>45603</v>
      </c>
    </row>
    <row r="314" spans="1:9" x14ac:dyDescent="0.15">
      <c r="A314" s="9">
        <v>313</v>
      </c>
      <c r="B314" s="9" t="s">
        <v>9</v>
      </c>
      <c r="C314" s="9">
        <v>1925</v>
      </c>
      <c r="D314" s="10">
        <v>45715</v>
      </c>
      <c r="E314" s="11" t="str">
        <f>+HYPERLINK("http://trademark.i-assist.jp/data/china/image_1925th/81833773.pdf","81833773")</f>
        <v>81833773</v>
      </c>
      <c r="F314" s="9" t="s">
        <v>867</v>
      </c>
      <c r="G314" s="9" t="s">
        <v>868</v>
      </c>
      <c r="H314" s="12" t="s">
        <v>869</v>
      </c>
      <c r="I314" s="10">
        <v>45603</v>
      </c>
    </row>
    <row r="315" spans="1:9" x14ac:dyDescent="0.15">
      <c r="A315" s="9">
        <v>314</v>
      </c>
      <c r="B315" s="9" t="s">
        <v>9</v>
      </c>
      <c r="C315" s="9">
        <v>1925</v>
      </c>
      <c r="D315" s="10">
        <v>45715</v>
      </c>
      <c r="E315" s="11" t="str">
        <f>+HYPERLINK("http://trademark.i-assist.jp/data/china/image_1925th/81835640.pdf","81835640")</f>
        <v>81835640</v>
      </c>
      <c r="F315" s="9" t="s">
        <v>870</v>
      </c>
      <c r="G315" s="12" t="s">
        <v>871</v>
      </c>
      <c r="H315" s="9" t="s">
        <v>872</v>
      </c>
      <c r="I315" s="10">
        <v>45603</v>
      </c>
    </row>
    <row r="316" spans="1:9" x14ac:dyDescent="0.15">
      <c r="A316" s="9">
        <v>315</v>
      </c>
      <c r="B316" s="9" t="s">
        <v>9</v>
      </c>
      <c r="C316" s="9">
        <v>1925</v>
      </c>
      <c r="D316" s="10">
        <v>45715</v>
      </c>
      <c r="E316" s="11" t="str">
        <f>+HYPERLINK("http://trademark.i-assist.jp/data/china/image_1925th/81836257.pdf","81836257")</f>
        <v>81836257</v>
      </c>
      <c r="F316" s="12" t="s">
        <v>873</v>
      </c>
      <c r="G316" s="12" t="s">
        <v>874</v>
      </c>
      <c r="H316" s="9" t="s">
        <v>875</v>
      </c>
      <c r="I316" s="10">
        <v>45603</v>
      </c>
    </row>
    <row r="317" spans="1:9" x14ac:dyDescent="0.15">
      <c r="A317" s="9">
        <v>316</v>
      </c>
      <c r="B317" s="9" t="s">
        <v>9</v>
      </c>
      <c r="C317" s="9">
        <v>1925</v>
      </c>
      <c r="D317" s="10">
        <v>45715</v>
      </c>
      <c r="E317" s="11" t="str">
        <f>+HYPERLINK("http://trademark.i-assist.jp/data/china/image_1925th/81837915.pdf","81837915")</f>
        <v>81837915</v>
      </c>
      <c r="F317" s="9" t="s">
        <v>876</v>
      </c>
      <c r="G317" s="9" t="s">
        <v>810</v>
      </c>
      <c r="H317" s="12" t="s">
        <v>877</v>
      </c>
      <c r="I317" s="10">
        <v>45603</v>
      </c>
    </row>
    <row r="318" spans="1:9" x14ac:dyDescent="0.15">
      <c r="A318" s="9">
        <v>317</v>
      </c>
      <c r="B318" s="9" t="s">
        <v>9</v>
      </c>
      <c r="C318" s="9">
        <v>1925</v>
      </c>
      <c r="D318" s="10">
        <v>45715</v>
      </c>
      <c r="E318" s="11" t="str">
        <f>+HYPERLINK("http://trademark.i-assist.jp/data/china/image_1925th/81840663.pdf","81840663")</f>
        <v>81840663</v>
      </c>
      <c r="F318" s="9" t="s">
        <v>878</v>
      </c>
      <c r="G318" s="9" t="s">
        <v>810</v>
      </c>
      <c r="H318" s="9" t="s">
        <v>879</v>
      </c>
      <c r="I318" s="10">
        <v>45603</v>
      </c>
    </row>
    <row r="319" spans="1:9" x14ac:dyDescent="0.15">
      <c r="A319" s="9">
        <v>318</v>
      </c>
      <c r="B319" s="9" t="s">
        <v>9</v>
      </c>
      <c r="C319" s="9">
        <v>1925</v>
      </c>
      <c r="D319" s="10">
        <v>45715</v>
      </c>
      <c r="E319" s="11" t="str">
        <f>+HYPERLINK("http://trademark.i-assist.jp/data/china/image_1925th/81840919.pdf","81840919")</f>
        <v>81840919</v>
      </c>
      <c r="F319" s="12" t="s">
        <v>880</v>
      </c>
      <c r="G319" s="9" t="s">
        <v>881</v>
      </c>
      <c r="H319" s="9" t="s">
        <v>882</v>
      </c>
      <c r="I319" s="10">
        <v>45603</v>
      </c>
    </row>
    <row r="320" spans="1:9" x14ac:dyDescent="0.15">
      <c r="A320" s="9">
        <v>319</v>
      </c>
      <c r="B320" s="9" t="s">
        <v>9</v>
      </c>
      <c r="C320" s="9">
        <v>1925</v>
      </c>
      <c r="D320" s="10">
        <v>45715</v>
      </c>
      <c r="E320" s="11" t="str">
        <f>+HYPERLINK("http://trademark.i-assist.jp/data/china/image_1925th/81841545.pdf","81841545")</f>
        <v>81841545</v>
      </c>
      <c r="F320" s="9" t="s">
        <v>883</v>
      </c>
      <c r="G320" s="9" t="s">
        <v>884</v>
      </c>
      <c r="H320" s="9" t="s">
        <v>885</v>
      </c>
      <c r="I320" s="10">
        <v>45604</v>
      </c>
    </row>
    <row r="321" spans="1:9" x14ac:dyDescent="0.15">
      <c r="A321" s="9">
        <v>320</v>
      </c>
      <c r="B321" s="9" t="s">
        <v>9</v>
      </c>
      <c r="C321" s="9">
        <v>1925</v>
      </c>
      <c r="D321" s="10">
        <v>45715</v>
      </c>
      <c r="E321" s="11" t="str">
        <f>+HYPERLINK("http://trademark.i-assist.jp/data/china/image_1925th/81841817.pdf","81841817")</f>
        <v>81841817</v>
      </c>
      <c r="F321" s="9" t="s">
        <v>886</v>
      </c>
      <c r="G321" s="12" t="s">
        <v>887</v>
      </c>
      <c r="H321" s="9" t="s">
        <v>888</v>
      </c>
      <c r="I321" s="10">
        <v>45604</v>
      </c>
    </row>
    <row r="322" spans="1:9" x14ac:dyDescent="0.15">
      <c r="A322" s="9">
        <v>321</v>
      </c>
      <c r="B322" s="9" t="s">
        <v>9</v>
      </c>
      <c r="C322" s="9">
        <v>1925</v>
      </c>
      <c r="D322" s="10">
        <v>45715</v>
      </c>
      <c r="E322" s="11" t="str">
        <f>+HYPERLINK("http://trademark.i-assist.jp/data/china/image_1925th/81843489.pdf","81843489")</f>
        <v>81843489</v>
      </c>
      <c r="F322" s="12" t="s">
        <v>889</v>
      </c>
      <c r="G322" s="9" t="s">
        <v>890</v>
      </c>
      <c r="H322" s="9" t="s">
        <v>891</v>
      </c>
      <c r="I322" s="10">
        <v>45604</v>
      </c>
    </row>
    <row r="323" spans="1:9" x14ac:dyDescent="0.15">
      <c r="A323" s="9">
        <v>322</v>
      </c>
      <c r="B323" s="9" t="s">
        <v>9</v>
      </c>
      <c r="C323" s="9">
        <v>1925</v>
      </c>
      <c r="D323" s="10">
        <v>45715</v>
      </c>
      <c r="E323" s="11" t="str">
        <f>+HYPERLINK("http://trademark.i-assist.jp/data/china/image_1925th/81846205.pdf","81846205")</f>
        <v>81846205</v>
      </c>
      <c r="F323" s="9" t="s">
        <v>892</v>
      </c>
      <c r="G323" s="12" t="s">
        <v>893</v>
      </c>
      <c r="H323" s="9" t="s">
        <v>894</v>
      </c>
      <c r="I323" s="10">
        <v>45604</v>
      </c>
    </row>
    <row r="324" spans="1:9" x14ac:dyDescent="0.15">
      <c r="A324" s="9">
        <v>323</v>
      </c>
      <c r="B324" s="9" t="s">
        <v>9</v>
      </c>
      <c r="C324" s="9">
        <v>1925</v>
      </c>
      <c r="D324" s="10">
        <v>45715</v>
      </c>
      <c r="E324" s="11" t="str">
        <f>+HYPERLINK("http://trademark.i-assist.jp/data/china/image_1925th/81848532.pdf","81848532")</f>
        <v>81848532</v>
      </c>
      <c r="F324" s="9" t="s">
        <v>895</v>
      </c>
      <c r="G324" s="12" t="s">
        <v>896</v>
      </c>
      <c r="H324" s="9" t="s">
        <v>897</v>
      </c>
      <c r="I324" s="10">
        <v>45604</v>
      </c>
    </row>
    <row r="325" spans="1:9" x14ac:dyDescent="0.15">
      <c r="A325" s="9">
        <v>324</v>
      </c>
      <c r="B325" s="9" t="s">
        <v>9</v>
      </c>
      <c r="C325" s="9">
        <v>1925</v>
      </c>
      <c r="D325" s="10">
        <v>45715</v>
      </c>
      <c r="E325" s="11" t="str">
        <f>+HYPERLINK("http://trademark.i-assist.jp/data/china/image_1925th/81849197.pdf","81849197")</f>
        <v>81849197</v>
      </c>
      <c r="F325" s="9" t="s">
        <v>898</v>
      </c>
      <c r="G325" s="9" t="s">
        <v>33</v>
      </c>
      <c r="H325" s="9" t="s">
        <v>899</v>
      </c>
      <c r="I325" s="10">
        <v>45604</v>
      </c>
    </row>
    <row r="326" spans="1:9" x14ac:dyDescent="0.15">
      <c r="A326" s="9">
        <v>325</v>
      </c>
      <c r="B326" s="9" t="s">
        <v>9</v>
      </c>
      <c r="C326" s="9">
        <v>1925</v>
      </c>
      <c r="D326" s="10">
        <v>45715</v>
      </c>
      <c r="E326" s="11" t="str">
        <f>+HYPERLINK("http://trademark.i-assist.jp/data/china/image_1925th/81849412.pdf","81849412")</f>
        <v>81849412</v>
      </c>
      <c r="F326" s="12" t="s">
        <v>900</v>
      </c>
      <c r="G326" s="9" t="s">
        <v>901</v>
      </c>
      <c r="H326" s="9" t="s">
        <v>902</v>
      </c>
      <c r="I326" s="10">
        <v>45604</v>
      </c>
    </row>
    <row r="327" spans="1:9" x14ac:dyDescent="0.15">
      <c r="A327" s="9">
        <v>326</v>
      </c>
      <c r="B327" s="9" t="s">
        <v>9</v>
      </c>
      <c r="C327" s="9">
        <v>1925</v>
      </c>
      <c r="D327" s="10">
        <v>45715</v>
      </c>
      <c r="E327" s="11" t="str">
        <f>+HYPERLINK("http://trademark.i-assist.jp/data/china/image_1925th/81854109.pdf","81854109")</f>
        <v>81854109</v>
      </c>
      <c r="F327" s="9" t="s">
        <v>903</v>
      </c>
      <c r="G327" s="9" t="s">
        <v>904</v>
      </c>
      <c r="H327" s="9" t="s">
        <v>905</v>
      </c>
      <c r="I327" s="10">
        <v>45604</v>
      </c>
    </row>
    <row r="328" spans="1:9" x14ac:dyDescent="0.15">
      <c r="A328" s="9">
        <v>327</v>
      </c>
      <c r="B328" s="9" t="s">
        <v>9</v>
      </c>
      <c r="C328" s="9">
        <v>1925</v>
      </c>
      <c r="D328" s="10">
        <v>45715</v>
      </c>
      <c r="E328" s="11" t="str">
        <f>+HYPERLINK("http://trademark.i-assist.jp/data/china/image_1925th/81854618.pdf","81854618")</f>
        <v>81854618</v>
      </c>
      <c r="F328" s="9" t="s">
        <v>906</v>
      </c>
      <c r="G328" s="9" t="s">
        <v>907</v>
      </c>
      <c r="H328" s="9" t="s">
        <v>908</v>
      </c>
      <c r="I328" s="10">
        <v>45604</v>
      </c>
    </row>
    <row r="329" spans="1:9" x14ac:dyDescent="0.15">
      <c r="A329" s="9">
        <v>328</v>
      </c>
      <c r="B329" s="9" t="s">
        <v>9</v>
      </c>
      <c r="C329" s="9">
        <v>1925</v>
      </c>
      <c r="D329" s="10">
        <v>45715</v>
      </c>
      <c r="E329" s="11" t="str">
        <f>+HYPERLINK("http://trademark.i-assist.jp/data/china/image_1925th/81855972.pdf","81855972")</f>
        <v>81855972</v>
      </c>
      <c r="F329" s="9" t="s">
        <v>909</v>
      </c>
      <c r="G329" s="9" t="s">
        <v>910</v>
      </c>
      <c r="H329" s="9" t="s">
        <v>911</v>
      </c>
      <c r="I329" s="10">
        <v>45604</v>
      </c>
    </row>
    <row r="330" spans="1:9" x14ac:dyDescent="0.15">
      <c r="A330" s="9">
        <v>329</v>
      </c>
      <c r="B330" s="9" t="s">
        <v>9</v>
      </c>
      <c r="C330" s="9">
        <v>1925</v>
      </c>
      <c r="D330" s="10">
        <v>45715</v>
      </c>
      <c r="E330" s="11" t="str">
        <f>+HYPERLINK("http://trademark.i-assist.jp/data/china/image_1925th/81857211.pdf","81857211")</f>
        <v>81857211</v>
      </c>
      <c r="F330" s="9" t="s">
        <v>912</v>
      </c>
      <c r="G330" s="9" t="s">
        <v>884</v>
      </c>
      <c r="H330" s="9" t="s">
        <v>913</v>
      </c>
      <c r="I330" s="10">
        <v>45604</v>
      </c>
    </row>
    <row r="331" spans="1:9" x14ac:dyDescent="0.15">
      <c r="A331" s="9">
        <v>330</v>
      </c>
      <c r="B331" s="9" t="s">
        <v>9</v>
      </c>
      <c r="C331" s="9">
        <v>1925</v>
      </c>
      <c r="D331" s="10">
        <v>45715</v>
      </c>
      <c r="E331" s="11" t="str">
        <f>+HYPERLINK("http://trademark.i-assist.jp/data/china/image_1925th/81857939.pdf","81857939")</f>
        <v>81857939</v>
      </c>
      <c r="F331" s="9" t="s">
        <v>914</v>
      </c>
      <c r="G331" s="9" t="s">
        <v>915</v>
      </c>
      <c r="H331" s="9" t="s">
        <v>916</v>
      </c>
      <c r="I331" s="10">
        <v>45604</v>
      </c>
    </row>
    <row r="332" spans="1:9" x14ac:dyDescent="0.15">
      <c r="A332" s="9">
        <v>331</v>
      </c>
      <c r="B332" s="9" t="s">
        <v>9</v>
      </c>
      <c r="C332" s="9">
        <v>1925</v>
      </c>
      <c r="D332" s="10">
        <v>45715</v>
      </c>
      <c r="E332" s="11" t="str">
        <f>+HYPERLINK("http://trademark.i-assist.jp/data/china/image_1925th/81859534.pdf","81859534")</f>
        <v>81859534</v>
      </c>
      <c r="F332" s="9" t="s">
        <v>917</v>
      </c>
      <c r="G332" s="9" t="s">
        <v>910</v>
      </c>
      <c r="H332" s="9" t="s">
        <v>918</v>
      </c>
      <c r="I332" s="10">
        <v>45604</v>
      </c>
    </row>
    <row r="333" spans="1:9" x14ac:dyDescent="0.15">
      <c r="A333" s="9">
        <v>332</v>
      </c>
      <c r="B333" s="9" t="s">
        <v>9</v>
      </c>
      <c r="C333" s="9">
        <v>1925</v>
      </c>
      <c r="D333" s="10">
        <v>45715</v>
      </c>
      <c r="E333" s="11" t="str">
        <f>+HYPERLINK("http://trademark.i-assist.jp/data/china/image_1925th/81860245.pdf","81860245")</f>
        <v>81860245</v>
      </c>
      <c r="F333" s="9" t="s">
        <v>919</v>
      </c>
      <c r="G333" s="9" t="s">
        <v>920</v>
      </c>
      <c r="H333" s="9" t="s">
        <v>921</v>
      </c>
      <c r="I333" s="10">
        <v>45604</v>
      </c>
    </row>
    <row r="334" spans="1:9" x14ac:dyDescent="0.15">
      <c r="A334" s="9">
        <v>333</v>
      </c>
      <c r="B334" s="9" t="s">
        <v>9</v>
      </c>
      <c r="C334" s="9">
        <v>1925</v>
      </c>
      <c r="D334" s="10">
        <v>45715</v>
      </c>
      <c r="E334" s="11" t="str">
        <f>+HYPERLINK("http://trademark.i-assist.jp/data/china/image_1925th/81861057.pdf","81861057")</f>
        <v>81861057</v>
      </c>
      <c r="F334" s="12" t="s">
        <v>922</v>
      </c>
      <c r="G334" s="9" t="s">
        <v>923</v>
      </c>
      <c r="H334" s="9" t="s">
        <v>924</v>
      </c>
      <c r="I334" s="10">
        <v>45604</v>
      </c>
    </row>
    <row r="335" spans="1:9" x14ac:dyDescent="0.15">
      <c r="A335" s="9">
        <v>334</v>
      </c>
      <c r="B335" s="9" t="s">
        <v>9</v>
      </c>
      <c r="C335" s="9">
        <v>1925</v>
      </c>
      <c r="D335" s="10">
        <v>45715</v>
      </c>
      <c r="E335" s="11" t="str">
        <f>+HYPERLINK("http://trademark.i-assist.jp/data/china/image_1925th/81863256.pdf","81863256")</f>
        <v>81863256</v>
      </c>
      <c r="F335" s="12" t="s">
        <v>925</v>
      </c>
      <c r="G335" s="9" t="s">
        <v>926</v>
      </c>
      <c r="H335" s="9" t="s">
        <v>927</v>
      </c>
      <c r="I335" s="10">
        <v>45604</v>
      </c>
    </row>
    <row r="336" spans="1:9" x14ac:dyDescent="0.15">
      <c r="A336" s="9">
        <v>335</v>
      </c>
      <c r="B336" s="9" t="s">
        <v>9</v>
      </c>
      <c r="C336" s="9">
        <v>1925</v>
      </c>
      <c r="D336" s="10">
        <v>45715</v>
      </c>
      <c r="E336" s="11" t="str">
        <f>+HYPERLINK("http://trademark.i-assist.jp/data/china/image_1925th/81863505.pdf","81863505")</f>
        <v>81863505</v>
      </c>
      <c r="F336" s="9" t="s">
        <v>928</v>
      </c>
      <c r="G336" s="9" t="s">
        <v>910</v>
      </c>
      <c r="H336" s="9" t="s">
        <v>929</v>
      </c>
      <c r="I336" s="10">
        <v>45604</v>
      </c>
    </row>
    <row r="337" spans="1:9" x14ac:dyDescent="0.15">
      <c r="A337" s="9">
        <v>336</v>
      </c>
      <c r="B337" s="9" t="s">
        <v>9</v>
      </c>
      <c r="C337" s="9">
        <v>1925</v>
      </c>
      <c r="D337" s="10">
        <v>45715</v>
      </c>
      <c r="E337" s="11" t="str">
        <f>+HYPERLINK("http://trademark.i-assist.jp/data/china/image_1925th/81865834.pdf","81865834")</f>
        <v>81865834</v>
      </c>
      <c r="F337" s="9" t="s">
        <v>930</v>
      </c>
      <c r="G337" s="9" t="s">
        <v>931</v>
      </c>
      <c r="H337" s="12" t="s">
        <v>932</v>
      </c>
      <c r="I337" s="10">
        <v>45604</v>
      </c>
    </row>
    <row r="338" spans="1:9" x14ac:dyDescent="0.15">
      <c r="A338" s="9">
        <v>337</v>
      </c>
      <c r="B338" s="9" t="s">
        <v>9</v>
      </c>
      <c r="C338" s="9">
        <v>1925</v>
      </c>
      <c r="D338" s="10">
        <v>45715</v>
      </c>
      <c r="E338" s="11" t="str">
        <f>+HYPERLINK("http://trademark.i-assist.jp/data/china/image_1925th/81866667.pdf","81866667")</f>
        <v>81866667</v>
      </c>
      <c r="F338" s="12" t="s">
        <v>933</v>
      </c>
      <c r="G338" s="9" t="s">
        <v>934</v>
      </c>
      <c r="H338" s="9" t="s">
        <v>935</v>
      </c>
      <c r="I338" s="10">
        <v>45605</v>
      </c>
    </row>
    <row r="339" spans="1:9" x14ac:dyDescent="0.15">
      <c r="A339" s="9">
        <v>338</v>
      </c>
      <c r="B339" s="9" t="s">
        <v>9</v>
      </c>
      <c r="C339" s="9">
        <v>1925</v>
      </c>
      <c r="D339" s="10">
        <v>45715</v>
      </c>
      <c r="E339" s="11" t="str">
        <f>+HYPERLINK("http://trademark.i-assist.jp/data/china/image_1925th/81866701.pdf","81866701")</f>
        <v>81866701</v>
      </c>
      <c r="F339" s="9" t="s">
        <v>936</v>
      </c>
      <c r="G339" s="12" t="s">
        <v>937</v>
      </c>
      <c r="H339" s="9" t="s">
        <v>938</v>
      </c>
      <c r="I339" s="10">
        <v>45605</v>
      </c>
    </row>
    <row r="340" spans="1:9" x14ac:dyDescent="0.15">
      <c r="A340" s="9">
        <v>339</v>
      </c>
      <c r="B340" s="9" t="s">
        <v>9</v>
      </c>
      <c r="C340" s="9">
        <v>1925</v>
      </c>
      <c r="D340" s="10">
        <v>45715</v>
      </c>
      <c r="E340" s="11" t="str">
        <f>+HYPERLINK("http://trademark.i-assist.jp/data/china/image_1925th/81867300.pdf","81867300")</f>
        <v>81867300</v>
      </c>
      <c r="F340" s="9" t="s">
        <v>939</v>
      </c>
      <c r="G340" s="9" t="s">
        <v>940</v>
      </c>
      <c r="H340" s="9" t="s">
        <v>941</v>
      </c>
      <c r="I340" s="10">
        <v>45605</v>
      </c>
    </row>
    <row r="341" spans="1:9" x14ac:dyDescent="0.15">
      <c r="A341" s="9">
        <v>340</v>
      </c>
      <c r="B341" s="9" t="s">
        <v>9</v>
      </c>
      <c r="C341" s="9">
        <v>1925</v>
      </c>
      <c r="D341" s="10">
        <v>45715</v>
      </c>
      <c r="E341" s="11" t="str">
        <f>+HYPERLINK("http://trademark.i-assist.jp/data/china/image_1925th/81867631.pdf","81867631")</f>
        <v>81867631</v>
      </c>
      <c r="F341" s="9" t="s">
        <v>942</v>
      </c>
      <c r="G341" s="9" t="s">
        <v>943</v>
      </c>
      <c r="H341" s="12" t="s">
        <v>944</v>
      </c>
      <c r="I341" s="10">
        <v>45605</v>
      </c>
    </row>
    <row r="342" spans="1:9" x14ac:dyDescent="0.15">
      <c r="A342" s="9">
        <v>341</v>
      </c>
      <c r="B342" s="9" t="s">
        <v>9</v>
      </c>
      <c r="C342" s="9">
        <v>1925</v>
      </c>
      <c r="D342" s="10">
        <v>45715</v>
      </c>
      <c r="E342" s="11" t="str">
        <f>+HYPERLINK("http://trademark.i-assist.jp/data/china/image_1925th/81868000.pdf","81868000")</f>
        <v>81868000</v>
      </c>
      <c r="F342" s="9" t="s">
        <v>945</v>
      </c>
      <c r="G342" s="9" t="s">
        <v>946</v>
      </c>
      <c r="H342" s="9" t="s">
        <v>947</v>
      </c>
      <c r="I342" s="10">
        <v>45605</v>
      </c>
    </row>
    <row r="343" spans="1:9" x14ac:dyDescent="0.15">
      <c r="A343" s="9">
        <v>342</v>
      </c>
      <c r="B343" s="9" t="s">
        <v>9</v>
      </c>
      <c r="C343" s="9">
        <v>1925</v>
      </c>
      <c r="D343" s="10">
        <v>45715</v>
      </c>
      <c r="E343" s="11" t="str">
        <f>+HYPERLINK("http://trademark.i-assist.jp/data/china/image_1925th/81868616.pdf","81868616")</f>
        <v>81868616</v>
      </c>
      <c r="F343" s="9" t="s">
        <v>948</v>
      </c>
      <c r="G343" s="12" t="s">
        <v>937</v>
      </c>
      <c r="H343" s="9" t="s">
        <v>949</v>
      </c>
      <c r="I343" s="10">
        <v>45605</v>
      </c>
    </row>
    <row r="344" spans="1:9" x14ac:dyDescent="0.15">
      <c r="A344" s="9">
        <v>343</v>
      </c>
      <c r="B344" s="9" t="s">
        <v>9</v>
      </c>
      <c r="C344" s="9">
        <v>1925</v>
      </c>
      <c r="D344" s="10">
        <v>45715</v>
      </c>
      <c r="E344" s="11" t="str">
        <f>+HYPERLINK("http://trademark.i-assist.jp/data/china/image_1925th/81871205.pdf","81871205")</f>
        <v>81871205</v>
      </c>
      <c r="F344" s="9" t="s">
        <v>950</v>
      </c>
      <c r="G344" s="9" t="s">
        <v>946</v>
      </c>
      <c r="H344" s="9" t="s">
        <v>951</v>
      </c>
      <c r="I344" s="10">
        <v>45605</v>
      </c>
    </row>
    <row r="345" spans="1:9" x14ac:dyDescent="0.15">
      <c r="A345" s="9">
        <v>344</v>
      </c>
      <c r="B345" s="9" t="s">
        <v>9</v>
      </c>
      <c r="C345" s="9">
        <v>1925</v>
      </c>
      <c r="D345" s="10">
        <v>45715</v>
      </c>
      <c r="E345" s="11" t="str">
        <f>+HYPERLINK("http://trademark.i-assist.jp/data/china/image_1925th/81871438.pdf","81871438")</f>
        <v>81871438</v>
      </c>
      <c r="F345" s="12" t="s">
        <v>57</v>
      </c>
      <c r="G345" s="9" t="s">
        <v>952</v>
      </c>
      <c r="H345" s="9" t="s">
        <v>953</v>
      </c>
      <c r="I345" s="10">
        <v>45605</v>
      </c>
    </row>
    <row r="346" spans="1:9" x14ac:dyDescent="0.15">
      <c r="A346" s="9">
        <v>345</v>
      </c>
      <c r="B346" s="9" t="s">
        <v>9</v>
      </c>
      <c r="C346" s="9">
        <v>1925</v>
      </c>
      <c r="D346" s="10">
        <v>45715</v>
      </c>
      <c r="E346" s="11" t="str">
        <f>+HYPERLINK("http://trademark.i-assist.jp/data/china/image_1925th/81876745.pdf","81876745")</f>
        <v>81876745</v>
      </c>
      <c r="F346" s="12" t="s">
        <v>954</v>
      </c>
      <c r="G346" s="9" t="s">
        <v>955</v>
      </c>
      <c r="H346" s="9" t="s">
        <v>956</v>
      </c>
      <c r="I346" s="10">
        <v>45607</v>
      </c>
    </row>
    <row r="347" spans="1:9" x14ac:dyDescent="0.15">
      <c r="A347" s="9">
        <v>346</v>
      </c>
      <c r="B347" s="9" t="s">
        <v>9</v>
      </c>
      <c r="C347" s="9">
        <v>1925</v>
      </c>
      <c r="D347" s="10">
        <v>45715</v>
      </c>
      <c r="E347" s="11" t="str">
        <f>+HYPERLINK("http://trademark.i-assist.jp/data/china/image_1925th/81877123.pdf","81877123")</f>
        <v>81877123</v>
      </c>
      <c r="F347" s="9" t="s">
        <v>957</v>
      </c>
      <c r="G347" s="9" t="s">
        <v>958</v>
      </c>
      <c r="H347" s="9" t="s">
        <v>959</v>
      </c>
      <c r="I347" s="10">
        <v>45607</v>
      </c>
    </row>
    <row r="348" spans="1:9" x14ac:dyDescent="0.15">
      <c r="A348" s="9">
        <v>347</v>
      </c>
      <c r="B348" s="9" t="s">
        <v>9</v>
      </c>
      <c r="C348" s="9">
        <v>1925</v>
      </c>
      <c r="D348" s="10">
        <v>45715</v>
      </c>
      <c r="E348" s="11" t="str">
        <f>+HYPERLINK("http://trademark.i-assist.jp/data/china/image_1925th/81877161.pdf","81877161")</f>
        <v>81877161</v>
      </c>
      <c r="F348" s="9" t="s">
        <v>960</v>
      </c>
      <c r="G348" s="9" t="s">
        <v>961</v>
      </c>
      <c r="H348" s="12" t="s">
        <v>962</v>
      </c>
      <c r="I348" s="10">
        <v>45607</v>
      </c>
    </row>
    <row r="349" spans="1:9" x14ac:dyDescent="0.15">
      <c r="A349" s="9">
        <v>348</v>
      </c>
      <c r="B349" s="9" t="s">
        <v>9</v>
      </c>
      <c r="C349" s="9">
        <v>1925</v>
      </c>
      <c r="D349" s="10">
        <v>45715</v>
      </c>
      <c r="E349" s="11" t="str">
        <f>+HYPERLINK("http://trademark.i-assist.jp/data/china/image_1925th/81877473.pdf","81877473")</f>
        <v>81877473</v>
      </c>
      <c r="F349" s="9" t="s">
        <v>963</v>
      </c>
      <c r="G349" s="9" t="s">
        <v>964</v>
      </c>
      <c r="H349" s="9" t="s">
        <v>965</v>
      </c>
      <c r="I349" s="10">
        <v>45607</v>
      </c>
    </row>
    <row r="350" spans="1:9" x14ac:dyDescent="0.15">
      <c r="A350" s="9">
        <v>349</v>
      </c>
      <c r="B350" s="9" t="s">
        <v>9</v>
      </c>
      <c r="C350" s="9">
        <v>1925</v>
      </c>
      <c r="D350" s="10">
        <v>45715</v>
      </c>
      <c r="E350" s="11" t="str">
        <f>+HYPERLINK("http://trademark.i-assist.jp/data/china/image_1925th/81877678.pdf","81877678")</f>
        <v>81877678</v>
      </c>
      <c r="F350" s="9" t="s">
        <v>966</v>
      </c>
      <c r="G350" s="9" t="s">
        <v>967</v>
      </c>
      <c r="H350" s="12" t="s">
        <v>968</v>
      </c>
      <c r="I350" s="10">
        <v>45607</v>
      </c>
    </row>
    <row r="351" spans="1:9" x14ac:dyDescent="0.15">
      <c r="A351" s="9">
        <v>350</v>
      </c>
      <c r="B351" s="9" t="s">
        <v>9</v>
      </c>
      <c r="C351" s="9">
        <v>1925</v>
      </c>
      <c r="D351" s="10">
        <v>45715</v>
      </c>
      <c r="E351" s="11" t="str">
        <f>+HYPERLINK("http://trademark.i-assist.jp/data/china/image_1925th/81877824.pdf","81877824")</f>
        <v>81877824</v>
      </c>
      <c r="F351" s="9" t="s">
        <v>969</v>
      </c>
      <c r="G351" s="9" t="s">
        <v>970</v>
      </c>
      <c r="H351" s="9" t="s">
        <v>971</v>
      </c>
      <c r="I351" s="10">
        <v>45607</v>
      </c>
    </row>
    <row r="352" spans="1:9" x14ac:dyDescent="0.15">
      <c r="A352" s="9">
        <v>351</v>
      </c>
      <c r="B352" s="9" t="s">
        <v>9</v>
      </c>
      <c r="C352" s="9">
        <v>1925</v>
      </c>
      <c r="D352" s="10">
        <v>45715</v>
      </c>
      <c r="E352" s="11" t="str">
        <f>+HYPERLINK("http://trademark.i-assist.jp/data/china/image_1925th/81878000.pdf","81878000")</f>
        <v>81878000</v>
      </c>
      <c r="F352" s="9" t="s">
        <v>972</v>
      </c>
      <c r="G352" s="9" t="s">
        <v>973</v>
      </c>
      <c r="H352" s="9" t="s">
        <v>974</v>
      </c>
      <c r="I352" s="10">
        <v>45607</v>
      </c>
    </row>
    <row r="353" spans="1:9" x14ac:dyDescent="0.15">
      <c r="A353" s="9">
        <v>352</v>
      </c>
      <c r="B353" s="9" t="s">
        <v>9</v>
      </c>
      <c r="C353" s="9">
        <v>1925</v>
      </c>
      <c r="D353" s="10">
        <v>45715</v>
      </c>
      <c r="E353" s="11" t="str">
        <f>+HYPERLINK("http://trademark.i-assist.jp/data/china/image_1925th/81878220.pdf","81878220")</f>
        <v>81878220</v>
      </c>
      <c r="F353" s="9" t="s">
        <v>975</v>
      </c>
      <c r="G353" s="9" t="s">
        <v>976</v>
      </c>
      <c r="H353" s="9" t="s">
        <v>977</v>
      </c>
      <c r="I353" s="10">
        <v>45607</v>
      </c>
    </row>
    <row r="354" spans="1:9" x14ac:dyDescent="0.15">
      <c r="A354" s="9">
        <v>353</v>
      </c>
      <c r="B354" s="9" t="s">
        <v>9</v>
      </c>
      <c r="C354" s="9">
        <v>1925</v>
      </c>
      <c r="D354" s="10">
        <v>45715</v>
      </c>
      <c r="E354" s="11" t="str">
        <f>+HYPERLINK("http://trademark.i-assist.jp/data/china/image_1925th/81878662.pdf","81878662")</f>
        <v>81878662</v>
      </c>
      <c r="F354" s="12" t="s">
        <v>978</v>
      </c>
      <c r="G354" s="9" t="s">
        <v>979</v>
      </c>
      <c r="H354" s="9" t="s">
        <v>980</v>
      </c>
      <c r="I354" s="10">
        <v>45607</v>
      </c>
    </row>
    <row r="355" spans="1:9" x14ac:dyDescent="0.15">
      <c r="A355" s="9">
        <v>354</v>
      </c>
      <c r="B355" s="9" t="s">
        <v>9</v>
      </c>
      <c r="C355" s="9">
        <v>1925</v>
      </c>
      <c r="D355" s="10">
        <v>45715</v>
      </c>
      <c r="E355" s="11" t="str">
        <f>+HYPERLINK("http://trademark.i-assist.jp/data/china/image_1925th/81879081.pdf","81879081")</f>
        <v>81879081</v>
      </c>
      <c r="F355" s="9" t="s">
        <v>981</v>
      </c>
      <c r="G355" s="12" t="s">
        <v>982</v>
      </c>
      <c r="H355" s="12" t="s">
        <v>983</v>
      </c>
      <c r="I355" s="10">
        <v>45607</v>
      </c>
    </row>
    <row r="356" spans="1:9" x14ac:dyDescent="0.15">
      <c r="A356" s="9">
        <v>355</v>
      </c>
      <c r="B356" s="9" t="s">
        <v>9</v>
      </c>
      <c r="C356" s="9">
        <v>1925</v>
      </c>
      <c r="D356" s="10">
        <v>45715</v>
      </c>
      <c r="E356" s="11" t="str">
        <f>+HYPERLINK("http://trademark.i-assist.jp/data/china/image_1925th/81879347.pdf","81879347")</f>
        <v>81879347</v>
      </c>
      <c r="F356" s="9" t="s">
        <v>984</v>
      </c>
      <c r="G356" s="12" t="s">
        <v>985</v>
      </c>
      <c r="H356" s="9" t="s">
        <v>986</v>
      </c>
      <c r="I356" s="10">
        <v>45607</v>
      </c>
    </row>
    <row r="357" spans="1:9" x14ac:dyDescent="0.15">
      <c r="A357" s="9">
        <v>356</v>
      </c>
      <c r="B357" s="9" t="s">
        <v>9</v>
      </c>
      <c r="C357" s="9">
        <v>1925</v>
      </c>
      <c r="D357" s="10">
        <v>45715</v>
      </c>
      <c r="E357" s="11" t="str">
        <f>+HYPERLINK("http://trademark.i-assist.jp/data/china/image_1925th/81879583.pdf","81879583")</f>
        <v>81879583</v>
      </c>
      <c r="F357" s="12" t="s">
        <v>987</v>
      </c>
      <c r="G357" s="12" t="s">
        <v>55</v>
      </c>
      <c r="H357" s="9" t="s">
        <v>988</v>
      </c>
      <c r="I357" s="10">
        <v>45607</v>
      </c>
    </row>
    <row r="358" spans="1:9" x14ac:dyDescent="0.15">
      <c r="A358" s="9">
        <v>357</v>
      </c>
      <c r="B358" s="9" t="s">
        <v>9</v>
      </c>
      <c r="C358" s="9">
        <v>1925</v>
      </c>
      <c r="D358" s="10">
        <v>45715</v>
      </c>
      <c r="E358" s="11" t="str">
        <f>+HYPERLINK("http://trademark.i-assist.jp/data/china/image_1925th/81880438.pdf","81880438")</f>
        <v>81880438</v>
      </c>
      <c r="F358" s="9" t="s">
        <v>989</v>
      </c>
      <c r="G358" s="12" t="s">
        <v>990</v>
      </c>
      <c r="H358" s="9" t="s">
        <v>991</v>
      </c>
      <c r="I358" s="10">
        <v>45607</v>
      </c>
    </row>
    <row r="359" spans="1:9" x14ac:dyDescent="0.15">
      <c r="A359" s="9">
        <v>358</v>
      </c>
      <c r="B359" s="9" t="s">
        <v>9</v>
      </c>
      <c r="C359" s="9">
        <v>1925</v>
      </c>
      <c r="D359" s="10">
        <v>45715</v>
      </c>
      <c r="E359" s="11" t="str">
        <f>+HYPERLINK("http://trademark.i-assist.jp/data/china/image_1925th/81880616.pdf","81880616")</f>
        <v>81880616</v>
      </c>
      <c r="F359" s="12" t="s">
        <v>57</v>
      </c>
      <c r="G359" s="12" t="s">
        <v>992</v>
      </c>
      <c r="H359" s="9" t="s">
        <v>993</v>
      </c>
      <c r="I359" s="10">
        <v>45607</v>
      </c>
    </row>
    <row r="360" spans="1:9" x14ac:dyDescent="0.15">
      <c r="A360" s="9">
        <v>359</v>
      </c>
      <c r="B360" s="9" t="s">
        <v>9</v>
      </c>
      <c r="C360" s="9">
        <v>1925</v>
      </c>
      <c r="D360" s="10">
        <v>45715</v>
      </c>
      <c r="E360" s="11" t="str">
        <f>+HYPERLINK("http://trademark.i-assist.jp/data/china/image_1925th/81880822.pdf","81880822")</f>
        <v>81880822</v>
      </c>
      <c r="F360" s="12" t="s">
        <v>994</v>
      </c>
      <c r="G360" s="9" t="s">
        <v>22</v>
      </c>
      <c r="H360" s="9" t="s">
        <v>995</v>
      </c>
      <c r="I360" s="10">
        <v>45607</v>
      </c>
    </row>
    <row r="361" spans="1:9" x14ac:dyDescent="0.15">
      <c r="A361" s="9">
        <v>360</v>
      </c>
      <c r="B361" s="9" t="s">
        <v>9</v>
      </c>
      <c r="C361" s="9">
        <v>1925</v>
      </c>
      <c r="D361" s="10">
        <v>45715</v>
      </c>
      <c r="E361" s="11" t="str">
        <f>+HYPERLINK("http://trademark.i-assist.jp/data/china/image_1925th/81881004.pdf","81881004")</f>
        <v>81881004</v>
      </c>
      <c r="F361" s="9" t="s">
        <v>996</v>
      </c>
      <c r="G361" s="12" t="s">
        <v>997</v>
      </c>
      <c r="H361" s="9" t="s">
        <v>998</v>
      </c>
      <c r="I361" s="10">
        <v>45607</v>
      </c>
    </row>
    <row r="362" spans="1:9" x14ac:dyDescent="0.15">
      <c r="A362" s="9">
        <v>361</v>
      </c>
      <c r="B362" s="9" t="s">
        <v>9</v>
      </c>
      <c r="C362" s="9">
        <v>1925</v>
      </c>
      <c r="D362" s="10">
        <v>45715</v>
      </c>
      <c r="E362" s="11" t="str">
        <f>+HYPERLINK("http://trademark.i-assist.jp/data/china/image_1925th/81881946.pdf","81881946")</f>
        <v>81881946</v>
      </c>
      <c r="F362" s="9" t="s">
        <v>999</v>
      </c>
      <c r="G362" s="9" t="s">
        <v>1000</v>
      </c>
      <c r="H362" s="9" t="s">
        <v>1001</v>
      </c>
      <c r="I362" s="10">
        <v>45607</v>
      </c>
    </row>
    <row r="363" spans="1:9" x14ac:dyDescent="0.15">
      <c r="A363" s="9">
        <v>362</v>
      </c>
      <c r="B363" s="9" t="s">
        <v>9</v>
      </c>
      <c r="C363" s="9">
        <v>1925</v>
      </c>
      <c r="D363" s="10">
        <v>45715</v>
      </c>
      <c r="E363" s="11" t="str">
        <f>+HYPERLINK("http://trademark.i-assist.jp/data/china/image_1925th/81882552.pdf","81882552")</f>
        <v>81882552</v>
      </c>
      <c r="F363" s="9" t="s">
        <v>1002</v>
      </c>
      <c r="G363" s="9" t="s">
        <v>1003</v>
      </c>
      <c r="H363" s="9" t="s">
        <v>1004</v>
      </c>
      <c r="I363" s="10">
        <v>45607</v>
      </c>
    </row>
    <row r="364" spans="1:9" x14ac:dyDescent="0.15">
      <c r="A364" s="9">
        <v>363</v>
      </c>
      <c r="B364" s="9" t="s">
        <v>9</v>
      </c>
      <c r="C364" s="9">
        <v>1925</v>
      </c>
      <c r="D364" s="10">
        <v>45715</v>
      </c>
      <c r="E364" s="11" t="str">
        <f>+HYPERLINK("http://trademark.i-assist.jp/data/china/image_1925th/81883066.pdf","81883066")</f>
        <v>81883066</v>
      </c>
      <c r="F364" s="9" t="s">
        <v>1005</v>
      </c>
      <c r="G364" s="9" t="s">
        <v>1006</v>
      </c>
      <c r="H364" s="9" t="s">
        <v>1007</v>
      </c>
      <c r="I364" s="10">
        <v>45607</v>
      </c>
    </row>
    <row r="365" spans="1:9" x14ac:dyDescent="0.15">
      <c r="A365" s="9">
        <v>364</v>
      </c>
      <c r="B365" s="9" t="s">
        <v>9</v>
      </c>
      <c r="C365" s="9">
        <v>1925</v>
      </c>
      <c r="D365" s="10">
        <v>45715</v>
      </c>
      <c r="E365" s="11" t="str">
        <f>+HYPERLINK("http://trademark.i-assist.jp/data/china/image_1925th/81883228.pdf","81883228")</f>
        <v>81883228</v>
      </c>
      <c r="F365" s="9" t="s">
        <v>1008</v>
      </c>
      <c r="G365" s="9" t="s">
        <v>1009</v>
      </c>
      <c r="H365" s="9" t="s">
        <v>1010</v>
      </c>
      <c r="I365" s="10">
        <v>45607</v>
      </c>
    </row>
    <row r="366" spans="1:9" x14ac:dyDescent="0.15">
      <c r="A366" s="9">
        <v>365</v>
      </c>
      <c r="B366" s="9" t="s">
        <v>9</v>
      </c>
      <c r="C366" s="9">
        <v>1925</v>
      </c>
      <c r="D366" s="10">
        <v>45715</v>
      </c>
      <c r="E366" s="11" t="str">
        <f>+HYPERLINK("http://trademark.i-assist.jp/data/china/image_1925th/81883685.pdf","81883685")</f>
        <v>81883685</v>
      </c>
      <c r="F366" s="9" t="s">
        <v>1011</v>
      </c>
      <c r="G366" s="9" t="s">
        <v>1012</v>
      </c>
      <c r="H366" s="9" t="s">
        <v>1013</v>
      </c>
      <c r="I366" s="10">
        <v>45607</v>
      </c>
    </row>
    <row r="367" spans="1:9" x14ac:dyDescent="0.15">
      <c r="A367" s="9">
        <v>366</v>
      </c>
      <c r="B367" s="9" t="s">
        <v>9</v>
      </c>
      <c r="C367" s="9">
        <v>1925</v>
      </c>
      <c r="D367" s="10">
        <v>45715</v>
      </c>
      <c r="E367" s="11" t="str">
        <f>+HYPERLINK("http://trademark.i-assist.jp/data/china/image_1925th/81883776.pdf","81883776")</f>
        <v>81883776</v>
      </c>
      <c r="F367" s="9" t="s">
        <v>1014</v>
      </c>
      <c r="G367" s="9" t="s">
        <v>1015</v>
      </c>
      <c r="H367" s="12" t="s">
        <v>1016</v>
      </c>
      <c r="I367" s="10">
        <v>45607</v>
      </c>
    </row>
    <row r="368" spans="1:9" x14ac:dyDescent="0.15">
      <c r="A368" s="9">
        <v>367</v>
      </c>
      <c r="B368" s="9" t="s">
        <v>9</v>
      </c>
      <c r="C368" s="9">
        <v>1925</v>
      </c>
      <c r="D368" s="10">
        <v>45715</v>
      </c>
      <c r="E368" s="11" t="str">
        <f>+HYPERLINK("http://trademark.i-assist.jp/data/china/image_1925th/81884310.pdf","81884310")</f>
        <v>81884310</v>
      </c>
      <c r="F368" s="12" t="s">
        <v>1017</v>
      </c>
      <c r="G368" s="9" t="s">
        <v>1018</v>
      </c>
      <c r="H368" s="9" t="s">
        <v>1019</v>
      </c>
      <c r="I368" s="10">
        <v>45607</v>
      </c>
    </row>
    <row r="369" spans="1:9" x14ac:dyDescent="0.15">
      <c r="A369" s="9">
        <v>368</v>
      </c>
      <c r="B369" s="9" t="s">
        <v>9</v>
      </c>
      <c r="C369" s="9">
        <v>1925</v>
      </c>
      <c r="D369" s="10">
        <v>45715</v>
      </c>
      <c r="E369" s="11" t="str">
        <f>+HYPERLINK("http://trademark.i-assist.jp/data/china/image_1925th/81884407.pdf","81884407")</f>
        <v>81884407</v>
      </c>
      <c r="F369" s="9" t="s">
        <v>1020</v>
      </c>
      <c r="G369" s="9" t="s">
        <v>1021</v>
      </c>
      <c r="H369" s="9" t="s">
        <v>1022</v>
      </c>
      <c r="I369" s="10">
        <v>45607</v>
      </c>
    </row>
    <row r="370" spans="1:9" x14ac:dyDescent="0.15">
      <c r="A370" s="9">
        <v>369</v>
      </c>
      <c r="B370" s="9" t="s">
        <v>9</v>
      </c>
      <c r="C370" s="9">
        <v>1925</v>
      </c>
      <c r="D370" s="10">
        <v>45715</v>
      </c>
      <c r="E370" s="11" t="str">
        <f>+HYPERLINK("http://trademark.i-assist.jp/data/china/image_1925th/81884903.pdf","81884903")</f>
        <v>81884903</v>
      </c>
      <c r="F370" s="9" t="s">
        <v>1023</v>
      </c>
      <c r="G370" s="9" t="s">
        <v>1024</v>
      </c>
      <c r="H370" s="9" t="s">
        <v>1025</v>
      </c>
      <c r="I370" s="10">
        <v>45607</v>
      </c>
    </row>
    <row r="371" spans="1:9" x14ac:dyDescent="0.15">
      <c r="A371" s="9">
        <v>370</v>
      </c>
      <c r="B371" s="9" t="s">
        <v>9</v>
      </c>
      <c r="C371" s="9">
        <v>1925</v>
      </c>
      <c r="D371" s="10">
        <v>45715</v>
      </c>
      <c r="E371" s="11" t="str">
        <f>+HYPERLINK("http://trademark.i-assist.jp/data/china/image_1925th/81885264.pdf","81885264")</f>
        <v>81885264</v>
      </c>
      <c r="F371" s="9" t="s">
        <v>1026</v>
      </c>
      <c r="G371" s="9" t="s">
        <v>1027</v>
      </c>
      <c r="H371" s="9" t="s">
        <v>1028</v>
      </c>
      <c r="I371" s="10">
        <v>45607</v>
      </c>
    </row>
    <row r="372" spans="1:9" x14ac:dyDescent="0.15">
      <c r="A372" s="9">
        <v>371</v>
      </c>
      <c r="B372" s="9" t="s">
        <v>9</v>
      </c>
      <c r="C372" s="9">
        <v>1925</v>
      </c>
      <c r="D372" s="10">
        <v>45715</v>
      </c>
      <c r="E372" s="11" t="str">
        <f>+HYPERLINK("http://trademark.i-assist.jp/data/china/image_1925th/81885794.pdf","81885794")</f>
        <v>81885794</v>
      </c>
      <c r="F372" s="9" t="s">
        <v>1029</v>
      </c>
      <c r="G372" s="9" t="s">
        <v>1030</v>
      </c>
      <c r="H372" s="9" t="s">
        <v>1031</v>
      </c>
      <c r="I372" s="10">
        <v>45607</v>
      </c>
    </row>
    <row r="373" spans="1:9" x14ac:dyDescent="0.15">
      <c r="A373" s="9">
        <v>372</v>
      </c>
      <c r="B373" s="9" t="s">
        <v>9</v>
      </c>
      <c r="C373" s="9">
        <v>1925</v>
      </c>
      <c r="D373" s="10">
        <v>45715</v>
      </c>
      <c r="E373" s="11" t="str">
        <f>+HYPERLINK("http://trademark.i-assist.jp/data/china/image_1925th/81887876.pdf","81887876")</f>
        <v>81887876</v>
      </c>
      <c r="F373" s="9" t="s">
        <v>1032</v>
      </c>
      <c r="G373" s="9" t="s">
        <v>1033</v>
      </c>
      <c r="H373" s="9" t="s">
        <v>1034</v>
      </c>
      <c r="I373" s="10">
        <v>45607</v>
      </c>
    </row>
    <row r="374" spans="1:9" x14ac:dyDescent="0.15">
      <c r="A374" s="9">
        <v>373</v>
      </c>
      <c r="B374" s="9" t="s">
        <v>9</v>
      </c>
      <c r="C374" s="9">
        <v>1925</v>
      </c>
      <c r="D374" s="10">
        <v>45715</v>
      </c>
      <c r="E374" s="11" t="str">
        <f>+HYPERLINK("http://trademark.i-assist.jp/data/china/image_1925th/81888241.pdf","81888241")</f>
        <v>81888241</v>
      </c>
      <c r="F374" s="9" t="s">
        <v>1035</v>
      </c>
      <c r="G374" s="9" t="s">
        <v>1036</v>
      </c>
      <c r="H374" s="9" t="s">
        <v>1037</v>
      </c>
      <c r="I374" s="10">
        <v>45607</v>
      </c>
    </row>
    <row r="375" spans="1:9" x14ac:dyDescent="0.15">
      <c r="A375" s="9">
        <v>374</v>
      </c>
      <c r="B375" s="9" t="s">
        <v>9</v>
      </c>
      <c r="C375" s="9">
        <v>1925</v>
      </c>
      <c r="D375" s="10">
        <v>45715</v>
      </c>
      <c r="E375" s="11" t="str">
        <f>+HYPERLINK("http://trademark.i-assist.jp/data/china/image_1925th/81889141.pdf","81889141")</f>
        <v>81889141</v>
      </c>
      <c r="F375" s="9" t="s">
        <v>1038</v>
      </c>
      <c r="G375" s="9" t="s">
        <v>1039</v>
      </c>
      <c r="H375" s="9" t="s">
        <v>1040</v>
      </c>
      <c r="I375" s="10">
        <v>45607</v>
      </c>
    </row>
    <row r="376" spans="1:9" x14ac:dyDescent="0.15">
      <c r="A376" s="9">
        <v>375</v>
      </c>
      <c r="B376" s="9" t="s">
        <v>9</v>
      </c>
      <c r="C376" s="9">
        <v>1925</v>
      </c>
      <c r="D376" s="10">
        <v>45715</v>
      </c>
      <c r="E376" s="11" t="str">
        <f>+HYPERLINK("http://trademark.i-assist.jp/data/china/image_1925th/81889408.pdf","81889408")</f>
        <v>81889408</v>
      </c>
      <c r="F376" s="9" t="s">
        <v>1041</v>
      </c>
      <c r="G376" s="9" t="s">
        <v>1042</v>
      </c>
      <c r="H376" s="9" t="s">
        <v>1043</v>
      </c>
      <c r="I376" s="10">
        <v>45607</v>
      </c>
    </row>
    <row r="377" spans="1:9" x14ac:dyDescent="0.15">
      <c r="A377" s="9">
        <v>376</v>
      </c>
      <c r="B377" s="9" t="s">
        <v>9</v>
      </c>
      <c r="C377" s="9">
        <v>1925</v>
      </c>
      <c r="D377" s="10">
        <v>45715</v>
      </c>
      <c r="E377" s="11" t="str">
        <f>+HYPERLINK("http://trademark.i-assist.jp/data/china/image_1925th/81889626.pdf","81889626")</f>
        <v>81889626</v>
      </c>
      <c r="F377" s="9" t="s">
        <v>1044</v>
      </c>
      <c r="G377" s="9" t="s">
        <v>32</v>
      </c>
      <c r="H377" s="12" t="s">
        <v>1045</v>
      </c>
      <c r="I377" s="10">
        <v>45607</v>
      </c>
    </row>
    <row r="378" spans="1:9" x14ac:dyDescent="0.15">
      <c r="A378" s="9">
        <v>377</v>
      </c>
      <c r="B378" s="9" t="s">
        <v>9</v>
      </c>
      <c r="C378" s="9">
        <v>1925</v>
      </c>
      <c r="D378" s="10">
        <v>45715</v>
      </c>
      <c r="E378" s="11" t="str">
        <f>+HYPERLINK("http://trademark.i-assist.jp/data/china/image_1925th/81891681.pdf","81891681")</f>
        <v>81891681</v>
      </c>
      <c r="F378" s="9" t="s">
        <v>1046</v>
      </c>
      <c r="G378" s="9" t="s">
        <v>1047</v>
      </c>
      <c r="H378" s="9" t="s">
        <v>1048</v>
      </c>
      <c r="I378" s="10">
        <v>45607</v>
      </c>
    </row>
    <row r="379" spans="1:9" x14ac:dyDescent="0.15">
      <c r="A379" s="9">
        <v>378</v>
      </c>
      <c r="B379" s="9" t="s">
        <v>9</v>
      </c>
      <c r="C379" s="9">
        <v>1925</v>
      </c>
      <c r="D379" s="10">
        <v>45715</v>
      </c>
      <c r="E379" s="11" t="str">
        <f>+HYPERLINK("http://trademark.i-assist.jp/data/china/image_1925th/81891987.pdf","81891987")</f>
        <v>81891987</v>
      </c>
      <c r="F379" s="9" t="s">
        <v>1049</v>
      </c>
      <c r="G379" s="9" t="s">
        <v>1050</v>
      </c>
      <c r="H379" s="9" t="s">
        <v>1051</v>
      </c>
      <c r="I379" s="10">
        <v>45607</v>
      </c>
    </row>
    <row r="380" spans="1:9" x14ac:dyDescent="0.15">
      <c r="A380" s="9">
        <v>379</v>
      </c>
      <c r="B380" s="9" t="s">
        <v>9</v>
      </c>
      <c r="C380" s="9">
        <v>1925</v>
      </c>
      <c r="D380" s="10">
        <v>45715</v>
      </c>
      <c r="E380" s="11" t="str">
        <f>+HYPERLINK("http://trademark.i-assist.jp/data/china/image_1925th/81894639.pdf","81894639")</f>
        <v>81894639</v>
      </c>
      <c r="F380" s="9" t="s">
        <v>1052</v>
      </c>
      <c r="G380" s="9" t="s">
        <v>1039</v>
      </c>
      <c r="H380" s="9" t="s">
        <v>1053</v>
      </c>
      <c r="I380" s="10">
        <v>45607</v>
      </c>
    </row>
    <row r="381" spans="1:9" x14ac:dyDescent="0.15">
      <c r="A381" s="9">
        <v>380</v>
      </c>
      <c r="B381" s="9" t="s">
        <v>9</v>
      </c>
      <c r="C381" s="9">
        <v>1925</v>
      </c>
      <c r="D381" s="10">
        <v>45715</v>
      </c>
      <c r="E381" s="11" t="str">
        <f>+HYPERLINK("http://trademark.i-assist.jp/data/china/image_1925th/81894959.pdf","81894959")</f>
        <v>81894959</v>
      </c>
      <c r="F381" s="12" t="s">
        <v>57</v>
      </c>
      <c r="G381" s="9" t="s">
        <v>1054</v>
      </c>
      <c r="H381" s="9" t="s">
        <v>1055</v>
      </c>
      <c r="I381" s="10">
        <v>45607</v>
      </c>
    </row>
    <row r="382" spans="1:9" x14ac:dyDescent="0.15">
      <c r="A382" s="9">
        <v>381</v>
      </c>
      <c r="B382" s="9" t="s">
        <v>9</v>
      </c>
      <c r="C382" s="9">
        <v>1925</v>
      </c>
      <c r="D382" s="10">
        <v>45715</v>
      </c>
      <c r="E382" s="11" t="str">
        <f>+HYPERLINK("http://trademark.i-assist.jp/data/china/image_1925th/81895157.pdf","81895157")</f>
        <v>81895157</v>
      </c>
      <c r="F382" s="9" t="s">
        <v>1056</v>
      </c>
      <c r="G382" s="9" t="s">
        <v>1012</v>
      </c>
      <c r="H382" s="12" t="s">
        <v>1057</v>
      </c>
      <c r="I382" s="10">
        <v>45607</v>
      </c>
    </row>
    <row r="383" spans="1:9" x14ac:dyDescent="0.15">
      <c r="A383" s="9">
        <v>382</v>
      </c>
      <c r="B383" s="9" t="s">
        <v>9</v>
      </c>
      <c r="C383" s="9">
        <v>1925</v>
      </c>
      <c r="D383" s="10">
        <v>45715</v>
      </c>
      <c r="E383" s="11" t="str">
        <f>+HYPERLINK("http://trademark.i-assist.jp/data/china/image_1925th/81895547.pdf","81895547")</f>
        <v>81895547</v>
      </c>
      <c r="F383" s="9" t="s">
        <v>1058</v>
      </c>
      <c r="G383" s="9" t="s">
        <v>1059</v>
      </c>
      <c r="H383" s="9" t="s">
        <v>1060</v>
      </c>
      <c r="I383" s="10">
        <v>45607</v>
      </c>
    </row>
    <row r="384" spans="1:9" x14ac:dyDescent="0.15">
      <c r="A384" s="9">
        <v>383</v>
      </c>
      <c r="B384" s="9" t="s">
        <v>9</v>
      </c>
      <c r="C384" s="9">
        <v>1925</v>
      </c>
      <c r="D384" s="10">
        <v>45715</v>
      </c>
      <c r="E384" s="11" t="str">
        <f>+HYPERLINK("http://trademark.i-assist.jp/data/china/image_1925th/81895612.pdf","81895612")</f>
        <v>81895612</v>
      </c>
      <c r="F384" s="9" t="s">
        <v>1061</v>
      </c>
      <c r="G384" s="9" t="s">
        <v>1062</v>
      </c>
      <c r="H384" s="9" t="s">
        <v>1063</v>
      </c>
      <c r="I384" s="10">
        <v>45607</v>
      </c>
    </row>
    <row r="385" spans="1:9" x14ac:dyDescent="0.15">
      <c r="A385" s="9">
        <v>384</v>
      </c>
      <c r="B385" s="9" t="s">
        <v>9</v>
      </c>
      <c r="C385" s="9">
        <v>1925</v>
      </c>
      <c r="D385" s="10">
        <v>45715</v>
      </c>
      <c r="E385" s="11" t="str">
        <f>+HYPERLINK("http://trademark.i-assist.jp/data/china/image_1925th/81897225.pdf","81897225")</f>
        <v>81897225</v>
      </c>
      <c r="F385" s="12" t="s">
        <v>1064</v>
      </c>
      <c r="G385" s="9" t="s">
        <v>1065</v>
      </c>
      <c r="H385" s="9" t="s">
        <v>1066</v>
      </c>
      <c r="I385" s="10">
        <v>45607</v>
      </c>
    </row>
    <row r="386" spans="1:9" x14ac:dyDescent="0.15">
      <c r="A386" s="9">
        <v>385</v>
      </c>
      <c r="B386" s="9" t="s">
        <v>9</v>
      </c>
      <c r="C386" s="9">
        <v>1925</v>
      </c>
      <c r="D386" s="10">
        <v>45715</v>
      </c>
      <c r="E386" s="11" t="str">
        <f>+HYPERLINK("http://trademark.i-assist.jp/data/china/image_1925th/81897642.pdf","81897642")</f>
        <v>81897642</v>
      </c>
      <c r="F386" s="9" t="s">
        <v>1067</v>
      </c>
      <c r="G386" s="9" t="s">
        <v>1068</v>
      </c>
      <c r="H386" s="9" t="s">
        <v>1069</v>
      </c>
      <c r="I386" s="10">
        <v>45607</v>
      </c>
    </row>
    <row r="387" spans="1:9" x14ac:dyDescent="0.15">
      <c r="A387" s="9">
        <v>386</v>
      </c>
      <c r="B387" s="9" t="s">
        <v>9</v>
      </c>
      <c r="C387" s="9">
        <v>1925</v>
      </c>
      <c r="D387" s="10">
        <v>45715</v>
      </c>
      <c r="E387" s="11" t="str">
        <f>+HYPERLINK("http://trademark.i-assist.jp/data/china/image_1925th/81898299.pdf","81898299")</f>
        <v>81898299</v>
      </c>
      <c r="F387" s="9" t="s">
        <v>1070</v>
      </c>
      <c r="G387" s="9" t="s">
        <v>1071</v>
      </c>
      <c r="H387" s="9" t="s">
        <v>1072</v>
      </c>
      <c r="I387" s="10">
        <v>45607</v>
      </c>
    </row>
    <row r="388" spans="1:9" x14ac:dyDescent="0.15">
      <c r="A388" s="9">
        <v>387</v>
      </c>
      <c r="B388" s="9" t="s">
        <v>9</v>
      </c>
      <c r="C388" s="9">
        <v>1925</v>
      </c>
      <c r="D388" s="10">
        <v>45715</v>
      </c>
      <c r="E388" s="11" t="str">
        <f>+HYPERLINK("http://trademark.i-assist.jp/data/china/image_1925th/81898957.pdf","81898957")</f>
        <v>81898957</v>
      </c>
      <c r="F388" s="9" t="s">
        <v>1073</v>
      </c>
      <c r="G388" s="9" t="s">
        <v>964</v>
      </c>
      <c r="H388" s="9" t="s">
        <v>1074</v>
      </c>
      <c r="I388" s="10">
        <v>45607</v>
      </c>
    </row>
    <row r="389" spans="1:9" x14ac:dyDescent="0.15">
      <c r="A389" s="9">
        <v>388</v>
      </c>
      <c r="B389" s="9" t="s">
        <v>9</v>
      </c>
      <c r="C389" s="9">
        <v>1925</v>
      </c>
      <c r="D389" s="10">
        <v>45715</v>
      </c>
      <c r="E389" s="11" t="str">
        <f>+HYPERLINK("http://trademark.i-assist.jp/data/china/image_1925th/81899516.pdf","81899516")</f>
        <v>81899516</v>
      </c>
      <c r="F389" s="9" t="s">
        <v>1056</v>
      </c>
      <c r="G389" s="9" t="s">
        <v>1012</v>
      </c>
      <c r="H389" s="12" t="s">
        <v>1075</v>
      </c>
      <c r="I389" s="10">
        <v>45607</v>
      </c>
    </row>
    <row r="390" spans="1:9" x14ac:dyDescent="0.15">
      <c r="A390" s="9">
        <v>389</v>
      </c>
      <c r="B390" s="9" t="s">
        <v>9</v>
      </c>
      <c r="C390" s="9">
        <v>1925</v>
      </c>
      <c r="D390" s="10">
        <v>45715</v>
      </c>
      <c r="E390" s="11" t="str">
        <f>+HYPERLINK("http://trademark.i-assist.jp/data/china/image_1925th/81899519.pdf","81899519")</f>
        <v>81899519</v>
      </c>
      <c r="F390" s="9" t="s">
        <v>1076</v>
      </c>
      <c r="G390" s="9" t="s">
        <v>1077</v>
      </c>
      <c r="H390" s="9" t="s">
        <v>1078</v>
      </c>
      <c r="I390" s="10">
        <v>45607</v>
      </c>
    </row>
    <row r="391" spans="1:9" x14ac:dyDescent="0.15">
      <c r="A391" s="9">
        <v>390</v>
      </c>
      <c r="B391" s="9" t="s">
        <v>9</v>
      </c>
      <c r="C391" s="9">
        <v>1925</v>
      </c>
      <c r="D391" s="10">
        <v>45715</v>
      </c>
      <c r="E391" s="11" t="str">
        <f>+HYPERLINK("http://trademark.i-assist.jp/data/china/image_1925th/81900136.pdf","81900136")</f>
        <v>81900136</v>
      </c>
      <c r="F391" s="9" t="s">
        <v>1056</v>
      </c>
      <c r="G391" s="9" t="s">
        <v>1012</v>
      </c>
      <c r="H391" s="9" t="s">
        <v>1079</v>
      </c>
      <c r="I391" s="10">
        <v>45607</v>
      </c>
    </row>
    <row r="392" spans="1:9" x14ac:dyDescent="0.15">
      <c r="A392" s="9">
        <v>391</v>
      </c>
      <c r="B392" s="9" t="s">
        <v>9</v>
      </c>
      <c r="C392" s="9">
        <v>1925</v>
      </c>
      <c r="D392" s="10">
        <v>45715</v>
      </c>
      <c r="E392" s="11" t="str">
        <f>+HYPERLINK("http://trademark.i-assist.jp/data/china/image_1925th/81900431.pdf","81900431")</f>
        <v>81900431</v>
      </c>
      <c r="F392" s="12" t="s">
        <v>1080</v>
      </c>
      <c r="G392" s="9" t="s">
        <v>1059</v>
      </c>
      <c r="H392" s="9" t="s">
        <v>1081</v>
      </c>
      <c r="I392" s="10">
        <v>45607</v>
      </c>
    </row>
    <row r="393" spans="1:9" x14ac:dyDescent="0.15">
      <c r="A393" s="9">
        <v>392</v>
      </c>
      <c r="B393" s="9" t="s">
        <v>9</v>
      </c>
      <c r="C393" s="9">
        <v>1925</v>
      </c>
      <c r="D393" s="10">
        <v>45715</v>
      </c>
      <c r="E393" s="11" t="str">
        <f>+HYPERLINK("http://trademark.i-assist.jp/data/china/image_1925th/81900762.pdf","81900762")</f>
        <v>81900762</v>
      </c>
      <c r="F393" s="9" t="s">
        <v>1082</v>
      </c>
      <c r="G393" s="9" t="s">
        <v>1018</v>
      </c>
      <c r="H393" s="9" t="s">
        <v>1083</v>
      </c>
      <c r="I393" s="10">
        <v>45607</v>
      </c>
    </row>
    <row r="394" spans="1:9" x14ac:dyDescent="0.15">
      <c r="A394" s="9">
        <v>393</v>
      </c>
      <c r="B394" s="9" t="s">
        <v>9</v>
      </c>
      <c r="C394" s="9">
        <v>1925</v>
      </c>
      <c r="D394" s="10">
        <v>45715</v>
      </c>
      <c r="E394" s="11" t="str">
        <f>+HYPERLINK("http://trademark.i-assist.jp/data/china/image_1925th/81900821.pdf","81900821")</f>
        <v>81900821</v>
      </c>
      <c r="F394" s="9" t="s">
        <v>1084</v>
      </c>
      <c r="G394" s="9" t="s">
        <v>1085</v>
      </c>
      <c r="H394" s="9" t="s">
        <v>1086</v>
      </c>
      <c r="I394" s="10">
        <v>45607</v>
      </c>
    </row>
    <row r="395" spans="1:9" x14ac:dyDescent="0.15">
      <c r="A395" s="9">
        <v>394</v>
      </c>
      <c r="B395" s="9" t="s">
        <v>9</v>
      </c>
      <c r="C395" s="9">
        <v>1925</v>
      </c>
      <c r="D395" s="10">
        <v>45715</v>
      </c>
      <c r="E395" s="11" t="str">
        <f>+HYPERLINK("http://trademark.i-assist.jp/data/china/image_1925th/81900887.pdf","81900887")</f>
        <v>81900887</v>
      </c>
      <c r="F395" s="9" t="s">
        <v>1087</v>
      </c>
      <c r="G395" s="9" t="s">
        <v>32</v>
      </c>
      <c r="H395" s="9" t="s">
        <v>1088</v>
      </c>
      <c r="I395" s="10">
        <v>45607</v>
      </c>
    </row>
    <row r="396" spans="1:9" x14ac:dyDescent="0.15">
      <c r="A396" s="9">
        <v>395</v>
      </c>
      <c r="B396" s="9" t="s">
        <v>9</v>
      </c>
      <c r="C396" s="9">
        <v>1925</v>
      </c>
      <c r="D396" s="10">
        <v>45715</v>
      </c>
      <c r="E396" s="11" t="str">
        <f>+HYPERLINK("http://trademark.i-assist.jp/data/china/image_1925th/81900955.pdf","81900955")</f>
        <v>81900955</v>
      </c>
      <c r="F396" s="9" t="s">
        <v>1089</v>
      </c>
      <c r="G396" s="12" t="s">
        <v>1090</v>
      </c>
      <c r="H396" s="9" t="s">
        <v>1091</v>
      </c>
      <c r="I396" s="10">
        <v>45607</v>
      </c>
    </row>
    <row r="397" spans="1:9" x14ac:dyDescent="0.15">
      <c r="A397" s="9">
        <v>396</v>
      </c>
      <c r="B397" s="9" t="s">
        <v>9</v>
      </c>
      <c r="C397" s="9">
        <v>1925</v>
      </c>
      <c r="D397" s="10">
        <v>45715</v>
      </c>
      <c r="E397" s="11" t="str">
        <f>+HYPERLINK("http://trademark.i-assist.jp/data/china/image_1925th/81900980.pdf","81900980")</f>
        <v>81900980</v>
      </c>
      <c r="F397" s="9" t="s">
        <v>1092</v>
      </c>
      <c r="G397" s="9" t="s">
        <v>1093</v>
      </c>
      <c r="H397" s="9" t="s">
        <v>1094</v>
      </c>
      <c r="I397" s="10">
        <v>45607</v>
      </c>
    </row>
    <row r="398" spans="1:9" x14ac:dyDescent="0.15">
      <c r="A398" s="9">
        <v>397</v>
      </c>
      <c r="B398" s="9" t="s">
        <v>9</v>
      </c>
      <c r="C398" s="9">
        <v>1925</v>
      </c>
      <c r="D398" s="10">
        <v>45715</v>
      </c>
      <c r="E398" s="11" t="str">
        <f>+HYPERLINK("http://trademark.i-assist.jp/data/china/image_1925th/81901515.pdf","81901515")</f>
        <v>81901515</v>
      </c>
      <c r="F398" s="9" t="s">
        <v>1095</v>
      </c>
      <c r="G398" s="9" t="s">
        <v>1096</v>
      </c>
      <c r="H398" s="9" t="s">
        <v>1097</v>
      </c>
      <c r="I398" s="10">
        <v>45607</v>
      </c>
    </row>
    <row r="399" spans="1:9" x14ac:dyDescent="0.15">
      <c r="A399" s="9">
        <v>398</v>
      </c>
      <c r="B399" s="9" t="s">
        <v>9</v>
      </c>
      <c r="C399" s="9">
        <v>1925</v>
      </c>
      <c r="D399" s="10">
        <v>45715</v>
      </c>
      <c r="E399" s="11" t="str">
        <f>+HYPERLINK("http://trademark.i-assist.jp/data/china/image_1925th/81902127.pdf","81902127")</f>
        <v>81902127</v>
      </c>
      <c r="F399" s="9" t="s">
        <v>1098</v>
      </c>
      <c r="G399" s="9" t="s">
        <v>1099</v>
      </c>
      <c r="H399" s="9" t="s">
        <v>1100</v>
      </c>
      <c r="I399" s="10">
        <v>45607</v>
      </c>
    </row>
    <row r="400" spans="1:9" x14ac:dyDescent="0.15">
      <c r="A400" s="9">
        <v>399</v>
      </c>
      <c r="B400" s="9" t="s">
        <v>9</v>
      </c>
      <c r="C400" s="9">
        <v>1925</v>
      </c>
      <c r="D400" s="10">
        <v>45715</v>
      </c>
      <c r="E400" s="11" t="str">
        <f>+HYPERLINK("http://trademark.i-assist.jp/data/china/image_1925th/81902133.pdf","81902133")</f>
        <v>81902133</v>
      </c>
      <c r="F400" s="9" t="s">
        <v>1101</v>
      </c>
      <c r="G400" s="9" t="s">
        <v>1102</v>
      </c>
      <c r="H400" s="12" t="s">
        <v>1103</v>
      </c>
      <c r="I400" s="10">
        <v>45608</v>
      </c>
    </row>
    <row r="401" spans="1:9" x14ac:dyDescent="0.15">
      <c r="A401" s="9">
        <v>400</v>
      </c>
      <c r="B401" s="9" t="s">
        <v>9</v>
      </c>
      <c r="C401" s="9">
        <v>1925</v>
      </c>
      <c r="D401" s="10">
        <v>45715</v>
      </c>
      <c r="E401" s="11" t="str">
        <f>+HYPERLINK("http://trademark.i-assist.jp/data/china/image_1925th/81902634.pdf","81902634")</f>
        <v>81902634</v>
      </c>
      <c r="F401" s="9" t="s">
        <v>1104</v>
      </c>
      <c r="G401" s="9" t="s">
        <v>1105</v>
      </c>
      <c r="H401" s="9" t="s">
        <v>1106</v>
      </c>
      <c r="I401" s="10">
        <v>45608</v>
      </c>
    </row>
    <row r="402" spans="1:9" x14ac:dyDescent="0.15">
      <c r="A402" s="9">
        <v>401</v>
      </c>
      <c r="B402" s="9" t="s">
        <v>9</v>
      </c>
      <c r="C402" s="9">
        <v>1925</v>
      </c>
      <c r="D402" s="10">
        <v>45715</v>
      </c>
      <c r="E402" s="11" t="str">
        <f>+HYPERLINK("http://trademark.i-assist.jp/data/china/image_1925th/81903458.pdf","81903458")</f>
        <v>81903458</v>
      </c>
      <c r="F402" s="12" t="s">
        <v>1107</v>
      </c>
      <c r="G402" s="9" t="s">
        <v>521</v>
      </c>
      <c r="H402" s="9" t="s">
        <v>1108</v>
      </c>
      <c r="I402" s="10">
        <v>45608</v>
      </c>
    </row>
    <row r="403" spans="1:9" x14ac:dyDescent="0.15">
      <c r="A403" s="9">
        <v>402</v>
      </c>
      <c r="B403" s="9" t="s">
        <v>9</v>
      </c>
      <c r="C403" s="9">
        <v>1925</v>
      </c>
      <c r="D403" s="10">
        <v>45715</v>
      </c>
      <c r="E403" s="11" t="str">
        <f>+HYPERLINK("http://trademark.i-assist.jp/data/china/image_1925th/81903592.pdf","81903592")</f>
        <v>81903592</v>
      </c>
      <c r="F403" s="9" t="s">
        <v>1109</v>
      </c>
      <c r="G403" s="9" t="s">
        <v>287</v>
      </c>
      <c r="H403" s="9" t="s">
        <v>1110</v>
      </c>
      <c r="I403" s="10">
        <v>45608</v>
      </c>
    </row>
    <row r="404" spans="1:9" x14ac:dyDescent="0.15">
      <c r="A404" s="9">
        <v>403</v>
      </c>
      <c r="B404" s="9" t="s">
        <v>9</v>
      </c>
      <c r="C404" s="9">
        <v>1925</v>
      </c>
      <c r="D404" s="10">
        <v>45715</v>
      </c>
      <c r="E404" s="11" t="str">
        <f>+HYPERLINK("http://trademark.i-assist.jp/data/china/image_1925th/81903895.pdf","81903895")</f>
        <v>81903895</v>
      </c>
      <c r="F404" s="9" t="s">
        <v>1111</v>
      </c>
      <c r="G404" s="9" t="s">
        <v>1112</v>
      </c>
      <c r="H404" s="9" t="s">
        <v>1113</v>
      </c>
      <c r="I404" s="10">
        <v>45608</v>
      </c>
    </row>
    <row r="405" spans="1:9" x14ac:dyDescent="0.15">
      <c r="A405" s="9">
        <v>404</v>
      </c>
      <c r="B405" s="9" t="s">
        <v>9</v>
      </c>
      <c r="C405" s="9">
        <v>1925</v>
      </c>
      <c r="D405" s="10">
        <v>45715</v>
      </c>
      <c r="E405" s="11" t="str">
        <f>+HYPERLINK("http://trademark.i-assist.jp/data/china/image_1925th/81904475.pdf","81904475")</f>
        <v>81904475</v>
      </c>
      <c r="F405" s="9" t="s">
        <v>1114</v>
      </c>
      <c r="G405" s="9" t="s">
        <v>1115</v>
      </c>
      <c r="H405" s="9" t="s">
        <v>1116</v>
      </c>
      <c r="I405" s="10">
        <v>45608</v>
      </c>
    </row>
    <row r="406" spans="1:9" x14ac:dyDescent="0.15">
      <c r="A406" s="9">
        <v>405</v>
      </c>
      <c r="B406" s="9" t="s">
        <v>9</v>
      </c>
      <c r="C406" s="9">
        <v>1925</v>
      </c>
      <c r="D406" s="10">
        <v>45715</v>
      </c>
      <c r="E406" s="11" t="str">
        <f>+HYPERLINK("http://trademark.i-assist.jp/data/china/image_1925th/81904842.pdf","81904842")</f>
        <v>81904842</v>
      </c>
      <c r="F406" s="9" t="s">
        <v>1117</v>
      </c>
      <c r="G406" s="9" t="s">
        <v>287</v>
      </c>
      <c r="H406" s="9" t="s">
        <v>1118</v>
      </c>
      <c r="I406" s="10">
        <v>45608</v>
      </c>
    </row>
    <row r="407" spans="1:9" x14ac:dyDescent="0.15">
      <c r="A407" s="9">
        <v>406</v>
      </c>
      <c r="B407" s="9" t="s">
        <v>9</v>
      </c>
      <c r="C407" s="9">
        <v>1925</v>
      </c>
      <c r="D407" s="10">
        <v>45715</v>
      </c>
      <c r="E407" s="11" t="str">
        <f>+HYPERLINK("http://trademark.i-assist.jp/data/china/image_1925th/81905028.pdf","81905028")</f>
        <v>81905028</v>
      </c>
      <c r="F407" s="12" t="s">
        <v>1119</v>
      </c>
      <c r="G407" s="9" t="s">
        <v>521</v>
      </c>
      <c r="H407" s="9" t="s">
        <v>1120</v>
      </c>
      <c r="I407" s="10">
        <v>45608</v>
      </c>
    </row>
    <row r="408" spans="1:9" x14ac:dyDescent="0.15">
      <c r="A408" s="9">
        <v>407</v>
      </c>
      <c r="B408" s="9" t="s">
        <v>9</v>
      </c>
      <c r="C408" s="9">
        <v>1925</v>
      </c>
      <c r="D408" s="10">
        <v>45715</v>
      </c>
      <c r="E408" s="11" t="str">
        <f>+HYPERLINK("http://trademark.i-assist.jp/data/china/image_1925th/81905412.pdf","81905412")</f>
        <v>81905412</v>
      </c>
      <c r="F408" s="9" t="s">
        <v>1121</v>
      </c>
      <c r="G408" s="12" t="s">
        <v>1122</v>
      </c>
      <c r="H408" s="9" t="s">
        <v>1123</v>
      </c>
      <c r="I408" s="10">
        <v>45608</v>
      </c>
    </row>
    <row r="409" spans="1:9" x14ac:dyDescent="0.15">
      <c r="A409" s="9">
        <v>408</v>
      </c>
      <c r="B409" s="9" t="s">
        <v>9</v>
      </c>
      <c r="C409" s="9">
        <v>1925</v>
      </c>
      <c r="D409" s="10">
        <v>45715</v>
      </c>
      <c r="E409" s="11" t="str">
        <f>+HYPERLINK("http://trademark.i-assist.jp/data/china/image_1925th/81905707.pdf","81905707")</f>
        <v>81905707</v>
      </c>
      <c r="F409" s="9" t="s">
        <v>1124</v>
      </c>
      <c r="G409" s="12" t="s">
        <v>1125</v>
      </c>
      <c r="H409" s="9" t="s">
        <v>1126</v>
      </c>
      <c r="I409" s="10">
        <v>45608</v>
      </c>
    </row>
    <row r="410" spans="1:9" x14ac:dyDescent="0.15">
      <c r="A410" s="9">
        <v>409</v>
      </c>
      <c r="B410" s="9" t="s">
        <v>9</v>
      </c>
      <c r="C410" s="9">
        <v>1925</v>
      </c>
      <c r="D410" s="10">
        <v>45715</v>
      </c>
      <c r="E410" s="11" t="str">
        <f>+HYPERLINK("http://trademark.i-assist.jp/data/china/image_1925th/81905983.pdf","81905983")</f>
        <v>81905983</v>
      </c>
      <c r="F410" s="12" t="s">
        <v>1127</v>
      </c>
      <c r="G410" s="9" t="s">
        <v>1128</v>
      </c>
      <c r="H410" s="9" t="s">
        <v>1129</v>
      </c>
      <c r="I410" s="10">
        <v>45608</v>
      </c>
    </row>
    <row r="411" spans="1:9" x14ac:dyDescent="0.15">
      <c r="A411" s="9">
        <v>410</v>
      </c>
      <c r="B411" s="9" t="s">
        <v>9</v>
      </c>
      <c r="C411" s="9">
        <v>1925</v>
      </c>
      <c r="D411" s="10">
        <v>45715</v>
      </c>
      <c r="E411" s="11" t="str">
        <f>+HYPERLINK("http://trademark.i-assist.jp/data/china/image_1925th/81906281.pdf","81906281")</f>
        <v>81906281</v>
      </c>
      <c r="F411" s="9" t="s">
        <v>1130</v>
      </c>
      <c r="G411" s="9" t="s">
        <v>287</v>
      </c>
      <c r="H411" s="9" t="s">
        <v>1131</v>
      </c>
      <c r="I411" s="10">
        <v>45608</v>
      </c>
    </row>
    <row r="412" spans="1:9" x14ac:dyDescent="0.15">
      <c r="A412" s="9">
        <v>411</v>
      </c>
      <c r="B412" s="9" t="s">
        <v>9</v>
      </c>
      <c r="C412" s="9">
        <v>1925</v>
      </c>
      <c r="D412" s="10">
        <v>45715</v>
      </c>
      <c r="E412" s="11" t="str">
        <f>+HYPERLINK("http://trademark.i-assist.jp/data/china/image_1925th/81906899.pdf","81906899")</f>
        <v>81906899</v>
      </c>
      <c r="F412" s="9" t="s">
        <v>1132</v>
      </c>
      <c r="G412" s="12" t="s">
        <v>1133</v>
      </c>
      <c r="H412" s="9" t="s">
        <v>1134</v>
      </c>
      <c r="I412" s="10">
        <v>45608</v>
      </c>
    </row>
    <row r="413" spans="1:9" x14ac:dyDescent="0.15">
      <c r="A413" s="9">
        <v>412</v>
      </c>
      <c r="B413" s="9" t="s">
        <v>9</v>
      </c>
      <c r="C413" s="9">
        <v>1925</v>
      </c>
      <c r="D413" s="10">
        <v>45715</v>
      </c>
      <c r="E413" s="11" t="str">
        <f>+HYPERLINK("http://trademark.i-assist.jp/data/china/image_1925th/81907284.pdf","81907284")</f>
        <v>81907284</v>
      </c>
      <c r="F413" s="12" t="s">
        <v>57</v>
      </c>
      <c r="G413" s="12" t="s">
        <v>1135</v>
      </c>
      <c r="H413" s="9" t="s">
        <v>1136</v>
      </c>
      <c r="I413" s="10">
        <v>45608</v>
      </c>
    </row>
    <row r="414" spans="1:9" x14ac:dyDescent="0.15">
      <c r="A414" s="9">
        <v>413</v>
      </c>
      <c r="B414" s="9" t="s">
        <v>9</v>
      </c>
      <c r="C414" s="9">
        <v>1925</v>
      </c>
      <c r="D414" s="10">
        <v>45715</v>
      </c>
      <c r="E414" s="11" t="str">
        <f>+HYPERLINK("http://trademark.i-assist.jp/data/china/image_1925th/81908253.pdf","81908253")</f>
        <v>81908253</v>
      </c>
      <c r="F414" s="9" t="s">
        <v>1137</v>
      </c>
      <c r="G414" s="9" t="s">
        <v>1138</v>
      </c>
      <c r="H414" s="9" t="s">
        <v>1139</v>
      </c>
      <c r="I414" s="10">
        <v>45608</v>
      </c>
    </row>
    <row r="415" spans="1:9" x14ac:dyDescent="0.15">
      <c r="A415" s="9">
        <v>414</v>
      </c>
      <c r="B415" s="9" t="s">
        <v>9</v>
      </c>
      <c r="C415" s="9">
        <v>1925</v>
      </c>
      <c r="D415" s="10">
        <v>45715</v>
      </c>
      <c r="E415" s="11" t="str">
        <f>+HYPERLINK("http://trademark.i-assist.jp/data/china/image_1925th/81908605.pdf","81908605")</f>
        <v>81908605</v>
      </c>
      <c r="F415" s="9" t="s">
        <v>1140</v>
      </c>
      <c r="G415" s="9" t="s">
        <v>1138</v>
      </c>
      <c r="H415" s="9" t="s">
        <v>1141</v>
      </c>
      <c r="I415" s="10">
        <v>45608</v>
      </c>
    </row>
    <row r="416" spans="1:9" x14ac:dyDescent="0.15">
      <c r="A416" s="9">
        <v>415</v>
      </c>
      <c r="B416" s="9" t="s">
        <v>9</v>
      </c>
      <c r="C416" s="9">
        <v>1925</v>
      </c>
      <c r="D416" s="10">
        <v>45715</v>
      </c>
      <c r="E416" s="11" t="str">
        <f>+HYPERLINK("http://trademark.i-assist.jp/data/china/image_1925th/81910245.pdf","81910245")</f>
        <v>81910245</v>
      </c>
      <c r="F416" s="9" t="s">
        <v>1142</v>
      </c>
      <c r="G416" s="12" t="s">
        <v>1143</v>
      </c>
      <c r="H416" s="9" t="s">
        <v>1144</v>
      </c>
      <c r="I416" s="10">
        <v>45608</v>
      </c>
    </row>
    <row r="417" spans="1:9" x14ac:dyDescent="0.15">
      <c r="A417" s="9">
        <v>416</v>
      </c>
      <c r="B417" s="9" t="s">
        <v>9</v>
      </c>
      <c r="C417" s="9">
        <v>1925</v>
      </c>
      <c r="D417" s="10">
        <v>45715</v>
      </c>
      <c r="E417" s="11" t="str">
        <f>+HYPERLINK("http://trademark.i-assist.jp/data/china/image_1925th/81910371.pdf","81910371")</f>
        <v>81910371</v>
      </c>
      <c r="F417" s="9" t="s">
        <v>1145</v>
      </c>
      <c r="G417" s="9" t="s">
        <v>1146</v>
      </c>
      <c r="H417" s="9" t="s">
        <v>1147</v>
      </c>
      <c r="I417" s="10">
        <v>45608</v>
      </c>
    </row>
    <row r="418" spans="1:9" x14ac:dyDescent="0.15">
      <c r="A418" s="9">
        <v>417</v>
      </c>
      <c r="B418" s="9" t="s">
        <v>9</v>
      </c>
      <c r="C418" s="9">
        <v>1925</v>
      </c>
      <c r="D418" s="10">
        <v>45715</v>
      </c>
      <c r="E418" s="11" t="str">
        <f>+HYPERLINK("http://trademark.i-assist.jp/data/china/image_1925th/81911646.pdf","81911646")</f>
        <v>81911646</v>
      </c>
      <c r="F418" s="9" t="s">
        <v>1148</v>
      </c>
      <c r="G418" s="9" t="s">
        <v>31</v>
      </c>
      <c r="H418" s="9" t="s">
        <v>1149</v>
      </c>
      <c r="I418" s="10">
        <v>45608</v>
      </c>
    </row>
    <row r="419" spans="1:9" x14ac:dyDescent="0.15">
      <c r="A419" s="9">
        <v>418</v>
      </c>
      <c r="B419" s="9" t="s">
        <v>9</v>
      </c>
      <c r="C419" s="9">
        <v>1925</v>
      </c>
      <c r="D419" s="10">
        <v>45715</v>
      </c>
      <c r="E419" s="11" t="str">
        <f>+HYPERLINK("http://trademark.i-assist.jp/data/china/image_1925th/81911726.pdf","81911726")</f>
        <v>81911726</v>
      </c>
      <c r="F419" s="9" t="s">
        <v>1150</v>
      </c>
      <c r="G419" s="9" t="s">
        <v>1151</v>
      </c>
      <c r="H419" s="9" t="s">
        <v>1152</v>
      </c>
      <c r="I419" s="10">
        <v>45608</v>
      </c>
    </row>
    <row r="420" spans="1:9" x14ac:dyDescent="0.15">
      <c r="A420" s="9">
        <v>419</v>
      </c>
      <c r="B420" s="9" t="s">
        <v>9</v>
      </c>
      <c r="C420" s="9">
        <v>1925</v>
      </c>
      <c r="D420" s="10">
        <v>45715</v>
      </c>
      <c r="E420" s="11" t="str">
        <f>+HYPERLINK("http://trademark.i-assist.jp/data/china/image_1925th/81912302.pdf","81912302")</f>
        <v>81912302</v>
      </c>
      <c r="F420" s="9" t="s">
        <v>1153</v>
      </c>
      <c r="G420" s="9" t="s">
        <v>1154</v>
      </c>
      <c r="H420" s="9" t="s">
        <v>1155</v>
      </c>
      <c r="I420" s="10">
        <v>45608</v>
      </c>
    </row>
    <row r="421" spans="1:9" x14ac:dyDescent="0.15">
      <c r="A421" s="9">
        <v>420</v>
      </c>
      <c r="B421" s="9" t="s">
        <v>9</v>
      </c>
      <c r="C421" s="9">
        <v>1925</v>
      </c>
      <c r="D421" s="10">
        <v>45715</v>
      </c>
      <c r="E421" s="11" t="str">
        <f>+HYPERLINK("http://trademark.i-assist.jp/data/china/image_1925th/81914550.pdf","81914550")</f>
        <v>81914550</v>
      </c>
      <c r="F421" s="9" t="s">
        <v>1156</v>
      </c>
      <c r="G421" s="9" t="s">
        <v>1138</v>
      </c>
      <c r="H421" s="9" t="s">
        <v>1157</v>
      </c>
      <c r="I421" s="10">
        <v>45608</v>
      </c>
    </row>
    <row r="422" spans="1:9" x14ac:dyDescent="0.15">
      <c r="A422" s="9">
        <v>421</v>
      </c>
      <c r="B422" s="9" t="s">
        <v>9</v>
      </c>
      <c r="C422" s="9">
        <v>1925</v>
      </c>
      <c r="D422" s="10">
        <v>45715</v>
      </c>
      <c r="E422" s="11" t="str">
        <f>+HYPERLINK("http://trademark.i-assist.jp/data/china/image_1925th/81914884.pdf","81914884")</f>
        <v>81914884</v>
      </c>
      <c r="F422" s="9" t="s">
        <v>1158</v>
      </c>
      <c r="G422" s="9" t="s">
        <v>287</v>
      </c>
      <c r="H422" s="9" t="s">
        <v>1159</v>
      </c>
      <c r="I422" s="10">
        <v>45608</v>
      </c>
    </row>
    <row r="423" spans="1:9" x14ac:dyDescent="0.15">
      <c r="A423" s="9">
        <v>422</v>
      </c>
      <c r="B423" s="9" t="s">
        <v>9</v>
      </c>
      <c r="C423" s="9">
        <v>1925</v>
      </c>
      <c r="D423" s="10">
        <v>45715</v>
      </c>
      <c r="E423" s="11" t="str">
        <f>+HYPERLINK("http://trademark.i-assist.jp/data/china/image_1925th/81914908.pdf","81914908")</f>
        <v>81914908</v>
      </c>
      <c r="F423" s="9" t="s">
        <v>1160</v>
      </c>
      <c r="G423" s="9" t="s">
        <v>1161</v>
      </c>
      <c r="H423" s="9" t="s">
        <v>1162</v>
      </c>
      <c r="I423" s="10">
        <v>45608</v>
      </c>
    </row>
    <row r="424" spans="1:9" x14ac:dyDescent="0.15">
      <c r="A424" s="9">
        <v>423</v>
      </c>
      <c r="B424" s="9" t="s">
        <v>9</v>
      </c>
      <c r="C424" s="9">
        <v>1925</v>
      </c>
      <c r="D424" s="10">
        <v>45715</v>
      </c>
      <c r="E424" s="11" t="str">
        <f>+HYPERLINK("http://trademark.i-assist.jp/data/china/image_1925th/81914913.pdf","81914913")</f>
        <v>81914913</v>
      </c>
      <c r="F424" s="9" t="s">
        <v>1163</v>
      </c>
      <c r="G424" s="9" t="s">
        <v>1164</v>
      </c>
      <c r="H424" s="9" t="s">
        <v>1165</v>
      </c>
      <c r="I424" s="10">
        <v>45608</v>
      </c>
    </row>
    <row r="425" spans="1:9" x14ac:dyDescent="0.15">
      <c r="A425" s="9">
        <v>424</v>
      </c>
      <c r="B425" s="9" t="s">
        <v>9</v>
      </c>
      <c r="C425" s="9">
        <v>1925</v>
      </c>
      <c r="D425" s="10">
        <v>45715</v>
      </c>
      <c r="E425" s="11" t="str">
        <f>+HYPERLINK("http://trademark.i-assist.jp/data/china/image_1925th/81915277.pdf","81915277")</f>
        <v>81915277</v>
      </c>
      <c r="F425" s="12" t="s">
        <v>1166</v>
      </c>
      <c r="G425" s="9" t="s">
        <v>521</v>
      </c>
      <c r="H425" s="9" t="s">
        <v>1167</v>
      </c>
      <c r="I425" s="10">
        <v>45608</v>
      </c>
    </row>
    <row r="426" spans="1:9" x14ac:dyDescent="0.15">
      <c r="A426" s="9">
        <v>425</v>
      </c>
      <c r="B426" s="9" t="s">
        <v>9</v>
      </c>
      <c r="C426" s="9">
        <v>1925</v>
      </c>
      <c r="D426" s="10">
        <v>45715</v>
      </c>
      <c r="E426" s="11" t="str">
        <f>+HYPERLINK("http://trademark.i-assist.jp/data/china/image_1925th/81916417.pdf","81916417")</f>
        <v>81916417</v>
      </c>
      <c r="F426" s="9" t="s">
        <v>1168</v>
      </c>
      <c r="G426" s="12" t="s">
        <v>1125</v>
      </c>
      <c r="H426" s="9" t="s">
        <v>1169</v>
      </c>
      <c r="I426" s="10">
        <v>45608</v>
      </c>
    </row>
    <row r="427" spans="1:9" x14ac:dyDescent="0.15">
      <c r="A427" s="9">
        <v>426</v>
      </c>
      <c r="B427" s="9" t="s">
        <v>9</v>
      </c>
      <c r="C427" s="9">
        <v>1925</v>
      </c>
      <c r="D427" s="10">
        <v>45715</v>
      </c>
      <c r="E427" s="11" t="str">
        <f>+HYPERLINK("http://trademark.i-assist.jp/data/china/image_1925th/81917433.pdf","81917433")</f>
        <v>81917433</v>
      </c>
      <c r="F427" s="9" t="s">
        <v>1170</v>
      </c>
      <c r="G427" s="12" t="s">
        <v>1171</v>
      </c>
      <c r="H427" s="9" t="s">
        <v>1172</v>
      </c>
      <c r="I427" s="10">
        <v>45608</v>
      </c>
    </row>
    <row r="428" spans="1:9" x14ac:dyDescent="0.15">
      <c r="A428" s="9">
        <v>427</v>
      </c>
      <c r="B428" s="9" t="s">
        <v>9</v>
      </c>
      <c r="C428" s="9">
        <v>1925</v>
      </c>
      <c r="D428" s="10">
        <v>45715</v>
      </c>
      <c r="E428" s="11" t="str">
        <f>+HYPERLINK("http://trademark.i-assist.jp/data/china/image_1925th/81918657.pdf","81918657")</f>
        <v>81918657</v>
      </c>
      <c r="F428" s="9" t="s">
        <v>1173</v>
      </c>
      <c r="G428" s="9" t="s">
        <v>1174</v>
      </c>
      <c r="H428" s="12" t="s">
        <v>1175</v>
      </c>
      <c r="I428" s="10">
        <v>45608</v>
      </c>
    </row>
    <row r="429" spans="1:9" x14ac:dyDescent="0.15">
      <c r="A429" s="9">
        <v>428</v>
      </c>
      <c r="B429" s="9" t="s">
        <v>9</v>
      </c>
      <c r="C429" s="9">
        <v>1925</v>
      </c>
      <c r="D429" s="10">
        <v>45715</v>
      </c>
      <c r="E429" s="11" t="str">
        <f>+HYPERLINK("http://trademark.i-assist.jp/data/china/image_1925th/81919308.pdf","81919308")</f>
        <v>81919308</v>
      </c>
      <c r="F429" s="9" t="s">
        <v>1176</v>
      </c>
      <c r="G429" s="9" t="s">
        <v>1138</v>
      </c>
      <c r="H429" s="9" t="s">
        <v>1177</v>
      </c>
      <c r="I429" s="10">
        <v>45608</v>
      </c>
    </row>
    <row r="430" spans="1:9" x14ac:dyDescent="0.15">
      <c r="A430" s="9">
        <v>429</v>
      </c>
      <c r="B430" s="9" t="s">
        <v>9</v>
      </c>
      <c r="C430" s="9">
        <v>1925</v>
      </c>
      <c r="D430" s="10">
        <v>45715</v>
      </c>
      <c r="E430" s="11" t="str">
        <f>+HYPERLINK("http://trademark.i-assist.jp/data/china/image_1925th/81919323.pdf","81919323")</f>
        <v>81919323</v>
      </c>
      <c r="F430" s="9" t="s">
        <v>1178</v>
      </c>
      <c r="G430" s="9" t="s">
        <v>1138</v>
      </c>
      <c r="H430" s="9" t="s">
        <v>1179</v>
      </c>
      <c r="I430" s="10">
        <v>45608</v>
      </c>
    </row>
    <row r="431" spans="1:9" x14ac:dyDescent="0.15">
      <c r="A431" s="9">
        <v>430</v>
      </c>
      <c r="B431" s="9" t="s">
        <v>9</v>
      </c>
      <c r="C431" s="9">
        <v>1925</v>
      </c>
      <c r="D431" s="10">
        <v>45715</v>
      </c>
      <c r="E431" s="11" t="str">
        <f>+HYPERLINK("http://trademark.i-assist.jp/data/china/image_1925th/81920309.pdf","81920309")</f>
        <v>81920309</v>
      </c>
      <c r="F431" s="9" t="s">
        <v>1180</v>
      </c>
      <c r="G431" s="9" t="s">
        <v>1181</v>
      </c>
      <c r="H431" s="9" t="s">
        <v>1182</v>
      </c>
      <c r="I431" s="10">
        <v>45608</v>
      </c>
    </row>
    <row r="432" spans="1:9" x14ac:dyDescent="0.15">
      <c r="A432" s="9">
        <v>431</v>
      </c>
      <c r="B432" s="9" t="s">
        <v>9</v>
      </c>
      <c r="C432" s="9">
        <v>1925</v>
      </c>
      <c r="D432" s="10">
        <v>45715</v>
      </c>
      <c r="E432" s="11" t="str">
        <f>+HYPERLINK("http://trademark.i-assist.jp/data/china/image_1925th/81920643.pdf","81920643")</f>
        <v>81920643</v>
      </c>
      <c r="F432" s="12" t="s">
        <v>1183</v>
      </c>
      <c r="G432" s="12" t="s">
        <v>1184</v>
      </c>
      <c r="H432" s="9" t="s">
        <v>1185</v>
      </c>
      <c r="I432" s="10">
        <v>45608</v>
      </c>
    </row>
    <row r="433" spans="1:9" x14ac:dyDescent="0.15">
      <c r="A433" s="9">
        <v>432</v>
      </c>
      <c r="B433" s="9" t="s">
        <v>9</v>
      </c>
      <c r="C433" s="9">
        <v>1925</v>
      </c>
      <c r="D433" s="10">
        <v>45715</v>
      </c>
      <c r="E433" s="11" t="str">
        <f>+HYPERLINK("http://trademark.i-assist.jp/data/china/image_1925th/81922581.pdf","81922581")</f>
        <v>81922581</v>
      </c>
      <c r="F433" s="12" t="s">
        <v>1186</v>
      </c>
      <c r="G433" s="9" t="s">
        <v>521</v>
      </c>
      <c r="H433" s="9" t="s">
        <v>1187</v>
      </c>
      <c r="I433" s="10">
        <v>45608</v>
      </c>
    </row>
    <row r="434" spans="1:9" x14ac:dyDescent="0.15">
      <c r="A434" s="9">
        <v>433</v>
      </c>
      <c r="B434" s="9" t="s">
        <v>9</v>
      </c>
      <c r="C434" s="9">
        <v>1925</v>
      </c>
      <c r="D434" s="10">
        <v>45715</v>
      </c>
      <c r="E434" s="11" t="str">
        <f>+HYPERLINK("http://trademark.i-assist.jp/data/china/image_1925th/81922607.pdf","81922607")</f>
        <v>81922607</v>
      </c>
      <c r="F434" s="12" t="s">
        <v>1188</v>
      </c>
      <c r="G434" s="9" t="s">
        <v>521</v>
      </c>
      <c r="H434" s="9" t="s">
        <v>1189</v>
      </c>
      <c r="I434" s="10">
        <v>45608</v>
      </c>
    </row>
    <row r="435" spans="1:9" x14ac:dyDescent="0.15">
      <c r="A435" s="9">
        <v>434</v>
      </c>
      <c r="B435" s="9" t="s">
        <v>9</v>
      </c>
      <c r="C435" s="9">
        <v>1925</v>
      </c>
      <c r="D435" s="10">
        <v>45715</v>
      </c>
      <c r="E435" s="11" t="str">
        <f>+HYPERLINK("http://trademark.i-assist.jp/data/china/image_1925th/81922612.pdf","81922612")</f>
        <v>81922612</v>
      </c>
      <c r="F435" s="12" t="s">
        <v>1190</v>
      </c>
      <c r="G435" s="9" t="s">
        <v>521</v>
      </c>
      <c r="H435" s="12" t="s">
        <v>1191</v>
      </c>
      <c r="I435" s="10">
        <v>45608</v>
      </c>
    </row>
    <row r="436" spans="1:9" x14ac:dyDescent="0.15">
      <c r="A436" s="9">
        <v>435</v>
      </c>
      <c r="B436" s="9" t="s">
        <v>9</v>
      </c>
      <c r="C436" s="9">
        <v>1925</v>
      </c>
      <c r="D436" s="10">
        <v>45715</v>
      </c>
      <c r="E436" s="11" t="str">
        <f>+HYPERLINK("http://trademark.i-assist.jp/data/china/image_1925th/81922881.pdf","81922881")</f>
        <v>81922881</v>
      </c>
      <c r="F436" s="12" t="s">
        <v>1192</v>
      </c>
      <c r="G436" s="9" t="s">
        <v>1193</v>
      </c>
      <c r="H436" s="9" t="s">
        <v>1194</v>
      </c>
      <c r="I436" s="10">
        <v>45608</v>
      </c>
    </row>
    <row r="437" spans="1:9" x14ac:dyDescent="0.15">
      <c r="A437" s="9">
        <v>436</v>
      </c>
      <c r="B437" s="9" t="s">
        <v>9</v>
      </c>
      <c r="C437" s="9">
        <v>1925</v>
      </c>
      <c r="D437" s="10">
        <v>45715</v>
      </c>
      <c r="E437" s="11" t="str">
        <f>+HYPERLINK("http://trademark.i-assist.jp/data/china/image_1925th/81922907.pdf","81922907")</f>
        <v>81922907</v>
      </c>
      <c r="F437" s="9" t="s">
        <v>1195</v>
      </c>
      <c r="G437" s="9" t="s">
        <v>1196</v>
      </c>
      <c r="H437" s="9" t="s">
        <v>1197</v>
      </c>
      <c r="I437" s="10">
        <v>45608</v>
      </c>
    </row>
    <row r="438" spans="1:9" x14ac:dyDescent="0.15">
      <c r="A438" s="9">
        <v>437</v>
      </c>
      <c r="B438" s="9" t="s">
        <v>9</v>
      </c>
      <c r="C438" s="9">
        <v>1925</v>
      </c>
      <c r="D438" s="10">
        <v>45715</v>
      </c>
      <c r="E438" s="11" t="str">
        <f>+HYPERLINK("http://trademark.i-assist.jp/data/china/image_1925th/81923436.pdf","81923436")</f>
        <v>81923436</v>
      </c>
      <c r="F438" s="12" t="s">
        <v>57</v>
      </c>
      <c r="G438" s="9" t="s">
        <v>1198</v>
      </c>
      <c r="H438" s="12" t="s">
        <v>1199</v>
      </c>
      <c r="I438" s="10">
        <v>45608</v>
      </c>
    </row>
    <row r="439" spans="1:9" x14ac:dyDescent="0.15">
      <c r="A439" s="9">
        <v>438</v>
      </c>
      <c r="B439" s="9" t="s">
        <v>9</v>
      </c>
      <c r="C439" s="9">
        <v>1925</v>
      </c>
      <c r="D439" s="10">
        <v>45715</v>
      </c>
      <c r="E439" s="11" t="str">
        <f>+HYPERLINK("http://trademark.i-assist.jp/data/china/image_1925th/81924160.pdf","81924160")</f>
        <v>81924160</v>
      </c>
      <c r="F439" s="12" t="s">
        <v>1200</v>
      </c>
      <c r="G439" s="9" t="s">
        <v>1201</v>
      </c>
      <c r="H439" s="9" t="s">
        <v>1202</v>
      </c>
      <c r="I439" s="10">
        <v>45608</v>
      </c>
    </row>
    <row r="440" spans="1:9" x14ac:dyDescent="0.15">
      <c r="A440" s="9">
        <v>439</v>
      </c>
      <c r="B440" s="9" t="s">
        <v>9</v>
      </c>
      <c r="C440" s="9">
        <v>1925</v>
      </c>
      <c r="D440" s="10">
        <v>45715</v>
      </c>
      <c r="E440" s="11" t="str">
        <f>+HYPERLINK("http://trademark.i-assist.jp/data/china/image_1925th/81925362.pdf","81925362")</f>
        <v>81925362</v>
      </c>
      <c r="F440" s="9" t="s">
        <v>1203</v>
      </c>
      <c r="G440" s="9" t="s">
        <v>1204</v>
      </c>
      <c r="H440" s="9" t="s">
        <v>1205</v>
      </c>
      <c r="I440" s="10">
        <v>45608</v>
      </c>
    </row>
    <row r="441" spans="1:9" x14ac:dyDescent="0.15">
      <c r="A441" s="9">
        <v>440</v>
      </c>
      <c r="B441" s="9" t="s">
        <v>9</v>
      </c>
      <c r="C441" s="9">
        <v>1925</v>
      </c>
      <c r="D441" s="10">
        <v>45715</v>
      </c>
      <c r="E441" s="11" t="str">
        <f>+HYPERLINK("http://trademark.i-assist.jp/data/china/image_1925th/81925728.pdf","81925728")</f>
        <v>81925728</v>
      </c>
      <c r="F441" s="9" t="s">
        <v>1206</v>
      </c>
      <c r="G441" s="12" t="s">
        <v>1207</v>
      </c>
      <c r="H441" s="9" t="s">
        <v>1208</v>
      </c>
      <c r="I441" s="10">
        <v>45608</v>
      </c>
    </row>
    <row r="442" spans="1:9" x14ac:dyDescent="0.15">
      <c r="A442" s="9">
        <v>441</v>
      </c>
      <c r="B442" s="9" t="s">
        <v>9</v>
      </c>
      <c r="C442" s="9">
        <v>1925</v>
      </c>
      <c r="D442" s="10">
        <v>45715</v>
      </c>
      <c r="E442" s="11" t="str">
        <f>+HYPERLINK("http://trademark.i-assist.jp/data/china/image_1925th/81926073.pdf","81926073")</f>
        <v>81926073</v>
      </c>
      <c r="F442" s="9" t="s">
        <v>1209</v>
      </c>
      <c r="G442" s="12" t="s">
        <v>1210</v>
      </c>
      <c r="H442" s="9" t="s">
        <v>1211</v>
      </c>
      <c r="I442" s="10">
        <v>45608</v>
      </c>
    </row>
    <row r="443" spans="1:9" x14ac:dyDescent="0.15">
      <c r="A443" s="9">
        <v>442</v>
      </c>
      <c r="B443" s="9" t="s">
        <v>9</v>
      </c>
      <c r="C443" s="9">
        <v>1925</v>
      </c>
      <c r="D443" s="10">
        <v>45715</v>
      </c>
      <c r="E443" s="11" t="str">
        <f>+HYPERLINK("http://trademark.i-assist.jp/data/china/image_1925th/81926451.pdf","81926451")</f>
        <v>81926451</v>
      </c>
      <c r="F443" s="9" t="s">
        <v>1212</v>
      </c>
      <c r="G443" s="9" t="s">
        <v>1213</v>
      </c>
      <c r="H443" s="9" t="s">
        <v>1214</v>
      </c>
      <c r="I443" s="10">
        <v>45608</v>
      </c>
    </row>
    <row r="444" spans="1:9" x14ac:dyDescent="0.15">
      <c r="A444" s="9">
        <v>443</v>
      </c>
      <c r="B444" s="9" t="s">
        <v>9</v>
      </c>
      <c r="C444" s="9">
        <v>1925</v>
      </c>
      <c r="D444" s="10">
        <v>45715</v>
      </c>
      <c r="E444" s="11" t="str">
        <f>+HYPERLINK("http://trademark.i-assist.jp/data/china/image_1925th/81926729.pdf","81926729")</f>
        <v>81926729</v>
      </c>
      <c r="F444" s="9" t="s">
        <v>1215</v>
      </c>
      <c r="G444" s="9" t="s">
        <v>1138</v>
      </c>
      <c r="H444" s="9" t="s">
        <v>1216</v>
      </c>
      <c r="I444" s="10">
        <v>45608</v>
      </c>
    </row>
    <row r="445" spans="1:9" x14ac:dyDescent="0.15">
      <c r="A445" s="9">
        <v>444</v>
      </c>
      <c r="B445" s="9" t="s">
        <v>9</v>
      </c>
      <c r="C445" s="9">
        <v>1925</v>
      </c>
      <c r="D445" s="10">
        <v>45715</v>
      </c>
      <c r="E445" s="11" t="str">
        <f>+HYPERLINK("http://trademark.i-assist.jp/data/china/image_1925th/81926768.pdf","81926768")</f>
        <v>81926768</v>
      </c>
      <c r="F445" s="12" t="s">
        <v>57</v>
      </c>
      <c r="G445" s="9" t="s">
        <v>1217</v>
      </c>
      <c r="H445" s="9" t="s">
        <v>1218</v>
      </c>
      <c r="I445" s="10">
        <v>45608</v>
      </c>
    </row>
    <row r="446" spans="1:9" x14ac:dyDescent="0.15">
      <c r="A446" s="9">
        <v>445</v>
      </c>
      <c r="B446" s="9" t="s">
        <v>9</v>
      </c>
      <c r="C446" s="9">
        <v>1925</v>
      </c>
      <c r="D446" s="10">
        <v>45715</v>
      </c>
      <c r="E446" s="11" t="str">
        <f>+HYPERLINK("http://trademark.i-assist.jp/data/china/image_1925th/81928160.pdf","81928160")</f>
        <v>81928160</v>
      </c>
      <c r="F446" s="9" t="s">
        <v>1219</v>
      </c>
      <c r="G446" s="9" t="s">
        <v>1220</v>
      </c>
      <c r="H446" s="9" t="s">
        <v>1221</v>
      </c>
      <c r="I446" s="10">
        <v>45608</v>
      </c>
    </row>
    <row r="447" spans="1:9" x14ac:dyDescent="0.15">
      <c r="A447" s="9">
        <v>446</v>
      </c>
      <c r="B447" s="9" t="s">
        <v>9</v>
      </c>
      <c r="C447" s="9">
        <v>1925</v>
      </c>
      <c r="D447" s="10">
        <v>45715</v>
      </c>
      <c r="E447" s="11" t="str">
        <f>+HYPERLINK("http://trademark.i-assist.jp/data/china/image_1925th/81928218.pdf","81928218")</f>
        <v>81928218</v>
      </c>
      <c r="F447" s="12" t="s">
        <v>1222</v>
      </c>
      <c r="G447" s="9" t="s">
        <v>521</v>
      </c>
      <c r="H447" s="9" t="s">
        <v>1223</v>
      </c>
      <c r="I447" s="10">
        <v>45608</v>
      </c>
    </row>
    <row r="448" spans="1:9" x14ac:dyDescent="0.15">
      <c r="A448" s="9">
        <v>447</v>
      </c>
      <c r="B448" s="9" t="s">
        <v>9</v>
      </c>
      <c r="C448" s="9">
        <v>1925</v>
      </c>
      <c r="D448" s="10">
        <v>45715</v>
      </c>
      <c r="E448" s="11" t="str">
        <f>+HYPERLINK("http://trademark.i-assist.jp/data/china/image_1925th/81928686.pdf","81928686")</f>
        <v>81928686</v>
      </c>
      <c r="F448" s="9" t="s">
        <v>1224</v>
      </c>
      <c r="G448" s="9" t="s">
        <v>25</v>
      </c>
      <c r="H448" s="12" t="s">
        <v>1225</v>
      </c>
      <c r="I448" s="10">
        <v>45609</v>
      </c>
    </row>
    <row r="449" spans="1:9" x14ac:dyDescent="0.15">
      <c r="A449" s="9">
        <v>448</v>
      </c>
      <c r="B449" s="9" t="s">
        <v>9</v>
      </c>
      <c r="C449" s="9">
        <v>1925</v>
      </c>
      <c r="D449" s="10">
        <v>45715</v>
      </c>
      <c r="E449" s="11" t="str">
        <f>+HYPERLINK("http://trademark.i-assist.jp/data/china/image_1925th/81928731.pdf","81928731")</f>
        <v>81928731</v>
      </c>
      <c r="F449" s="9" t="s">
        <v>1226</v>
      </c>
      <c r="G449" s="9" t="s">
        <v>1227</v>
      </c>
      <c r="H449" s="9" t="s">
        <v>1228</v>
      </c>
      <c r="I449" s="10">
        <v>45609</v>
      </c>
    </row>
    <row r="450" spans="1:9" x14ac:dyDescent="0.15">
      <c r="A450" s="9">
        <v>449</v>
      </c>
      <c r="B450" s="9" t="s">
        <v>9</v>
      </c>
      <c r="C450" s="9">
        <v>1925</v>
      </c>
      <c r="D450" s="10">
        <v>45715</v>
      </c>
      <c r="E450" s="11" t="str">
        <f>+HYPERLINK("http://trademark.i-assist.jp/data/china/image_1925th/81928901.pdf","81928901")</f>
        <v>81928901</v>
      </c>
      <c r="F450" s="9" t="s">
        <v>1229</v>
      </c>
      <c r="G450" s="9" t="s">
        <v>1230</v>
      </c>
      <c r="H450" s="9" t="s">
        <v>1231</v>
      </c>
      <c r="I450" s="10">
        <v>45609</v>
      </c>
    </row>
    <row r="451" spans="1:9" x14ac:dyDescent="0.15">
      <c r="A451" s="9">
        <v>450</v>
      </c>
      <c r="B451" s="9" t="s">
        <v>9</v>
      </c>
      <c r="C451" s="9">
        <v>1925</v>
      </c>
      <c r="D451" s="10">
        <v>45715</v>
      </c>
      <c r="E451" s="11" t="str">
        <f>+HYPERLINK("http://trademark.i-assist.jp/data/china/image_1925th/81929347.pdf","81929347")</f>
        <v>81929347</v>
      </c>
      <c r="F451" s="9" t="s">
        <v>1232</v>
      </c>
      <c r="G451" s="9" t="s">
        <v>1233</v>
      </c>
      <c r="H451" s="9" t="s">
        <v>1234</v>
      </c>
      <c r="I451" s="10">
        <v>45609</v>
      </c>
    </row>
    <row r="452" spans="1:9" x14ac:dyDescent="0.15">
      <c r="A452" s="9">
        <v>451</v>
      </c>
      <c r="B452" s="9" t="s">
        <v>9</v>
      </c>
      <c r="C452" s="9">
        <v>1925</v>
      </c>
      <c r="D452" s="10">
        <v>45715</v>
      </c>
      <c r="E452" s="11" t="str">
        <f>+HYPERLINK("http://trademark.i-assist.jp/data/china/image_1925th/81929706.pdf","81929706")</f>
        <v>81929706</v>
      </c>
      <c r="F452" s="9" t="s">
        <v>1235</v>
      </c>
      <c r="G452" s="9" t="s">
        <v>1236</v>
      </c>
      <c r="H452" s="9" t="s">
        <v>1237</v>
      </c>
      <c r="I452" s="10">
        <v>45609</v>
      </c>
    </row>
    <row r="453" spans="1:9" x14ac:dyDescent="0.15">
      <c r="A453" s="9">
        <v>452</v>
      </c>
      <c r="B453" s="9" t="s">
        <v>9</v>
      </c>
      <c r="C453" s="9">
        <v>1925</v>
      </c>
      <c r="D453" s="10">
        <v>45715</v>
      </c>
      <c r="E453" s="11" t="str">
        <f>+HYPERLINK("http://trademark.i-assist.jp/data/china/image_1925th/81930918.pdf","81930918")</f>
        <v>81930918</v>
      </c>
      <c r="F453" s="9" t="s">
        <v>1238</v>
      </c>
      <c r="G453" s="9" t="s">
        <v>1239</v>
      </c>
      <c r="H453" s="9" t="s">
        <v>1240</v>
      </c>
      <c r="I453" s="10">
        <v>45609</v>
      </c>
    </row>
    <row r="454" spans="1:9" x14ac:dyDescent="0.15">
      <c r="A454" s="9">
        <v>453</v>
      </c>
      <c r="B454" s="9" t="s">
        <v>9</v>
      </c>
      <c r="C454" s="9">
        <v>1925</v>
      </c>
      <c r="D454" s="10">
        <v>45715</v>
      </c>
      <c r="E454" s="11" t="str">
        <f>+HYPERLINK("http://trademark.i-assist.jp/data/china/image_1925th/81932383.pdf","81932383")</f>
        <v>81932383</v>
      </c>
      <c r="F454" s="9" t="s">
        <v>1241</v>
      </c>
      <c r="G454" s="9" t="s">
        <v>1242</v>
      </c>
      <c r="H454" s="9" t="s">
        <v>1243</v>
      </c>
      <c r="I454" s="10">
        <v>45609</v>
      </c>
    </row>
    <row r="455" spans="1:9" x14ac:dyDescent="0.15">
      <c r="A455" s="9">
        <v>454</v>
      </c>
      <c r="B455" s="9" t="s">
        <v>9</v>
      </c>
      <c r="C455" s="9">
        <v>1925</v>
      </c>
      <c r="D455" s="10">
        <v>45715</v>
      </c>
      <c r="E455" s="11" t="str">
        <f>+HYPERLINK("http://trademark.i-assist.jp/data/china/image_1925th/81932749.pdf","81932749")</f>
        <v>81932749</v>
      </c>
      <c r="F455" s="9" t="s">
        <v>1244</v>
      </c>
      <c r="G455" s="9" t="s">
        <v>1245</v>
      </c>
      <c r="H455" s="9" t="s">
        <v>1246</v>
      </c>
      <c r="I455" s="10">
        <v>45609</v>
      </c>
    </row>
    <row r="456" spans="1:9" x14ac:dyDescent="0.15">
      <c r="A456" s="9">
        <v>455</v>
      </c>
      <c r="B456" s="9" t="s">
        <v>9</v>
      </c>
      <c r="C456" s="9">
        <v>1925</v>
      </c>
      <c r="D456" s="10">
        <v>45715</v>
      </c>
      <c r="E456" s="11" t="str">
        <f>+HYPERLINK("http://trademark.i-assist.jp/data/china/image_1925th/81933415.pdf","81933415")</f>
        <v>81933415</v>
      </c>
      <c r="F456" s="9" t="s">
        <v>1247</v>
      </c>
      <c r="G456" s="9" t="s">
        <v>1248</v>
      </c>
      <c r="H456" s="12" t="s">
        <v>1249</v>
      </c>
      <c r="I456" s="10">
        <v>45609</v>
      </c>
    </row>
    <row r="457" spans="1:9" x14ac:dyDescent="0.15">
      <c r="A457" s="9">
        <v>456</v>
      </c>
      <c r="B457" s="9" t="s">
        <v>9</v>
      </c>
      <c r="C457" s="9">
        <v>1925</v>
      </c>
      <c r="D457" s="10">
        <v>45715</v>
      </c>
      <c r="E457" s="11" t="str">
        <f>+HYPERLINK("http://trademark.i-assist.jp/data/china/image_1925th/81933639.pdf","81933639")</f>
        <v>81933639</v>
      </c>
      <c r="F457" s="9" t="s">
        <v>1250</v>
      </c>
      <c r="G457" s="9" t="s">
        <v>1251</v>
      </c>
      <c r="H457" s="9" t="s">
        <v>1252</v>
      </c>
      <c r="I457" s="10">
        <v>45609</v>
      </c>
    </row>
    <row r="458" spans="1:9" x14ac:dyDescent="0.15">
      <c r="A458" s="9">
        <v>457</v>
      </c>
      <c r="B458" s="9" t="s">
        <v>9</v>
      </c>
      <c r="C458" s="9">
        <v>1925</v>
      </c>
      <c r="D458" s="10">
        <v>45715</v>
      </c>
      <c r="E458" s="11" t="str">
        <f>+HYPERLINK("http://trademark.i-assist.jp/data/china/image_1925th/81934690.pdf","81934690")</f>
        <v>81934690</v>
      </c>
      <c r="F458" s="9" t="s">
        <v>1253</v>
      </c>
      <c r="G458" s="9" t="s">
        <v>958</v>
      </c>
      <c r="H458" s="9" t="s">
        <v>1254</v>
      </c>
      <c r="I458" s="10">
        <v>45609</v>
      </c>
    </row>
    <row r="459" spans="1:9" x14ac:dyDescent="0.15">
      <c r="A459" s="9">
        <v>458</v>
      </c>
      <c r="B459" s="9" t="s">
        <v>9</v>
      </c>
      <c r="C459" s="9">
        <v>1925</v>
      </c>
      <c r="D459" s="10">
        <v>45715</v>
      </c>
      <c r="E459" s="11" t="str">
        <f>+HYPERLINK("http://trademark.i-assist.jp/data/china/image_1925th/81934714.pdf","81934714")</f>
        <v>81934714</v>
      </c>
      <c r="F459" s="12" t="s">
        <v>1255</v>
      </c>
      <c r="G459" s="12" t="s">
        <v>1256</v>
      </c>
      <c r="H459" s="12" t="s">
        <v>1257</v>
      </c>
      <c r="I459" s="10">
        <v>45609</v>
      </c>
    </row>
    <row r="460" spans="1:9" x14ac:dyDescent="0.15">
      <c r="A460" s="9">
        <v>459</v>
      </c>
      <c r="B460" s="9" t="s">
        <v>9</v>
      </c>
      <c r="C460" s="9">
        <v>1925</v>
      </c>
      <c r="D460" s="10">
        <v>45715</v>
      </c>
      <c r="E460" s="11" t="str">
        <f>+HYPERLINK("http://trademark.i-assist.jp/data/china/image_1925th/81934728.pdf","81934728")</f>
        <v>81934728</v>
      </c>
      <c r="F460" s="9" t="s">
        <v>1258</v>
      </c>
      <c r="G460" s="9" t="s">
        <v>1259</v>
      </c>
      <c r="H460" s="9" t="s">
        <v>1260</v>
      </c>
      <c r="I460" s="10">
        <v>45609</v>
      </c>
    </row>
    <row r="461" spans="1:9" x14ac:dyDescent="0.15">
      <c r="A461" s="9">
        <v>460</v>
      </c>
      <c r="B461" s="9" t="s">
        <v>9</v>
      </c>
      <c r="C461" s="9">
        <v>1925</v>
      </c>
      <c r="D461" s="10">
        <v>45715</v>
      </c>
      <c r="E461" s="11" t="str">
        <f>+HYPERLINK("http://trademark.i-assist.jp/data/china/image_1925th/81935584.pdf","81935584")</f>
        <v>81935584</v>
      </c>
      <c r="F461" s="9" t="s">
        <v>1261</v>
      </c>
      <c r="G461" s="9" t="s">
        <v>1262</v>
      </c>
      <c r="H461" s="9" t="s">
        <v>1263</v>
      </c>
      <c r="I461" s="10">
        <v>45609</v>
      </c>
    </row>
    <row r="462" spans="1:9" x14ac:dyDescent="0.15">
      <c r="A462" s="9">
        <v>461</v>
      </c>
      <c r="B462" s="9" t="s">
        <v>9</v>
      </c>
      <c r="C462" s="9">
        <v>1925</v>
      </c>
      <c r="D462" s="10">
        <v>45715</v>
      </c>
      <c r="E462" s="11" t="str">
        <f>+HYPERLINK("http://trademark.i-assist.jp/data/china/image_1925th/81936686.pdf","81936686")</f>
        <v>81936686</v>
      </c>
      <c r="F462" s="12" t="s">
        <v>1264</v>
      </c>
      <c r="G462" s="9" t="s">
        <v>1265</v>
      </c>
      <c r="H462" s="9" t="s">
        <v>1266</v>
      </c>
      <c r="I462" s="10">
        <v>45609</v>
      </c>
    </row>
    <row r="463" spans="1:9" x14ac:dyDescent="0.15">
      <c r="A463" s="9">
        <v>462</v>
      </c>
      <c r="B463" s="9" t="s">
        <v>9</v>
      </c>
      <c r="C463" s="9">
        <v>1925</v>
      </c>
      <c r="D463" s="10">
        <v>45715</v>
      </c>
      <c r="E463" s="11" t="str">
        <f>+HYPERLINK("http://trademark.i-assist.jp/data/china/image_1925th/81936953.pdf","81936953")</f>
        <v>81936953</v>
      </c>
      <c r="F463" s="9" t="s">
        <v>1267</v>
      </c>
      <c r="G463" s="12" t="s">
        <v>1268</v>
      </c>
      <c r="H463" s="9" t="s">
        <v>1269</v>
      </c>
      <c r="I463" s="10">
        <v>45609</v>
      </c>
    </row>
    <row r="464" spans="1:9" x14ac:dyDescent="0.15">
      <c r="A464" s="9">
        <v>463</v>
      </c>
      <c r="B464" s="9" t="s">
        <v>9</v>
      </c>
      <c r="C464" s="9">
        <v>1925</v>
      </c>
      <c r="D464" s="10">
        <v>45715</v>
      </c>
      <c r="E464" s="11" t="str">
        <f>+HYPERLINK("http://trademark.i-assist.jp/data/china/image_1925th/81937761.pdf","81937761")</f>
        <v>81937761</v>
      </c>
      <c r="F464" s="9" t="s">
        <v>1270</v>
      </c>
      <c r="G464" s="12" t="s">
        <v>1271</v>
      </c>
      <c r="H464" s="9" t="s">
        <v>1272</v>
      </c>
      <c r="I464" s="10">
        <v>45609</v>
      </c>
    </row>
    <row r="465" spans="1:9" x14ac:dyDescent="0.15">
      <c r="A465" s="9">
        <v>464</v>
      </c>
      <c r="B465" s="9" t="s">
        <v>9</v>
      </c>
      <c r="C465" s="9">
        <v>1925</v>
      </c>
      <c r="D465" s="10">
        <v>45715</v>
      </c>
      <c r="E465" s="11" t="str">
        <f>+HYPERLINK("http://trademark.i-assist.jp/data/china/image_1925th/81939772.pdf","81939772")</f>
        <v>81939772</v>
      </c>
      <c r="F465" s="9" t="s">
        <v>1273</v>
      </c>
      <c r="G465" s="9" t="s">
        <v>1274</v>
      </c>
      <c r="H465" s="9" t="s">
        <v>1275</v>
      </c>
      <c r="I465" s="10">
        <v>45609</v>
      </c>
    </row>
    <row r="466" spans="1:9" x14ac:dyDescent="0.15">
      <c r="A466" s="9">
        <v>465</v>
      </c>
      <c r="B466" s="9" t="s">
        <v>9</v>
      </c>
      <c r="C466" s="9">
        <v>1925</v>
      </c>
      <c r="D466" s="10">
        <v>45715</v>
      </c>
      <c r="E466" s="11" t="str">
        <f>+HYPERLINK("http://trademark.i-assist.jp/data/china/image_1925th/81940167.pdf","81940167")</f>
        <v>81940167</v>
      </c>
      <c r="F466" s="9" t="s">
        <v>1276</v>
      </c>
      <c r="G466" s="9" t="s">
        <v>1259</v>
      </c>
      <c r="H466" s="12" t="s">
        <v>1277</v>
      </c>
      <c r="I466" s="10">
        <v>45609</v>
      </c>
    </row>
    <row r="467" spans="1:9" x14ac:dyDescent="0.15">
      <c r="A467" s="9">
        <v>466</v>
      </c>
      <c r="B467" s="9" t="s">
        <v>9</v>
      </c>
      <c r="C467" s="9">
        <v>1925</v>
      </c>
      <c r="D467" s="10">
        <v>45715</v>
      </c>
      <c r="E467" s="11" t="str">
        <f>+HYPERLINK("http://trademark.i-assist.jp/data/china/image_1925th/81940916.pdf","81940916")</f>
        <v>81940916</v>
      </c>
      <c r="F467" s="12" t="s">
        <v>1278</v>
      </c>
      <c r="G467" s="9" t="s">
        <v>1279</v>
      </c>
      <c r="H467" s="9" t="s">
        <v>1280</v>
      </c>
      <c r="I467" s="10">
        <v>45609</v>
      </c>
    </row>
    <row r="468" spans="1:9" x14ac:dyDescent="0.15">
      <c r="A468" s="9">
        <v>467</v>
      </c>
      <c r="B468" s="9" t="s">
        <v>9</v>
      </c>
      <c r="C468" s="9">
        <v>1925</v>
      </c>
      <c r="D468" s="10">
        <v>45715</v>
      </c>
      <c r="E468" s="11" t="str">
        <f>+HYPERLINK("http://trademark.i-assist.jp/data/china/image_1925th/81941178.pdf","81941178")</f>
        <v>81941178</v>
      </c>
      <c r="F468" s="9" t="s">
        <v>1281</v>
      </c>
      <c r="G468" s="9" t="s">
        <v>1282</v>
      </c>
      <c r="H468" s="9" t="s">
        <v>1283</v>
      </c>
      <c r="I468" s="10">
        <v>45609</v>
      </c>
    </row>
    <row r="469" spans="1:9" x14ac:dyDescent="0.15">
      <c r="A469" s="9">
        <v>468</v>
      </c>
      <c r="B469" s="9" t="s">
        <v>9</v>
      </c>
      <c r="C469" s="9">
        <v>1925</v>
      </c>
      <c r="D469" s="10">
        <v>45715</v>
      </c>
      <c r="E469" s="11" t="str">
        <f>+HYPERLINK("http://trademark.i-assist.jp/data/china/image_1925th/81941209.pdf","81941209")</f>
        <v>81941209</v>
      </c>
      <c r="F469" s="9" t="s">
        <v>1284</v>
      </c>
      <c r="G469" s="9" t="s">
        <v>1285</v>
      </c>
      <c r="H469" s="9" t="s">
        <v>1286</v>
      </c>
      <c r="I469" s="10">
        <v>45609</v>
      </c>
    </row>
    <row r="470" spans="1:9" x14ac:dyDescent="0.15">
      <c r="A470" s="9">
        <v>469</v>
      </c>
      <c r="B470" s="9" t="s">
        <v>9</v>
      </c>
      <c r="C470" s="9">
        <v>1925</v>
      </c>
      <c r="D470" s="10">
        <v>45715</v>
      </c>
      <c r="E470" s="11" t="str">
        <f>+HYPERLINK("http://trademark.i-assist.jp/data/china/image_1925th/81941210.pdf","81941210")</f>
        <v>81941210</v>
      </c>
      <c r="F470" s="9" t="s">
        <v>1287</v>
      </c>
      <c r="G470" s="9" t="s">
        <v>1288</v>
      </c>
      <c r="H470" s="12" t="s">
        <v>1289</v>
      </c>
      <c r="I470" s="10">
        <v>45609</v>
      </c>
    </row>
    <row r="471" spans="1:9" x14ac:dyDescent="0.15">
      <c r="A471" s="9">
        <v>470</v>
      </c>
      <c r="B471" s="9" t="s">
        <v>9</v>
      </c>
      <c r="C471" s="9">
        <v>1925</v>
      </c>
      <c r="D471" s="10">
        <v>45715</v>
      </c>
      <c r="E471" s="11" t="str">
        <f>+HYPERLINK("http://trademark.i-assist.jp/data/china/image_1925th/81941304.pdf","81941304")</f>
        <v>81941304</v>
      </c>
      <c r="F471" s="12" t="s">
        <v>1290</v>
      </c>
      <c r="G471" s="9" t="s">
        <v>958</v>
      </c>
      <c r="H471" s="9" t="s">
        <v>1291</v>
      </c>
      <c r="I471" s="10">
        <v>45609</v>
      </c>
    </row>
    <row r="472" spans="1:9" x14ac:dyDescent="0.15">
      <c r="A472" s="9">
        <v>471</v>
      </c>
      <c r="B472" s="9" t="s">
        <v>9</v>
      </c>
      <c r="C472" s="9">
        <v>1925</v>
      </c>
      <c r="D472" s="10">
        <v>45715</v>
      </c>
      <c r="E472" s="11" t="str">
        <f>+HYPERLINK("http://trademark.i-assist.jp/data/china/image_1925th/81941381.pdf","81941381")</f>
        <v>81941381</v>
      </c>
      <c r="F472" s="12" t="s">
        <v>1292</v>
      </c>
      <c r="G472" s="9" t="s">
        <v>1293</v>
      </c>
      <c r="H472" s="9" t="s">
        <v>1294</v>
      </c>
      <c r="I472" s="10">
        <v>45609</v>
      </c>
    </row>
    <row r="473" spans="1:9" x14ac:dyDescent="0.15">
      <c r="A473" s="9">
        <v>472</v>
      </c>
      <c r="B473" s="9" t="s">
        <v>9</v>
      </c>
      <c r="C473" s="9">
        <v>1925</v>
      </c>
      <c r="D473" s="10">
        <v>45715</v>
      </c>
      <c r="E473" s="11" t="str">
        <f>+HYPERLINK("http://trademark.i-assist.jp/data/china/image_1925th/81941560.pdf","81941560")</f>
        <v>81941560</v>
      </c>
      <c r="F473" s="9" t="s">
        <v>1295</v>
      </c>
      <c r="G473" s="9" t="s">
        <v>946</v>
      </c>
      <c r="H473" s="9" t="s">
        <v>1296</v>
      </c>
      <c r="I473" s="10">
        <v>45609</v>
      </c>
    </row>
    <row r="474" spans="1:9" x14ac:dyDescent="0.15">
      <c r="A474" s="9">
        <v>473</v>
      </c>
      <c r="B474" s="9" t="s">
        <v>9</v>
      </c>
      <c r="C474" s="9">
        <v>1925</v>
      </c>
      <c r="D474" s="10">
        <v>45715</v>
      </c>
      <c r="E474" s="11" t="str">
        <f>+HYPERLINK("http://trademark.i-assist.jp/data/china/image_1925th/81943864.pdf","81943864")</f>
        <v>81943864</v>
      </c>
      <c r="F474" s="9" t="s">
        <v>1297</v>
      </c>
      <c r="G474" s="9" t="s">
        <v>1298</v>
      </c>
      <c r="H474" s="9" t="s">
        <v>1299</v>
      </c>
      <c r="I474" s="10">
        <v>45609</v>
      </c>
    </row>
    <row r="475" spans="1:9" x14ac:dyDescent="0.15">
      <c r="A475" s="9">
        <v>474</v>
      </c>
      <c r="B475" s="9" t="s">
        <v>9</v>
      </c>
      <c r="C475" s="9">
        <v>1925</v>
      </c>
      <c r="D475" s="10">
        <v>45715</v>
      </c>
      <c r="E475" s="11" t="str">
        <f>+HYPERLINK("http://trademark.i-assist.jp/data/china/image_1925th/81944024.pdf","81944024")</f>
        <v>81944024</v>
      </c>
      <c r="F475" s="9" t="s">
        <v>1300</v>
      </c>
      <c r="G475" s="9" t="s">
        <v>1279</v>
      </c>
      <c r="H475" s="9" t="s">
        <v>1301</v>
      </c>
      <c r="I475" s="10">
        <v>45609</v>
      </c>
    </row>
    <row r="476" spans="1:9" x14ac:dyDescent="0.15">
      <c r="A476" s="9">
        <v>475</v>
      </c>
      <c r="B476" s="9" t="s">
        <v>9</v>
      </c>
      <c r="C476" s="9">
        <v>1925</v>
      </c>
      <c r="D476" s="10">
        <v>45715</v>
      </c>
      <c r="E476" s="11" t="str">
        <f>+HYPERLINK("http://trademark.i-assist.jp/data/china/image_1925th/81944042.pdf","81944042")</f>
        <v>81944042</v>
      </c>
      <c r="F476" s="12" t="s">
        <v>57</v>
      </c>
      <c r="G476" s="9" t="s">
        <v>1227</v>
      </c>
      <c r="H476" s="9" t="s">
        <v>1302</v>
      </c>
      <c r="I476" s="10">
        <v>45609</v>
      </c>
    </row>
    <row r="477" spans="1:9" x14ac:dyDescent="0.15">
      <c r="A477" s="9">
        <v>476</v>
      </c>
      <c r="B477" s="9" t="s">
        <v>9</v>
      </c>
      <c r="C477" s="9">
        <v>1925</v>
      </c>
      <c r="D477" s="10">
        <v>45715</v>
      </c>
      <c r="E477" s="11" t="str">
        <f>+HYPERLINK("http://trademark.i-assist.jp/data/china/image_1925th/81944200.pdf","81944200")</f>
        <v>81944200</v>
      </c>
      <c r="F477" s="9" t="s">
        <v>1303</v>
      </c>
      <c r="G477" s="9" t="s">
        <v>1259</v>
      </c>
      <c r="H477" s="9" t="s">
        <v>1304</v>
      </c>
      <c r="I477" s="10">
        <v>45609</v>
      </c>
    </row>
    <row r="478" spans="1:9" x14ac:dyDescent="0.15">
      <c r="A478" s="9">
        <v>477</v>
      </c>
      <c r="B478" s="9" t="s">
        <v>9</v>
      </c>
      <c r="C478" s="9">
        <v>1925</v>
      </c>
      <c r="D478" s="10">
        <v>45715</v>
      </c>
      <c r="E478" s="11" t="str">
        <f>+HYPERLINK("http://trademark.i-assist.jp/data/china/image_1925th/81945268.pdf","81945268")</f>
        <v>81945268</v>
      </c>
      <c r="F478" s="9" t="s">
        <v>1305</v>
      </c>
      <c r="G478" s="9" t="s">
        <v>1306</v>
      </c>
      <c r="H478" s="12" t="s">
        <v>1307</v>
      </c>
      <c r="I478" s="10">
        <v>45609</v>
      </c>
    </row>
    <row r="479" spans="1:9" x14ac:dyDescent="0.15">
      <c r="A479" s="9">
        <v>478</v>
      </c>
      <c r="B479" s="9" t="s">
        <v>9</v>
      </c>
      <c r="C479" s="9">
        <v>1925</v>
      </c>
      <c r="D479" s="10">
        <v>45715</v>
      </c>
      <c r="E479" s="11" t="str">
        <f>+HYPERLINK("http://trademark.i-assist.jp/data/china/image_1925th/81945635.pdf","81945635")</f>
        <v>81945635</v>
      </c>
      <c r="F479" s="12" t="s">
        <v>57</v>
      </c>
      <c r="G479" s="12" t="s">
        <v>1308</v>
      </c>
      <c r="H479" s="9" t="s">
        <v>1309</v>
      </c>
      <c r="I479" s="10">
        <v>45609</v>
      </c>
    </row>
    <row r="480" spans="1:9" x14ac:dyDescent="0.15">
      <c r="A480" s="9">
        <v>479</v>
      </c>
      <c r="B480" s="9" t="s">
        <v>9</v>
      </c>
      <c r="C480" s="9">
        <v>1925</v>
      </c>
      <c r="D480" s="10">
        <v>45715</v>
      </c>
      <c r="E480" s="11" t="str">
        <f>+HYPERLINK("http://trademark.i-assist.jp/data/china/image_1925th/81946623.pdf","81946623")</f>
        <v>81946623</v>
      </c>
      <c r="F480" s="9" t="s">
        <v>1310</v>
      </c>
      <c r="G480" s="9" t="s">
        <v>1311</v>
      </c>
      <c r="H480" s="9" t="s">
        <v>1312</v>
      </c>
      <c r="I480" s="10">
        <v>45609</v>
      </c>
    </row>
    <row r="481" spans="1:9" x14ac:dyDescent="0.15">
      <c r="A481" s="9">
        <v>480</v>
      </c>
      <c r="B481" s="9" t="s">
        <v>9</v>
      </c>
      <c r="C481" s="9">
        <v>1925</v>
      </c>
      <c r="D481" s="10">
        <v>45715</v>
      </c>
      <c r="E481" s="11" t="str">
        <f>+HYPERLINK("http://trademark.i-assist.jp/data/china/image_1925th/81946995.pdf","81946995")</f>
        <v>81946995</v>
      </c>
      <c r="F481" s="9" t="s">
        <v>1313</v>
      </c>
      <c r="G481" s="9" t="s">
        <v>1314</v>
      </c>
      <c r="H481" s="9" t="s">
        <v>1315</v>
      </c>
      <c r="I481" s="10">
        <v>45609</v>
      </c>
    </row>
    <row r="482" spans="1:9" x14ac:dyDescent="0.15">
      <c r="A482" s="9">
        <v>481</v>
      </c>
      <c r="B482" s="9" t="s">
        <v>9</v>
      </c>
      <c r="C482" s="9">
        <v>1925</v>
      </c>
      <c r="D482" s="10">
        <v>45715</v>
      </c>
      <c r="E482" s="11" t="str">
        <f>+HYPERLINK("http://trademark.i-assist.jp/data/china/image_1925th/81947066.pdf","81947066")</f>
        <v>81947066</v>
      </c>
      <c r="F482" s="12" t="s">
        <v>57</v>
      </c>
      <c r="G482" s="12" t="s">
        <v>1316</v>
      </c>
      <c r="H482" s="9" t="s">
        <v>1317</v>
      </c>
      <c r="I482" s="10">
        <v>45609</v>
      </c>
    </row>
    <row r="483" spans="1:9" x14ac:dyDescent="0.15">
      <c r="A483" s="9">
        <v>482</v>
      </c>
      <c r="B483" s="9" t="s">
        <v>9</v>
      </c>
      <c r="C483" s="9">
        <v>1925</v>
      </c>
      <c r="D483" s="10">
        <v>45715</v>
      </c>
      <c r="E483" s="11" t="str">
        <f>+HYPERLINK("http://trademark.i-assist.jp/data/china/image_1925th/81948194.pdf","81948194")</f>
        <v>81948194</v>
      </c>
      <c r="F483" s="9" t="s">
        <v>1318</v>
      </c>
      <c r="G483" s="9" t="s">
        <v>1319</v>
      </c>
      <c r="H483" s="9" t="s">
        <v>1320</v>
      </c>
      <c r="I483" s="10">
        <v>45609</v>
      </c>
    </row>
    <row r="484" spans="1:9" x14ac:dyDescent="0.15">
      <c r="A484" s="9">
        <v>483</v>
      </c>
      <c r="B484" s="9" t="s">
        <v>9</v>
      </c>
      <c r="C484" s="9">
        <v>1925</v>
      </c>
      <c r="D484" s="10">
        <v>45715</v>
      </c>
      <c r="E484" s="11" t="str">
        <f>+HYPERLINK("http://trademark.i-assist.jp/data/china/image_1925th/81948443.pdf","81948443")</f>
        <v>81948443</v>
      </c>
      <c r="F484" s="12" t="s">
        <v>1321</v>
      </c>
      <c r="G484" s="9" t="s">
        <v>1322</v>
      </c>
      <c r="H484" s="9" t="s">
        <v>1323</v>
      </c>
      <c r="I484" s="10">
        <v>45609</v>
      </c>
    </row>
    <row r="485" spans="1:9" x14ac:dyDescent="0.15">
      <c r="A485" s="9">
        <v>484</v>
      </c>
      <c r="B485" s="9" t="s">
        <v>9</v>
      </c>
      <c r="C485" s="9">
        <v>1925</v>
      </c>
      <c r="D485" s="10">
        <v>45715</v>
      </c>
      <c r="E485" s="11" t="str">
        <f>+HYPERLINK("http://trademark.i-assist.jp/data/china/image_1925th/81948736.pdf","81948736")</f>
        <v>81948736</v>
      </c>
      <c r="F485" s="12" t="s">
        <v>1324</v>
      </c>
      <c r="G485" s="9" t="s">
        <v>1259</v>
      </c>
      <c r="H485" s="9" t="s">
        <v>1325</v>
      </c>
      <c r="I485" s="10">
        <v>45609</v>
      </c>
    </row>
    <row r="486" spans="1:9" x14ac:dyDescent="0.15">
      <c r="A486" s="9">
        <v>485</v>
      </c>
      <c r="B486" s="9" t="s">
        <v>9</v>
      </c>
      <c r="C486" s="9">
        <v>1925</v>
      </c>
      <c r="D486" s="10">
        <v>45715</v>
      </c>
      <c r="E486" s="11" t="str">
        <f>+HYPERLINK("http://trademark.i-assist.jp/data/china/image_1925th/81949028.pdf","81949028")</f>
        <v>81949028</v>
      </c>
      <c r="F486" s="12" t="s">
        <v>1326</v>
      </c>
      <c r="G486" s="9" t="s">
        <v>1327</v>
      </c>
      <c r="H486" s="9" t="s">
        <v>1328</v>
      </c>
      <c r="I486" s="10">
        <v>45609</v>
      </c>
    </row>
    <row r="487" spans="1:9" x14ac:dyDescent="0.15">
      <c r="A487" s="9">
        <v>486</v>
      </c>
      <c r="B487" s="9" t="s">
        <v>9</v>
      </c>
      <c r="C487" s="9">
        <v>1925</v>
      </c>
      <c r="D487" s="10">
        <v>45715</v>
      </c>
      <c r="E487" s="11" t="str">
        <f>+HYPERLINK("http://trademark.i-assist.jp/data/china/image_1925th/81951421.pdf","81951421")</f>
        <v>81951421</v>
      </c>
      <c r="F487" s="9" t="s">
        <v>1329</v>
      </c>
      <c r="G487" s="9" t="s">
        <v>1330</v>
      </c>
      <c r="H487" s="9" t="s">
        <v>1331</v>
      </c>
      <c r="I487" s="10">
        <v>45609</v>
      </c>
    </row>
    <row r="488" spans="1:9" x14ac:dyDescent="0.15">
      <c r="A488" s="9">
        <v>487</v>
      </c>
      <c r="B488" s="9" t="s">
        <v>9</v>
      </c>
      <c r="C488" s="9">
        <v>1925</v>
      </c>
      <c r="D488" s="10">
        <v>45715</v>
      </c>
      <c r="E488" s="11" t="str">
        <f>+HYPERLINK("http://trademark.i-assist.jp/data/china/image_1925th/81952137.pdf","81952137")</f>
        <v>81952137</v>
      </c>
      <c r="F488" s="12" t="s">
        <v>1332</v>
      </c>
      <c r="G488" s="9" t="s">
        <v>15</v>
      </c>
      <c r="H488" s="12" t="s">
        <v>1333</v>
      </c>
      <c r="I488" s="10">
        <v>45609</v>
      </c>
    </row>
    <row r="489" spans="1:9" x14ac:dyDescent="0.15">
      <c r="A489" s="9">
        <v>488</v>
      </c>
      <c r="B489" s="9" t="s">
        <v>9</v>
      </c>
      <c r="C489" s="9">
        <v>1925</v>
      </c>
      <c r="D489" s="10">
        <v>45715</v>
      </c>
      <c r="E489" s="11" t="str">
        <f>+HYPERLINK("http://trademark.i-assist.jp/data/china/image_1925th/81952201.pdf","81952201")</f>
        <v>81952201</v>
      </c>
      <c r="F489" s="12" t="s">
        <v>57</v>
      </c>
      <c r="G489" s="9" t="s">
        <v>1334</v>
      </c>
      <c r="H489" s="9" t="s">
        <v>1335</v>
      </c>
      <c r="I489" s="10">
        <v>45609</v>
      </c>
    </row>
    <row r="490" spans="1:9" x14ac:dyDescent="0.15">
      <c r="A490" s="9">
        <v>489</v>
      </c>
      <c r="B490" s="9" t="s">
        <v>9</v>
      </c>
      <c r="C490" s="9">
        <v>1925</v>
      </c>
      <c r="D490" s="10">
        <v>45715</v>
      </c>
      <c r="E490" s="11" t="str">
        <f>+HYPERLINK("http://trademark.i-assist.jp/data/china/image_1925th/81952452.pdf","81952452")</f>
        <v>81952452</v>
      </c>
      <c r="F490" s="9" t="s">
        <v>1336</v>
      </c>
      <c r="G490" s="9" t="s">
        <v>1337</v>
      </c>
      <c r="H490" s="9" t="s">
        <v>1338</v>
      </c>
      <c r="I490" s="10">
        <v>45609</v>
      </c>
    </row>
    <row r="491" spans="1:9" x14ac:dyDescent="0.15">
      <c r="A491" s="9">
        <v>490</v>
      </c>
      <c r="B491" s="9" t="s">
        <v>9</v>
      </c>
      <c r="C491" s="9">
        <v>1925</v>
      </c>
      <c r="D491" s="10">
        <v>45715</v>
      </c>
      <c r="E491" s="11" t="str">
        <f>+HYPERLINK("http://trademark.i-assist.jp/data/china/image_1925th/81952941.pdf","81952941")</f>
        <v>81952941</v>
      </c>
      <c r="F491" s="9" t="s">
        <v>1339</v>
      </c>
      <c r="G491" s="12" t="s">
        <v>1340</v>
      </c>
      <c r="H491" s="9" t="s">
        <v>1341</v>
      </c>
      <c r="I491" s="10">
        <v>45609</v>
      </c>
    </row>
    <row r="492" spans="1:9" x14ac:dyDescent="0.15">
      <c r="A492" s="9">
        <v>491</v>
      </c>
      <c r="B492" s="9" t="s">
        <v>9</v>
      </c>
      <c r="C492" s="9">
        <v>1925</v>
      </c>
      <c r="D492" s="10">
        <v>45715</v>
      </c>
      <c r="E492" s="11" t="str">
        <f>+HYPERLINK("http://trademark.i-assist.jp/data/china/image_1925th/81953749.pdf","81953749")</f>
        <v>81953749</v>
      </c>
      <c r="F492" s="13" t="s">
        <v>1342</v>
      </c>
      <c r="G492" s="9" t="s">
        <v>1343</v>
      </c>
      <c r="H492" s="9" t="s">
        <v>1344</v>
      </c>
      <c r="I492" s="10">
        <v>45609</v>
      </c>
    </row>
    <row r="493" spans="1:9" x14ac:dyDescent="0.15">
      <c r="A493" s="9">
        <v>492</v>
      </c>
      <c r="B493" s="9" t="s">
        <v>9</v>
      </c>
      <c r="C493" s="9">
        <v>1925</v>
      </c>
      <c r="D493" s="10">
        <v>45715</v>
      </c>
      <c r="E493" s="11" t="str">
        <f>+HYPERLINK("http://trademark.i-assist.jp/data/china/image_1925th/81954017.pdf","81954017")</f>
        <v>81954017</v>
      </c>
      <c r="F493" s="9" t="s">
        <v>1345</v>
      </c>
      <c r="G493" s="9" t="s">
        <v>1251</v>
      </c>
      <c r="H493" s="9" t="s">
        <v>1346</v>
      </c>
      <c r="I493" s="10">
        <v>45609</v>
      </c>
    </row>
    <row r="494" spans="1:9" x14ac:dyDescent="0.15">
      <c r="A494" s="9">
        <v>493</v>
      </c>
      <c r="B494" s="9" t="s">
        <v>9</v>
      </c>
      <c r="C494" s="9">
        <v>1925</v>
      </c>
      <c r="D494" s="10">
        <v>45715</v>
      </c>
      <c r="E494" s="11" t="str">
        <f>+HYPERLINK("http://trademark.i-assist.jp/data/china/image_1925th/81954098.pdf","81954098")</f>
        <v>81954098</v>
      </c>
      <c r="F494" s="9" t="s">
        <v>1347</v>
      </c>
      <c r="G494" s="9" t="s">
        <v>1348</v>
      </c>
      <c r="H494" s="9" t="s">
        <v>1349</v>
      </c>
      <c r="I494" s="10">
        <v>45609</v>
      </c>
    </row>
    <row r="495" spans="1:9" x14ac:dyDescent="0.15">
      <c r="A495" s="9">
        <v>494</v>
      </c>
      <c r="B495" s="9" t="s">
        <v>9</v>
      </c>
      <c r="C495" s="9">
        <v>1925</v>
      </c>
      <c r="D495" s="10">
        <v>45715</v>
      </c>
      <c r="E495" s="11" t="str">
        <f>+HYPERLINK("http://trademark.i-assist.jp/data/china/image_1925th/81954760.pdf","81954760")</f>
        <v>81954760</v>
      </c>
      <c r="F495" s="9" t="s">
        <v>1350</v>
      </c>
      <c r="G495" s="12" t="s">
        <v>1351</v>
      </c>
      <c r="H495" s="12" t="s">
        <v>1352</v>
      </c>
      <c r="I495" s="10">
        <v>45610</v>
      </c>
    </row>
    <row r="496" spans="1:9" x14ac:dyDescent="0.15">
      <c r="A496" s="9">
        <v>495</v>
      </c>
      <c r="B496" s="9" t="s">
        <v>9</v>
      </c>
      <c r="C496" s="9">
        <v>1925</v>
      </c>
      <c r="D496" s="10">
        <v>45715</v>
      </c>
      <c r="E496" s="11" t="str">
        <f>+HYPERLINK("http://trademark.i-assist.jp/data/china/image_1925th/81955244.pdf","81955244")</f>
        <v>81955244</v>
      </c>
      <c r="F496" s="9" t="s">
        <v>1353</v>
      </c>
      <c r="G496" s="9" t="s">
        <v>1354</v>
      </c>
      <c r="H496" s="9" t="s">
        <v>1355</v>
      </c>
      <c r="I496" s="10">
        <v>45610</v>
      </c>
    </row>
    <row r="497" spans="1:9" x14ac:dyDescent="0.15">
      <c r="A497" s="9">
        <v>496</v>
      </c>
      <c r="B497" s="9" t="s">
        <v>9</v>
      </c>
      <c r="C497" s="9">
        <v>1925</v>
      </c>
      <c r="D497" s="10">
        <v>45715</v>
      </c>
      <c r="E497" s="11" t="str">
        <f>+HYPERLINK("http://trademark.i-assist.jp/data/china/image_1925th/81955268.pdf","81955268")</f>
        <v>81955268</v>
      </c>
      <c r="F497" s="12" t="s">
        <v>57</v>
      </c>
      <c r="G497" s="9" t="s">
        <v>1356</v>
      </c>
      <c r="H497" s="9" t="s">
        <v>1357</v>
      </c>
      <c r="I497" s="10">
        <v>45610</v>
      </c>
    </row>
    <row r="498" spans="1:9" x14ac:dyDescent="0.15">
      <c r="A498" s="9">
        <v>497</v>
      </c>
      <c r="B498" s="9" t="s">
        <v>9</v>
      </c>
      <c r="C498" s="9">
        <v>1925</v>
      </c>
      <c r="D498" s="10">
        <v>45715</v>
      </c>
      <c r="E498" s="11" t="str">
        <f>+HYPERLINK("http://trademark.i-assist.jp/data/china/image_1925th/81955406.pdf","81955406")</f>
        <v>81955406</v>
      </c>
      <c r="F498" s="9" t="s">
        <v>1358</v>
      </c>
      <c r="G498" s="9" t="s">
        <v>1359</v>
      </c>
      <c r="H498" s="9" t="s">
        <v>1360</v>
      </c>
      <c r="I498" s="10">
        <v>45610</v>
      </c>
    </row>
    <row r="499" spans="1:9" x14ac:dyDescent="0.15">
      <c r="A499" s="9">
        <v>498</v>
      </c>
      <c r="B499" s="9" t="s">
        <v>9</v>
      </c>
      <c r="C499" s="9">
        <v>1925</v>
      </c>
      <c r="D499" s="10">
        <v>45715</v>
      </c>
      <c r="E499" s="11" t="str">
        <f>+HYPERLINK("http://trademark.i-assist.jp/data/china/image_1925th/81955757.pdf","81955757")</f>
        <v>81955757</v>
      </c>
      <c r="F499" s="13" t="s">
        <v>1361</v>
      </c>
      <c r="G499" s="9" t="s">
        <v>1362</v>
      </c>
      <c r="H499" s="9" t="s">
        <v>1363</v>
      </c>
      <c r="I499" s="10">
        <v>45610</v>
      </c>
    </row>
    <row r="500" spans="1:9" x14ac:dyDescent="0.15">
      <c r="A500" s="9">
        <v>499</v>
      </c>
      <c r="B500" s="9" t="s">
        <v>9</v>
      </c>
      <c r="C500" s="9">
        <v>1925</v>
      </c>
      <c r="D500" s="10">
        <v>45715</v>
      </c>
      <c r="E500" s="11" t="str">
        <f>+HYPERLINK("http://trademark.i-assist.jp/data/china/image_1925th/81956564.pdf","81956564")</f>
        <v>81956564</v>
      </c>
      <c r="F500" s="9" t="s">
        <v>1364</v>
      </c>
      <c r="G500" s="9" t="s">
        <v>524</v>
      </c>
      <c r="H500" s="9" t="s">
        <v>1365</v>
      </c>
      <c r="I500" s="10">
        <v>45610</v>
      </c>
    </row>
    <row r="501" spans="1:9" x14ac:dyDescent="0.15">
      <c r="A501" s="9">
        <v>500</v>
      </c>
      <c r="B501" s="9" t="s">
        <v>9</v>
      </c>
      <c r="C501" s="9">
        <v>1925</v>
      </c>
      <c r="D501" s="10">
        <v>45715</v>
      </c>
      <c r="E501" s="11" t="str">
        <f>+HYPERLINK("http://trademark.i-assist.jp/data/china/image_1925th/81956767.pdf","81956767")</f>
        <v>81956767</v>
      </c>
      <c r="F501" s="9" t="s">
        <v>1366</v>
      </c>
      <c r="G501" s="12" t="s">
        <v>1367</v>
      </c>
      <c r="H501" s="9" t="s">
        <v>1368</v>
      </c>
      <c r="I501" s="10">
        <v>45610</v>
      </c>
    </row>
    <row r="502" spans="1:9" x14ac:dyDescent="0.15">
      <c r="A502" s="9">
        <v>501</v>
      </c>
      <c r="B502" s="9" t="s">
        <v>9</v>
      </c>
      <c r="C502" s="9">
        <v>1925</v>
      </c>
      <c r="D502" s="10">
        <v>45715</v>
      </c>
      <c r="E502" s="11" t="str">
        <f>+HYPERLINK("http://trademark.i-assist.jp/data/china/image_1925th/81956989.pdf","81956989")</f>
        <v>81956989</v>
      </c>
      <c r="F502" s="12" t="s">
        <v>1369</v>
      </c>
      <c r="G502" s="9" t="s">
        <v>1370</v>
      </c>
      <c r="H502" s="9" t="s">
        <v>1371</v>
      </c>
      <c r="I502" s="10">
        <v>45610</v>
      </c>
    </row>
    <row r="503" spans="1:9" x14ac:dyDescent="0.15">
      <c r="A503" s="9">
        <v>502</v>
      </c>
      <c r="B503" s="9" t="s">
        <v>9</v>
      </c>
      <c r="C503" s="9">
        <v>1925</v>
      </c>
      <c r="D503" s="10">
        <v>45715</v>
      </c>
      <c r="E503" s="11" t="str">
        <f>+HYPERLINK("http://trademark.i-assist.jp/data/china/image_1925th/81957202.pdf","81957202")</f>
        <v>81957202</v>
      </c>
      <c r="F503" s="9" t="s">
        <v>1372</v>
      </c>
      <c r="G503" s="9" t="s">
        <v>1373</v>
      </c>
      <c r="H503" s="9" t="s">
        <v>1374</v>
      </c>
      <c r="I503" s="10">
        <v>45610</v>
      </c>
    </row>
    <row r="504" spans="1:9" x14ac:dyDescent="0.15">
      <c r="A504" s="9">
        <v>503</v>
      </c>
      <c r="B504" s="9" t="s">
        <v>9</v>
      </c>
      <c r="C504" s="9">
        <v>1925</v>
      </c>
      <c r="D504" s="10">
        <v>45715</v>
      </c>
      <c r="E504" s="11" t="str">
        <f>+HYPERLINK("http://trademark.i-assist.jp/data/china/image_1925th/81957324.pdf","81957324")</f>
        <v>81957324</v>
      </c>
      <c r="F504" s="9" t="s">
        <v>1375</v>
      </c>
      <c r="G504" s="9" t="s">
        <v>1376</v>
      </c>
      <c r="H504" s="9" t="s">
        <v>1377</v>
      </c>
      <c r="I504" s="10">
        <v>45610</v>
      </c>
    </row>
    <row r="505" spans="1:9" x14ac:dyDescent="0.15">
      <c r="A505" s="9">
        <v>504</v>
      </c>
      <c r="B505" s="9" t="s">
        <v>9</v>
      </c>
      <c r="C505" s="9">
        <v>1925</v>
      </c>
      <c r="D505" s="10">
        <v>45715</v>
      </c>
      <c r="E505" s="11" t="str">
        <f>+HYPERLINK("http://trademark.i-assist.jp/data/china/image_1925th/81958085.pdf","81958085")</f>
        <v>81958085</v>
      </c>
      <c r="F505" s="9" t="s">
        <v>1378</v>
      </c>
      <c r="G505" s="9" t="s">
        <v>1379</v>
      </c>
      <c r="H505" s="9" t="s">
        <v>1380</v>
      </c>
      <c r="I505" s="10">
        <v>45610</v>
      </c>
    </row>
    <row r="506" spans="1:9" x14ac:dyDescent="0.15">
      <c r="A506" s="9">
        <v>505</v>
      </c>
      <c r="B506" s="9" t="s">
        <v>9</v>
      </c>
      <c r="C506" s="9">
        <v>1925</v>
      </c>
      <c r="D506" s="10">
        <v>45715</v>
      </c>
      <c r="E506" s="11" t="str">
        <f>+HYPERLINK("http://trademark.i-assist.jp/data/china/image_1925th/81958341.pdf","81958341")</f>
        <v>81958341</v>
      </c>
      <c r="F506" s="9" t="s">
        <v>1381</v>
      </c>
      <c r="G506" s="9" t="s">
        <v>1382</v>
      </c>
      <c r="H506" s="9" t="s">
        <v>1383</v>
      </c>
      <c r="I506" s="10">
        <v>45610</v>
      </c>
    </row>
    <row r="507" spans="1:9" x14ac:dyDescent="0.15">
      <c r="A507" s="9">
        <v>506</v>
      </c>
      <c r="B507" s="9" t="s">
        <v>9</v>
      </c>
      <c r="C507" s="9">
        <v>1925</v>
      </c>
      <c r="D507" s="10">
        <v>45715</v>
      </c>
      <c r="E507" s="11" t="str">
        <f>+HYPERLINK("http://trademark.i-assist.jp/data/china/image_1925th/81958536.pdf","81958536")</f>
        <v>81958536</v>
      </c>
      <c r="F507" s="9" t="s">
        <v>1384</v>
      </c>
      <c r="G507" s="12" t="s">
        <v>1385</v>
      </c>
      <c r="H507" s="9" t="s">
        <v>1386</v>
      </c>
      <c r="I507" s="10">
        <v>45610</v>
      </c>
    </row>
    <row r="508" spans="1:9" x14ac:dyDescent="0.15">
      <c r="A508" s="9">
        <v>507</v>
      </c>
      <c r="B508" s="9" t="s">
        <v>9</v>
      </c>
      <c r="C508" s="9">
        <v>1925</v>
      </c>
      <c r="D508" s="10">
        <v>45715</v>
      </c>
      <c r="E508" s="11" t="str">
        <f>+HYPERLINK("http://trademark.i-assist.jp/data/china/image_1925th/81958975.pdf","81958975")</f>
        <v>81958975</v>
      </c>
      <c r="F508" s="9" t="s">
        <v>1387</v>
      </c>
      <c r="G508" s="9" t="s">
        <v>1388</v>
      </c>
      <c r="H508" s="9" t="s">
        <v>1389</v>
      </c>
      <c r="I508" s="10">
        <v>45610</v>
      </c>
    </row>
    <row r="509" spans="1:9" x14ac:dyDescent="0.15">
      <c r="A509" s="9">
        <v>508</v>
      </c>
      <c r="B509" s="9" t="s">
        <v>9</v>
      </c>
      <c r="C509" s="9">
        <v>1925</v>
      </c>
      <c r="D509" s="10">
        <v>45715</v>
      </c>
      <c r="E509" s="11" t="str">
        <f>+HYPERLINK("http://trademark.i-assist.jp/data/china/image_1925th/81960566.pdf","81960566")</f>
        <v>81960566</v>
      </c>
      <c r="F509" s="13" t="s">
        <v>1390</v>
      </c>
      <c r="G509" s="9" t="s">
        <v>1362</v>
      </c>
      <c r="H509" s="9" t="s">
        <v>1391</v>
      </c>
      <c r="I509" s="10">
        <v>45610</v>
      </c>
    </row>
    <row r="510" spans="1:9" x14ac:dyDescent="0.15">
      <c r="A510" s="9">
        <v>509</v>
      </c>
      <c r="B510" s="9" t="s">
        <v>9</v>
      </c>
      <c r="C510" s="9">
        <v>1925</v>
      </c>
      <c r="D510" s="10">
        <v>45715</v>
      </c>
      <c r="E510" s="11" t="str">
        <f>+HYPERLINK("http://trademark.i-assist.jp/data/china/image_1925th/81961034.pdf","81961034")</f>
        <v>81961034</v>
      </c>
      <c r="F510" s="12" t="s">
        <v>57</v>
      </c>
      <c r="G510" s="9" t="s">
        <v>1392</v>
      </c>
      <c r="H510" s="9" t="s">
        <v>1393</v>
      </c>
      <c r="I510" s="10">
        <v>45610</v>
      </c>
    </row>
    <row r="511" spans="1:9" x14ac:dyDescent="0.15">
      <c r="A511" s="9">
        <v>510</v>
      </c>
      <c r="B511" s="9" t="s">
        <v>9</v>
      </c>
      <c r="C511" s="9">
        <v>1925</v>
      </c>
      <c r="D511" s="10">
        <v>45715</v>
      </c>
      <c r="E511" s="11" t="str">
        <f>+HYPERLINK("http://trademark.i-assist.jp/data/china/image_1925th/81961432.pdf","81961432")</f>
        <v>81961432</v>
      </c>
      <c r="F511" s="9" t="s">
        <v>1394</v>
      </c>
      <c r="G511" s="12" t="s">
        <v>1395</v>
      </c>
      <c r="H511" s="9" t="s">
        <v>1396</v>
      </c>
      <c r="I511" s="10">
        <v>45610</v>
      </c>
    </row>
    <row r="512" spans="1:9" x14ac:dyDescent="0.15">
      <c r="A512" s="9">
        <v>511</v>
      </c>
      <c r="B512" s="9" t="s">
        <v>9</v>
      </c>
      <c r="C512" s="9">
        <v>1925</v>
      </c>
      <c r="D512" s="10">
        <v>45715</v>
      </c>
      <c r="E512" s="11" t="str">
        <f>+HYPERLINK("http://trademark.i-assist.jp/data/china/image_1925th/81961574.pdf","81961574")</f>
        <v>81961574</v>
      </c>
      <c r="F512" s="9" t="s">
        <v>1397</v>
      </c>
      <c r="G512" s="9" t="s">
        <v>1398</v>
      </c>
      <c r="H512" s="9" t="s">
        <v>1399</v>
      </c>
      <c r="I512" s="10">
        <v>45610</v>
      </c>
    </row>
    <row r="513" spans="1:9" x14ac:dyDescent="0.15">
      <c r="A513" s="9">
        <v>512</v>
      </c>
      <c r="B513" s="9" t="s">
        <v>9</v>
      </c>
      <c r="C513" s="9">
        <v>1925</v>
      </c>
      <c r="D513" s="10">
        <v>45715</v>
      </c>
      <c r="E513" s="11" t="str">
        <f>+HYPERLINK("http://trademark.i-assist.jp/data/china/image_1925th/81962315.pdf","81962315")</f>
        <v>81962315</v>
      </c>
      <c r="F513" s="9" t="s">
        <v>1400</v>
      </c>
      <c r="G513" s="9" t="s">
        <v>1401</v>
      </c>
      <c r="H513" s="9" t="s">
        <v>1402</v>
      </c>
      <c r="I513" s="10">
        <v>45610</v>
      </c>
    </row>
    <row r="514" spans="1:9" x14ac:dyDescent="0.15">
      <c r="A514" s="9">
        <v>513</v>
      </c>
      <c r="B514" s="9" t="s">
        <v>9</v>
      </c>
      <c r="C514" s="9">
        <v>1925</v>
      </c>
      <c r="D514" s="10">
        <v>45715</v>
      </c>
      <c r="E514" s="11" t="str">
        <f>+HYPERLINK("http://trademark.i-assist.jp/data/china/image_1925th/81962368.pdf","81962368")</f>
        <v>81962368</v>
      </c>
      <c r="F514" s="9" t="s">
        <v>1403</v>
      </c>
      <c r="G514" s="9" t="s">
        <v>1404</v>
      </c>
      <c r="H514" s="12" t="s">
        <v>1405</v>
      </c>
      <c r="I514" s="10">
        <v>45610</v>
      </c>
    </row>
    <row r="515" spans="1:9" x14ac:dyDescent="0.15">
      <c r="A515" s="9">
        <v>514</v>
      </c>
      <c r="B515" s="9" t="s">
        <v>9</v>
      </c>
      <c r="C515" s="9">
        <v>1925</v>
      </c>
      <c r="D515" s="10">
        <v>45715</v>
      </c>
      <c r="E515" s="11" t="str">
        <f>+HYPERLINK("http://trademark.i-assist.jp/data/china/image_1925th/81962568.pdf","81962568")</f>
        <v>81962568</v>
      </c>
      <c r="F515" s="9" t="s">
        <v>1406</v>
      </c>
      <c r="G515" s="12" t="s">
        <v>1407</v>
      </c>
      <c r="H515" s="12" t="s">
        <v>1408</v>
      </c>
      <c r="I515" s="10">
        <v>45610</v>
      </c>
    </row>
    <row r="516" spans="1:9" x14ac:dyDescent="0.15">
      <c r="A516" s="9">
        <v>515</v>
      </c>
      <c r="B516" s="9" t="s">
        <v>9</v>
      </c>
      <c r="C516" s="9">
        <v>1925</v>
      </c>
      <c r="D516" s="10">
        <v>45715</v>
      </c>
      <c r="E516" s="11" t="str">
        <f>+HYPERLINK("http://trademark.i-assist.jp/data/china/image_1925th/81964238.pdf","81964238")</f>
        <v>81964238</v>
      </c>
      <c r="F516" s="12" t="s">
        <v>57</v>
      </c>
      <c r="G516" s="9" t="s">
        <v>1409</v>
      </c>
      <c r="H516" s="9" t="s">
        <v>1410</v>
      </c>
      <c r="I516" s="10">
        <v>45610</v>
      </c>
    </row>
    <row r="517" spans="1:9" x14ac:dyDescent="0.15">
      <c r="A517" s="9">
        <v>516</v>
      </c>
      <c r="B517" s="9" t="s">
        <v>9</v>
      </c>
      <c r="C517" s="9">
        <v>1925</v>
      </c>
      <c r="D517" s="10">
        <v>45715</v>
      </c>
      <c r="E517" s="11" t="str">
        <f>+HYPERLINK("http://trademark.i-assist.jp/data/china/image_1925th/81964242.pdf","81964242")</f>
        <v>81964242</v>
      </c>
      <c r="F517" s="12" t="s">
        <v>1411</v>
      </c>
      <c r="G517" s="9" t="s">
        <v>1412</v>
      </c>
      <c r="H517" s="9" t="s">
        <v>1413</v>
      </c>
      <c r="I517" s="10">
        <v>45610</v>
      </c>
    </row>
    <row r="518" spans="1:9" x14ac:dyDescent="0.15">
      <c r="A518" s="9">
        <v>517</v>
      </c>
      <c r="B518" s="9" t="s">
        <v>9</v>
      </c>
      <c r="C518" s="9">
        <v>1925</v>
      </c>
      <c r="D518" s="10">
        <v>45715</v>
      </c>
      <c r="E518" s="11" t="str">
        <f>+HYPERLINK("http://trademark.i-assist.jp/data/china/image_1925th/81965326.pdf","81965326")</f>
        <v>81965326</v>
      </c>
      <c r="F518" s="9" t="s">
        <v>1414</v>
      </c>
      <c r="G518" s="9" t="s">
        <v>1415</v>
      </c>
      <c r="H518" s="9" t="s">
        <v>1416</v>
      </c>
      <c r="I518" s="10">
        <v>45610</v>
      </c>
    </row>
    <row r="519" spans="1:9" x14ac:dyDescent="0.15">
      <c r="A519" s="9">
        <v>518</v>
      </c>
      <c r="B519" s="9" t="s">
        <v>9</v>
      </c>
      <c r="C519" s="9">
        <v>1925</v>
      </c>
      <c r="D519" s="10">
        <v>45715</v>
      </c>
      <c r="E519" s="11" t="str">
        <f>+HYPERLINK("http://trademark.i-assist.jp/data/china/image_1925th/81968951.pdf","81968951")</f>
        <v>81968951</v>
      </c>
      <c r="F519" s="9" t="s">
        <v>1417</v>
      </c>
      <c r="G519" s="12" t="s">
        <v>1418</v>
      </c>
      <c r="H519" s="9" t="s">
        <v>1419</v>
      </c>
      <c r="I519" s="10">
        <v>45610</v>
      </c>
    </row>
    <row r="520" spans="1:9" x14ac:dyDescent="0.15">
      <c r="A520" s="9">
        <v>519</v>
      </c>
      <c r="B520" s="9" t="s">
        <v>9</v>
      </c>
      <c r="C520" s="9">
        <v>1925</v>
      </c>
      <c r="D520" s="10">
        <v>45715</v>
      </c>
      <c r="E520" s="11" t="str">
        <f>+HYPERLINK("http://trademark.i-assist.jp/data/china/image_1925th/81970139.pdf","81970139")</f>
        <v>81970139</v>
      </c>
      <c r="F520" s="9" t="s">
        <v>1420</v>
      </c>
      <c r="G520" s="12" t="s">
        <v>1385</v>
      </c>
      <c r="H520" s="9" t="s">
        <v>1421</v>
      </c>
      <c r="I520" s="10">
        <v>45610</v>
      </c>
    </row>
    <row r="521" spans="1:9" x14ac:dyDescent="0.15">
      <c r="A521" s="9">
        <v>520</v>
      </c>
      <c r="B521" s="9" t="s">
        <v>9</v>
      </c>
      <c r="C521" s="9">
        <v>1925</v>
      </c>
      <c r="D521" s="10">
        <v>45715</v>
      </c>
      <c r="E521" s="11" t="str">
        <f>+HYPERLINK("http://trademark.i-assist.jp/data/china/image_1925th/81970430.pdf","81970430")</f>
        <v>81970430</v>
      </c>
      <c r="F521" s="9" t="s">
        <v>1422</v>
      </c>
      <c r="G521" s="9" t="s">
        <v>1423</v>
      </c>
      <c r="H521" s="9" t="s">
        <v>1424</v>
      </c>
      <c r="I521" s="10">
        <v>45610</v>
      </c>
    </row>
    <row r="522" spans="1:9" x14ac:dyDescent="0.15">
      <c r="A522" s="9">
        <v>521</v>
      </c>
      <c r="B522" s="9" t="s">
        <v>9</v>
      </c>
      <c r="C522" s="9">
        <v>1925</v>
      </c>
      <c r="D522" s="10">
        <v>45715</v>
      </c>
      <c r="E522" s="11" t="str">
        <f>+HYPERLINK("http://trademark.i-assist.jp/data/china/image_1925th/81972109.pdf","81972109")</f>
        <v>81972109</v>
      </c>
      <c r="F522" s="12" t="s">
        <v>57</v>
      </c>
      <c r="G522" s="9" t="s">
        <v>1425</v>
      </c>
      <c r="H522" s="9" t="s">
        <v>1426</v>
      </c>
      <c r="I522" s="10">
        <v>45610</v>
      </c>
    </row>
    <row r="523" spans="1:9" x14ac:dyDescent="0.15">
      <c r="A523" s="9">
        <v>522</v>
      </c>
      <c r="B523" s="9" t="s">
        <v>9</v>
      </c>
      <c r="C523" s="9">
        <v>1925</v>
      </c>
      <c r="D523" s="10">
        <v>45715</v>
      </c>
      <c r="E523" s="11" t="str">
        <f>+HYPERLINK("http://trademark.i-assist.jp/data/china/image_1925th/81972340.pdf","81972340")</f>
        <v>81972340</v>
      </c>
      <c r="F523" s="9" t="s">
        <v>1427</v>
      </c>
      <c r="G523" s="9" t="s">
        <v>21</v>
      </c>
      <c r="H523" s="9" t="s">
        <v>1428</v>
      </c>
      <c r="I523" s="10">
        <v>45610</v>
      </c>
    </row>
    <row r="524" spans="1:9" x14ac:dyDescent="0.15">
      <c r="A524" s="9">
        <v>523</v>
      </c>
      <c r="B524" s="9" t="s">
        <v>9</v>
      </c>
      <c r="C524" s="9">
        <v>1925</v>
      </c>
      <c r="D524" s="10">
        <v>45715</v>
      </c>
      <c r="E524" s="11" t="str">
        <f>+HYPERLINK("http://trademark.i-assist.jp/data/china/image_1925th/81972354.pdf","81972354")</f>
        <v>81972354</v>
      </c>
      <c r="F524" s="12" t="s">
        <v>1429</v>
      </c>
      <c r="G524" s="9" t="s">
        <v>1430</v>
      </c>
      <c r="H524" s="9" t="s">
        <v>1431</v>
      </c>
      <c r="I524" s="10">
        <v>45610</v>
      </c>
    </row>
    <row r="525" spans="1:9" x14ac:dyDescent="0.15">
      <c r="A525" s="9">
        <v>524</v>
      </c>
      <c r="B525" s="9" t="s">
        <v>9</v>
      </c>
      <c r="C525" s="9">
        <v>1925</v>
      </c>
      <c r="D525" s="10">
        <v>45715</v>
      </c>
      <c r="E525" s="11" t="str">
        <f>+HYPERLINK("http://trademark.i-assist.jp/data/china/image_1925th/81972673.pdf","81972673")</f>
        <v>81972673</v>
      </c>
      <c r="F525" s="9" t="s">
        <v>1432</v>
      </c>
      <c r="G525" s="9" t="s">
        <v>1433</v>
      </c>
      <c r="H525" s="9" t="s">
        <v>1434</v>
      </c>
      <c r="I525" s="10">
        <v>45610</v>
      </c>
    </row>
    <row r="526" spans="1:9" x14ac:dyDescent="0.15">
      <c r="A526" s="9">
        <v>525</v>
      </c>
      <c r="B526" s="9" t="s">
        <v>9</v>
      </c>
      <c r="C526" s="9">
        <v>1925</v>
      </c>
      <c r="D526" s="10">
        <v>45715</v>
      </c>
      <c r="E526" s="11" t="str">
        <f>+HYPERLINK("http://trademark.i-assist.jp/data/china/image_1925th/81973378.pdf","81973378")</f>
        <v>81973378</v>
      </c>
      <c r="F526" s="9" t="s">
        <v>1435</v>
      </c>
      <c r="G526" s="9" t="s">
        <v>1436</v>
      </c>
      <c r="H526" s="9" t="s">
        <v>1437</v>
      </c>
      <c r="I526" s="10">
        <v>45610</v>
      </c>
    </row>
    <row r="527" spans="1:9" x14ac:dyDescent="0.15">
      <c r="A527" s="9">
        <v>526</v>
      </c>
      <c r="B527" s="9" t="s">
        <v>9</v>
      </c>
      <c r="C527" s="9">
        <v>1925</v>
      </c>
      <c r="D527" s="10">
        <v>45715</v>
      </c>
      <c r="E527" s="11" t="str">
        <f>+HYPERLINK("http://trademark.i-assist.jp/data/china/image_1925th/81973489.pdf","81973489")</f>
        <v>81973489</v>
      </c>
      <c r="F527" s="9" t="s">
        <v>1438</v>
      </c>
      <c r="G527" s="9" t="s">
        <v>1439</v>
      </c>
      <c r="H527" s="9" t="s">
        <v>1440</v>
      </c>
      <c r="I527" s="10">
        <v>45610</v>
      </c>
    </row>
    <row r="528" spans="1:9" x14ac:dyDescent="0.15">
      <c r="A528" s="9">
        <v>527</v>
      </c>
      <c r="B528" s="9" t="s">
        <v>9</v>
      </c>
      <c r="C528" s="9">
        <v>1925</v>
      </c>
      <c r="D528" s="10">
        <v>45715</v>
      </c>
      <c r="E528" s="11" t="str">
        <f>+HYPERLINK("http://trademark.i-assist.jp/data/china/image_1925th/81974158.pdf","81974158")</f>
        <v>81974158</v>
      </c>
      <c r="F528" s="9" t="s">
        <v>1441</v>
      </c>
      <c r="G528" s="9" t="s">
        <v>1442</v>
      </c>
      <c r="H528" s="9" t="s">
        <v>1443</v>
      </c>
      <c r="I528" s="10">
        <v>45610</v>
      </c>
    </row>
    <row r="529" spans="1:9" x14ac:dyDescent="0.15">
      <c r="A529" s="9">
        <v>528</v>
      </c>
      <c r="B529" s="9" t="s">
        <v>9</v>
      </c>
      <c r="C529" s="9">
        <v>1925</v>
      </c>
      <c r="D529" s="10">
        <v>45715</v>
      </c>
      <c r="E529" s="11" t="str">
        <f>+HYPERLINK("http://trademark.i-assist.jp/data/china/image_1925th/81974339.pdf","81974339")</f>
        <v>81974339</v>
      </c>
      <c r="F529" s="9" t="s">
        <v>1444</v>
      </c>
      <c r="G529" s="9" t="s">
        <v>21</v>
      </c>
      <c r="H529" s="9" t="s">
        <v>1445</v>
      </c>
      <c r="I529" s="10">
        <v>45610</v>
      </c>
    </row>
    <row r="530" spans="1:9" x14ac:dyDescent="0.15">
      <c r="A530" s="9">
        <v>529</v>
      </c>
      <c r="B530" s="9" t="s">
        <v>9</v>
      </c>
      <c r="C530" s="9">
        <v>1925</v>
      </c>
      <c r="D530" s="10">
        <v>45715</v>
      </c>
      <c r="E530" s="11" t="str">
        <f>+HYPERLINK("http://trademark.i-assist.jp/data/china/image_1925th/81975483.pdf","81975483")</f>
        <v>81975483</v>
      </c>
      <c r="F530" s="12" t="s">
        <v>1446</v>
      </c>
      <c r="G530" s="12" t="s">
        <v>1447</v>
      </c>
      <c r="H530" s="9" t="s">
        <v>1448</v>
      </c>
      <c r="I530" s="10">
        <v>45610</v>
      </c>
    </row>
    <row r="531" spans="1:9" x14ac:dyDescent="0.15">
      <c r="A531" s="9">
        <v>530</v>
      </c>
      <c r="B531" s="9" t="s">
        <v>9</v>
      </c>
      <c r="C531" s="9">
        <v>1925</v>
      </c>
      <c r="D531" s="10">
        <v>45715</v>
      </c>
      <c r="E531" s="11" t="str">
        <f>+HYPERLINK("http://trademark.i-assist.jp/data/china/image_1925th/81977351.pdf","81977351")</f>
        <v>81977351</v>
      </c>
      <c r="F531" s="9" t="s">
        <v>1449</v>
      </c>
      <c r="G531" s="9" t="s">
        <v>241</v>
      </c>
      <c r="H531" s="9" t="s">
        <v>1450</v>
      </c>
      <c r="I531" s="10">
        <v>45610</v>
      </c>
    </row>
    <row r="532" spans="1:9" x14ac:dyDescent="0.15">
      <c r="A532" s="9">
        <v>531</v>
      </c>
      <c r="B532" s="9" t="s">
        <v>9</v>
      </c>
      <c r="C532" s="9">
        <v>1925</v>
      </c>
      <c r="D532" s="10">
        <v>45715</v>
      </c>
      <c r="E532" s="11" t="str">
        <f>+HYPERLINK("http://trademark.i-assist.jp/data/china/image_1925th/81979270.pdf","81979270")</f>
        <v>81979270</v>
      </c>
      <c r="F532" s="9" t="s">
        <v>1451</v>
      </c>
      <c r="G532" s="9" t="s">
        <v>1452</v>
      </c>
      <c r="H532" s="9" t="s">
        <v>1453</v>
      </c>
      <c r="I532" s="10">
        <v>45610</v>
      </c>
    </row>
    <row r="533" spans="1:9" x14ac:dyDescent="0.15">
      <c r="A533" s="9">
        <v>532</v>
      </c>
      <c r="B533" s="9" t="s">
        <v>9</v>
      </c>
      <c r="C533" s="9">
        <v>1925</v>
      </c>
      <c r="D533" s="10">
        <v>45715</v>
      </c>
      <c r="E533" s="11" t="str">
        <f>+HYPERLINK("http://trademark.i-assist.jp/data/china/image_1925th/81980481.pdf","81980481")</f>
        <v>81980481</v>
      </c>
      <c r="F533" s="9" t="s">
        <v>1454</v>
      </c>
      <c r="G533" s="9" t="s">
        <v>958</v>
      </c>
      <c r="H533" s="9" t="s">
        <v>1455</v>
      </c>
      <c r="I533" s="10">
        <v>45611</v>
      </c>
    </row>
    <row r="534" spans="1:9" x14ac:dyDescent="0.15">
      <c r="A534" s="9">
        <v>533</v>
      </c>
      <c r="B534" s="9" t="s">
        <v>9</v>
      </c>
      <c r="C534" s="9">
        <v>1925</v>
      </c>
      <c r="D534" s="10">
        <v>45715</v>
      </c>
      <c r="E534" s="11" t="str">
        <f>+HYPERLINK("http://trademark.i-assist.jp/data/china/image_1925th/81981279.pdf","81981279")</f>
        <v>81981279</v>
      </c>
      <c r="F534" s="9" t="s">
        <v>1456</v>
      </c>
      <c r="G534" s="9" t="s">
        <v>1457</v>
      </c>
      <c r="H534" s="9" t="s">
        <v>1458</v>
      </c>
      <c r="I534" s="10">
        <v>45611</v>
      </c>
    </row>
    <row r="535" spans="1:9" x14ac:dyDescent="0.15">
      <c r="A535" s="9">
        <v>534</v>
      </c>
      <c r="B535" s="9" t="s">
        <v>9</v>
      </c>
      <c r="C535" s="9">
        <v>1925</v>
      </c>
      <c r="D535" s="10">
        <v>45715</v>
      </c>
      <c r="E535" s="11" t="str">
        <f>+HYPERLINK("http://trademark.i-assist.jp/data/china/image_1925th/81981551.pdf","81981551")</f>
        <v>81981551</v>
      </c>
      <c r="F535" s="9" t="s">
        <v>1459</v>
      </c>
      <c r="G535" s="9" t="s">
        <v>1460</v>
      </c>
      <c r="H535" s="9" t="s">
        <v>1461</v>
      </c>
      <c r="I535" s="10">
        <v>45611</v>
      </c>
    </row>
    <row r="536" spans="1:9" x14ac:dyDescent="0.15">
      <c r="A536" s="9">
        <v>535</v>
      </c>
      <c r="B536" s="9" t="s">
        <v>9</v>
      </c>
      <c r="C536" s="9">
        <v>1925</v>
      </c>
      <c r="D536" s="10">
        <v>45715</v>
      </c>
      <c r="E536" s="11" t="str">
        <f>+HYPERLINK("http://trademark.i-assist.jp/data/china/image_1925th/81981957.pdf","81981957")</f>
        <v>81981957</v>
      </c>
      <c r="F536" s="9" t="s">
        <v>1462</v>
      </c>
      <c r="G536" s="9" t="s">
        <v>1463</v>
      </c>
      <c r="H536" s="9" t="s">
        <v>1464</v>
      </c>
      <c r="I536" s="10">
        <v>45611</v>
      </c>
    </row>
    <row r="537" spans="1:9" x14ac:dyDescent="0.15">
      <c r="A537" s="9">
        <v>536</v>
      </c>
      <c r="B537" s="9" t="s">
        <v>9</v>
      </c>
      <c r="C537" s="9">
        <v>1925</v>
      </c>
      <c r="D537" s="10">
        <v>45715</v>
      </c>
      <c r="E537" s="11" t="str">
        <f>+HYPERLINK("http://trademark.i-assist.jp/data/china/image_1925th/81982892.pdf","81982892")</f>
        <v>81982892</v>
      </c>
      <c r="F537" s="9" t="s">
        <v>1465</v>
      </c>
      <c r="G537" s="9" t="s">
        <v>1054</v>
      </c>
      <c r="H537" s="9" t="s">
        <v>1466</v>
      </c>
      <c r="I537" s="10">
        <v>45611</v>
      </c>
    </row>
    <row r="538" spans="1:9" x14ac:dyDescent="0.15">
      <c r="A538" s="9">
        <v>537</v>
      </c>
      <c r="B538" s="9" t="s">
        <v>9</v>
      </c>
      <c r="C538" s="9">
        <v>1925</v>
      </c>
      <c r="D538" s="10">
        <v>45715</v>
      </c>
      <c r="E538" s="11" t="str">
        <f>+HYPERLINK("http://trademark.i-assist.jp/data/china/image_1925th/81983955.pdf","81983955")</f>
        <v>81983955</v>
      </c>
      <c r="F538" s="9" t="s">
        <v>1467</v>
      </c>
      <c r="G538" s="9" t="s">
        <v>1468</v>
      </c>
      <c r="H538" s="9" t="s">
        <v>1469</v>
      </c>
      <c r="I538" s="10">
        <v>45611</v>
      </c>
    </row>
    <row r="539" spans="1:9" x14ac:dyDescent="0.15">
      <c r="A539" s="9">
        <v>538</v>
      </c>
      <c r="B539" s="9" t="s">
        <v>9</v>
      </c>
      <c r="C539" s="9">
        <v>1925</v>
      </c>
      <c r="D539" s="10">
        <v>45715</v>
      </c>
      <c r="E539" s="11" t="str">
        <f>+HYPERLINK("http://trademark.i-assist.jp/data/china/image_1925th/81984066.pdf","81984066")</f>
        <v>81984066</v>
      </c>
      <c r="F539" s="9" t="s">
        <v>1470</v>
      </c>
      <c r="G539" s="9" t="s">
        <v>1460</v>
      </c>
      <c r="H539" s="12" t="s">
        <v>1471</v>
      </c>
      <c r="I539" s="10">
        <v>45611</v>
      </c>
    </row>
    <row r="540" spans="1:9" x14ac:dyDescent="0.15">
      <c r="A540" s="9">
        <v>539</v>
      </c>
      <c r="B540" s="9" t="s">
        <v>9</v>
      </c>
      <c r="C540" s="9">
        <v>1925</v>
      </c>
      <c r="D540" s="10">
        <v>45715</v>
      </c>
      <c r="E540" s="11" t="str">
        <f>+HYPERLINK("http://trademark.i-assist.jp/data/china/image_1925th/81984251.pdf","81984251")</f>
        <v>81984251</v>
      </c>
      <c r="F540" s="9" t="s">
        <v>1472</v>
      </c>
      <c r="G540" s="9" t="s">
        <v>1473</v>
      </c>
      <c r="H540" s="9" t="s">
        <v>1474</v>
      </c>
      <c r="I540" s="10">
        <v>45611</v>
      </c>
    </row>
    <row r="541" spans="1:9" x14ac:dyDescent="0.15">
      <c r="A541" s="9">
        <v>540</v>
      </c>
      <c r="B541" s="9" t="s">
        <v>9</v>
      </c>
      <c r="C541" s="9">
        <v>1925</v>
      </c>
      <c r="D541" s="10">
        <v>45715</v>
      </c>
      <c r="E541" s="11" t="str">
        <f>+HYPERLINK("http://trademark.i-assist.jp/data/china/image_1925th/81985485.pdf","81985485")</f>
        <v>81985485</v>
      </c>
      <c r="F541" s="9" t="s">
        <v>1475</v>
      </c>
      <c r="G541" s="12" t="s">
        <v>1476</v>
      </c>
      <c r="H541" s="9" t="s">
        <v>1477</v>
      </c>
      <c r="I541" s="10">
        <v>45611</v>
      </c>
    </row>
    <row r="542" spans="1:9" x14ac:dyDescent="0.15">
      <c r="A542" s="9">
        <v>541</v>
      </c>
      <c r="B542" s="9" t="s">
        <v>9</v>
      </c>
      <c r="C542" s="9">
        <v>1925</v>
      </c>
      <c r="D542" s="10">
        <v>45715</v>
      </c>
      <c r="E542" s="11" t="str">
        <f>+HYPERLINK("http://trademark.i-assist.jp/data/china/image_1925th/81986184.pdf","81986184")</f>
        <v>81986184</v>
      </c>
      <c r="F542" s="9" t="s">
        <v>1478</v>
      </c>
      <c r="G542" s="9" t="s">
        <v>1479</v>
      </c>
      <c r="H542" s="9" t="s">
        <v>1480</v>
      </c>
      <c r="I542" s="10">
        <v>45611</v>
      </c>
    </row>
    <row r="543" spans="1:9" x14ac:dyDescent="0.15">
      <c r="A543" s="9">
        <v>542</v>
      </c>
      <c r="B543" s="9" t="s">
        <v>9</v>
      </c>
      <c r="C543" s="9">
        <v>1925</v>
      </c>
      <c r="D543" s="10">
        <v>45715</v>
      </c>
      <c r="E543" s="11" t="str">
        <f>+HYPERLINK("http://trademark.i-assist.jp/data/china/image_1925th/81986753.pdf","81986753")</f>
        <v>81986753</v>
      </c>
      <c r="F543" s="9" t="s">
        <v>1481</v>
      </c>
      <c r="G543" s="9" t="s">
        <v>958</v>
      </c>
      <c r="H543" s="9" t="s">
        <v>1482</v>
      </c>
      <c r="I543" s="10">
        <v>45611</v>
      </c>
    </row>
    <row r="544" spans="1:9" x14ac:dyDescent="0.15">
      <c r="A544" s="9">
        <v>543</v>
      </c>
      <c r="B544" s="9" t="s">
        <v>9</v>
      </c>
      <c r="C544" s="9">
        <v>1925</v>
      </c>
      <c r="D544" s="10">
        <v>45715</v>
      </c>
      <c r="E544" s="11" t="str">
        <f>+HYPERLINK("http://trademark.i-assist.jp/data/china/image_1925th/81987434.pdf","81987434")</f>
        <v>81987434</v>
      </c>
      <c r="F544" s="9" t="s">
        <v>1483</v>
      </c>
      <c r="G544" s="9" t="s">
        <v>1457</v>
      </c>
      <c r="H544" s="9" t="s">
        <v>1484</v>
      </c>
      <c r="I544" s="10">
        <v>45611</v>
      </c>
    </row>
    <row r="545" spans="1:9" x14ac:dyDescent="0.15">
      <c r="A545" s="9">
        <v>544</v>
      </c>
      <c r="B545" s="9" t="s">
        <v>9</v>
      </c>
      <c r="C545" s="9">
        <v>1925</v>
      </c>
      <c r="D545" s="10">
        <v>45715</v>
      </c>
      <c r="E545" s="11" t="str">
        <f>+HYPERLINK("http://trademark.i-assist.jp/data/china/image_1925th/81987644.pdf","81987644")</f>
        <v>81987644</v>
      </c>
      <c r="F545" s="12" t="s">
        <v>57</v>
      </c>
      <c r="G545" s="12" t="s">
        <v>1485</v>
      </c>
      <c r="H545" s="9" t="s">
        <v>1486</v>
      </c>
      <c r="I545" s="10">
        <v>45611</v>
      </c>
    </row>
    <row r="546" spans="1:9" x14ac:dyDescent="0.15">
      <c r="A546" s="9">
        <v>545</v>
      </c>
      <c r="B546" s="9" t="s">
        <v>9</v>
      </c>
      <c r="C546" s="9">
        <v>1925</v>
      </c>
      <c r="D546" s="10">
        <v>45715</v>
      </c>
      <c r="E546" s="11" t="str">
        <f>+HYPERLINK("http://trademark.i-assist.jp/data/china/image_1925th/81988645.pdf","81988645")</f>
        <v>81988645</v>
      </c>
      <c r="F546" s="9" t="s">
        <v>1487</v>
      </c>
      <c r="G546" s="9" t="s">
        <v>1488</v>
      </c>
      <c r="H546" s="9" t="s">
        <v>1489</v>
      </c>
      <c r="I546" s="10">
        <v>45611</v>
      </c>
    </row>
    <row r="547" spans="1:9" x14ac:dyDescent="0.15">
      <c r="A547" s="9">
        <v>546</v>
      </c>
      <c r="B547" s="9" t="s">
        <v>9</v>
      </c>
      <c r="C547" s="9">
        <v>1925</v>
      </c>
      <c r="D547" s="10">
        <v>45715</v>
      </c>
      <c r="E547" s="11" t="str">
        <f>+HYPERLINK("http://trademark.i-assist.jp/data/china/image_1925th/81989213.pdf","81989213")</f>
        <v>81989213</v>
      </c>
      <c r="F547" s="9" t="s">
        <v>1490</v>
      </c>
      <c r="G547" s="9" t="s">
        <v>1491</v>
      </c>
      <c r="H547" s="9" t="s">
        <v>1492</v>
      </c>
      <c r="I547" s="10">
        <v>45611</v>
      </c>
    </row>
    <row r="548" spans="1:9" x14ac:dyDescent="0.15">
      <c r="A548" s="9">
        <v>547</v>
      </c>
      <c r="B548" s="9" t="s">
        <v>9</v>
      </c>
      <c r="C548" s="9">
        <v>1925</v>
      </c>
      <c r="D548" s="10">
        <v>45715</v>
      </c>
      <c r="E548" s="11" t="str">
        <f>+HYPERLINK("http://trademark.i-assist.jp/data/china/image_1925th/81989272.pdf","81989272")</f>
        <v>81989272</v>
      </c>
      <c r="F548" s="9" t="s">
        <v>1493</v>
      </c>
      <c r="G548" s="9" t="s">
        <v>958</v>
      </c>
      <c r="H548" s="9" t="s">
        <v>1494</v>
      </c>
      <c r="I548" s="10">
        <v>45611</v>
      </c>
    </row>
    <row r="549" spans="1:9" x14ac:dyDescent="0.15">
      <c r="A549" s="9">
        <v>548</v>
      </c>
      <c r="B549" s="9" t="s">
        <v>9</v>
      </c>
      <c r="C549" s="9">
        <v>1925</v>
      </c>
      <c r="D549" s="10">
        <v>45715</v>
      </c>
      <c r="E549" s="11" t="str">
        <f>+HYPERLINK("http://trademark.i-assist.jp/data/china/image_1925th/81989668.pdf","81989668")</f>
        <v>81989668</v>
      </c>
      <c r="F549" s="9" t="s">
        <v>1495</v>
      </c>
      <c r="G549" s="9" t="s">
        <v>1496</v>
      </c>
      <c r="H549" s="9" t="s">
        <v>1497</v>
      </c>
      <c r="I549" s="10">
        <v>45611</v>
      </c>
    </row>
    <row r="550" spans="1:9" x14ac:dyDescent="0.15">
      <c r="A550" s="9">
        <v>549</v>
      </c>
      <c r="B550" s="9" t="s">
        <v>9</v>
      </c>
      <c r="C550" s="9">
        <v>1925</v>
      </c>
      <c r="D550" s="10">
        <v>45715</v>
      </c>
      <c r="E550" s="11" t="str">
        <f>+HYPERLINK("http://trademark.i-assist.jp/data/china/image_1925th/81990817.pdf","81990817")</f>
        <v>81990817</v>
      </c>
      <c r="F550" s="12" t="s">
        <v>1498</v>
      </c>
      <c r="G550" s="9" t="s">
        <v>1499</v>
      </c>
      <c r="H550" s="9" t="s">
        <v>1500</v>
      </c>
      <c r="I550" s="10">
        <v>45611</v>
      </c>
    </row>
    <row r="551" spans="1:9" x14ac:dyDescent="0.15">
      <c r="A551" s="9">
        <v>550</v>
      </c>
      <c r="B551" s="9" t="s">
        <v>9</v>
      </c>
      <c r="C551" s="9">
        <v>1925</v>
      </c>
      <c r="D551" s="10">
        <v>45715</v>
      </c>
      <c r="E551" s="11" t="str">
        <f>+HYPERLINK("http://trademark.i-assist.jp/data/china/image_1925th/81990993.pdf","81990993")</f>
        <v>81990993</v>
      </c>
      <c r="F551" s="12" t="s">
        <v>1501</v>
      </c>
      <c r="G551" s="9" t="s">
        <v>1502</v>
      </c>
      <c r="H551" s="9" t="s">
        <v>1503</v>
      </c>
      <c r="I551" s="10">
        <v>45611</v>
      </c>
    </row>
    <row r="552" spans="1:9" x14ac:dyDescent="0.15">
      <c r="A552" s="9">
        <v>551</v>
      </c>
      <c r="B552" s="9" t="s">
        <v>9</v>
      </c>
      <c r="C552" s="9">
        <v>1925</v>
      </c>
      <c r="D552" s="10">
        <v>45715</v>
      </c>
      <c r="E552" s="11" t="str">
        <f>+HYPERLINK("http://trademark.i-assist.jp/data/china/image_1925th/81993226.pdf","81993226")</f>
        <v>81993226</v>
      </c>
      <c r="F552" s="12" t="s">
        <v>57</v>
      </c>
      <c r="G552" s="9" t="s">
        <v>1504</v>
      </c>
      <c r="H552" s="9" t="s">
        <v>1505</v>
      </c>
      <c r="I552" s="10">
        <v>45611</v>
      </c>
    </row>
    <row r="553" spans="1:9" x14ac:dyDescent="0.15">
      <c r="A553" s="9">
        <v>552</v>
      </c>
      <c r="B553" s="9" t="s">
        <v>9</v>
      </c>
      <c r="C553" s="9">
        <v>1925</v>
      </c>
      <c r="D553" s="10">
        <v>45715</v>
      </c>
      <c r="E553" s="11" t="str">
        <f>+HYPERLINK("http://trademark.i-assist.jp/data/china/image_1925th/81994375.pdf","81994375")</f>
        <v>81994375</v>
      </c>
      <c r="F553" s="9" t="s">
        <v>1506</v>
      </c>
      <c r="G553" s="9" t="s">
        <v>1507</v>
      </c>
      <c r="H553" s="9" t="s">
        <v>1508</v>
      </c>
      <c r="I553" s="10">
        <v>45611</v>
      </c>
    </row>
    <row r="554" spans="1:9" x14ac:dyDescent="0.15">
      <c r="A554" s="9">
        <v>553</v>
      </c>
      <c r="B554" s="9" t="s">
        <v>9</v>
      </c>
      <c r="C554" s="9">
        <v>1925</v>
      </c>
      <c r="D554" s="10">
        <v>45715</v>
      </c>
      <c r="E554" s="11" t="str">
        <f>+HYPERLINK("http://trademark.i-assist.jp/data/china/image_1925th/81994558.pdf","81994558")</f>
        <v>81994558</v>
      </c>
      <c r="F554" s="12" t="s">
        <v>1509</v>
      </c>
      <c r="G554" s="9" t="s">
        <v>1510</v>
      </c>
      <c r="H554" s="9" t="s">
        <v>1511</v>
      </c>
      <c r="I554" s="10">
        <v>45611</v>
      </c>
    </row>
    <row r="555" spans="1:9" x14ac:dyDescent="0.15">
      <c r="A555" s="9">
        <v>554</v>
      </c>
      <c r="B555" s="9" t="s">
        <v>9</v>
      </c>
      <c r="C555" s="9">
        <v>1925</v>
      </c>
      <c r="D555" s="10">
        <v>45715</v>
      </c>
      <c r="E555" s="11" t="str">
        <f>+HYPERLINK("http://trademark.i-assist.jp/data/china/image_1925th/81996527.pdf","81996527")</f>
        <v>81996527</v>
      </c>
      <c r="F555" s="9" t="s">
        <v>1512</v>
      </c>
      <c r="G555" s="12" t="s">
        <v>1513</v>
      </c>
      <c r="H555" s="9" t="s">
        <v>1514</v>
      </c>
      <c r="I555" s="10">
        <v>45611</v>
      </c>
    </row>
    <row r="556" spans="1:9" x14ac:dyDescent="0.15">
      <c r="A556" s="9">
        <v>555</v>
      </c>
      <c r="B556" s="9" t="s">
        <v>9</v>
      </c>
      <c r="C556" s="9">
        <v>1925</v>
      </c>
      <c r="D556" s="10">
        <v>45715</v>
      </c>
      <c r="E556" s="11" t="str">
        <f>+HYPERLINK("http://trademark.i-assist.jp/data/china/image_1925th/81996531.pdf","81996531")</f>
        <v>81996531</v>
      </c>
      <c r="F556" s="12" t="s">
        <v>1515</v>
      </c>
      <c r="G556" s="9" t="s">
        <v>547</v>
      </c>
      <c r="H556" s="9" t="s">
        <v>1516</v>
      </c>
      <c r="I556" s="10">
        <v>45611</v>
      </c>
    </row>
    <row r="557" spans="1:9" x14ac:dyDescent="0.15">
      <c r="A557" s="9">
        <v>556</v>
      </c>
      <c r="B557" s="9" t="s">
        <v>9</v>
      </c>
      <c r="C557" s="9">
        <v>1925</v>
      </c>
      <c r="D557" s="10">
        <v>45715</v>
      </c>
      <c r="E557" s="11" t="str">
        <f>+HYPERLINK("http://trademark.i-assist.jp/data/china/image_1925th/81997512.pdf","81997512")</f>
        <v>81997512</v>
      </c>
      <c r="F557" s="12" t="s">
        <v>1517</v>
      </c>
      <c r="G557" s="9" t="s">
        <v>1518</v>
      </c>
      <c r="H557" s="9" t="s">
        <v>10</v>
      </c>
      <c r="I557" s="10">
        <v>45611</v>
      </c>
    </row>
    <row r="558" spans="1:9" x14ac:dyDescent="0.15">
      <c r="A558" s="9">
        <v>557</v>
      </c>
      <c r="B558" s="9" t="s">
        <v>9</v>
      </c>
      <c r="C558" s="9">
        <v>1925</v>
      </c>
      <c r="D558" s="10">
        <v>45715</v>
      </c>
      <c r="E558" s="11" t="str">
        <f>+HYPERLINK("http://trademark.i-assist.jp/data/china/image_1925th/81999495.pdf","81999495")</f>
        <v>81999495</v>
      </c>
      <c r="F558" s="9" t="s">
        <v>1519</v>
      </c>
      <c r="G558" s="12" t="s">
        <v>1520</v>
      </c>
      <c r="H558" s="9" t="s">
        <v>1521</v>
      </c>
      <c r="I558" s="10">
        <v>45611</v>
      </c>
    </row>
    <row r="559" spans="1:9" x14ac:dyDescent="0.15">
      <c r="A559" s="9">
        <v>558</v>
      </c>
      <c r="B559" s="9" t="s">
        <v>9</v>
      </c>
      <c r="C559" s="9">
        <v>1925</v>
      </c>
      <c r="D559" s="10">
        <v>45715</v>
      </c>
      <c r="E559" s="11" t="str">
        <f>+HYPERLINK("http://trademark.i-assist.jp/data/china/image_1925th/81999978.pdf","81999978")</f>
        <v>81999978</v>
      </c>
      <c r="F559" s="12" t="s">
        <v>1522</v>
      </c>
      <c r="G559" s="9" t="s">
        <v>1523</v>
      </c>
      <c r="H559" s="9" t="s">
        <v>1524</v>
      </c>
      <c r="I559" s="10">
        <v>45611</v>
      </c>
    </row>
    <row r="560" spans="1:9" x14ac:dyDescent="0.15">
      <c r="A560" s="9">
        <v>559</v>
      </c>
      <c r="B560" s="9" t="s">
        <v>9</v>
      </c>
      <c r="C560" s="9">
        <v>1925</v>
      </c>
      <c r="D560" s="10">
        <v>45715</v>
      </c>
      <c r="E560" s="11" t="str">
        <f>+HYPERLINK("http://trademark.i-assist.jp/data/china/image_1925th/82000162.pdf","82000162")</f>
        <v>82000162</v>
      </c>
      <c r="F560" s="12" t="s">
        <v>1517</v>
      </c>
      <c r="G560" s="9" t="s">
        <v>1518</v>
      </c>
      <c r="H560" s="9" t="s">
        <v>10</v>
      </c>
      <c r="I560" s="10">
        <v>45611</v>
      </c>
    </row>
    <row r="561" spans="1:9" x14ac:dyDescent="0.15">
      <c r="A561" s="9">
        <v>560</v>
      </c>
      <c r="B561" s="9" t="s">
        <v>9</v>
      </c>
      <c r="C561" s="9">
        <v>1925</v>
      </c>
      <c r="D561" s="10">
        <v>45715</v>
      </c>
      <c r="E561" s="11" t="str">
        <f>+HYPERLINK("http://trademark.i-assist.jp/data/china/image_1925th/82000819.pdf","82000819")</f>
        <v>82000819</v>
      </c>
      <c r="F561" s="9" t="s">
        <v>1525</v>
      </c>
      <c r="G561" s="12" t="s">
        <v>1526</v>
      </c>
      <c r="H561" s="9" t="s">
        <v>1527</v>
      </c>
      <c r="I561" s="10">
        <v>45611</v>
      </c>
    </row>
    <row r="562" spans="1:9" x14ac:dyDescent="0.15">
      <c r="A562" s="9">
        <v>561</v>
      </c>
      <c r="B562" s="9" t="s">
        <v>9</v>
      </c>
      <c r="C562" s="9">
        <v>1925</v>
      </c>
      <c r="D562" s="10">
        <v>45715</v>
      </c>
      <c r="E562" s="11" t="str">
        <f>+HYPERLINK("http://trademark.i-assist.jp/data/china/image_1925th/82001465.pdf","82001465")</f>
        <v>82001465</v>
      </c>
      <c r="F562" s="9" t="s">
        <v>1528</v>
      </c>
      <c r="G562" s="9" t="s">
        <v>1529</v>
      </c>
      <c r="H562" s="9" t="s">
        <v>1530</v>
      </c>
      <c r="I562" s="10">
        <v>45611</v>
      </c>
    </row>
    <row r="563" spans="1:9" x14ac:dyDescent="0.15">
      <c r="A563" s="9">
        <v>562</v>
      </c>
      <c r="B563" s="9" t="s">
        <v>9</v>
      </c>
      <c r="C563" s="9">
        <v>1925</v>
      </c>
      <c r="D563" s="10">
        <v>45715</v>
      </c>
      <c r="E563" s="11" t="str">
        <f>+HYPERLINK("http://trademark.i-assist.jp/data/china/image_1925th/82003404.pdf","82003404")</f>
        <v>82003404</v>
      </c>
      <c r="F563" s="9" t="s">
        <v>1531</v>
      </c>
      <c r="G563" s="9" t="s">
        <v>1532</v>
      </c>
      <c r="H563" s="9" t="s">
        <v>1533</v>
      </c>
      <c r="I563" s="10">
        <v>45611</v>
      </c>
    </row>
    <row r="564" spans="1:9" x14ac:dyDescent="0.15">
      <c r="A564" s="9">
        <v>563</v>
      </c>
      <c r="B564" s="9" t="s">
        <v>9</v>
      </c>
      <c r="C564" s="9">
        <v>1925</v>
      </c>
      <c r="D564" s="10">
        <v>45715</v>
      </c>
      <c r="E564" s="11" t="str">
        <f>+HYPERLINK("http://trademark.i-assist.jp/data/china/image_1925th/82004385.pdf","82004385")</f>
        <v>82004385</v>
      </c>
      <c r="F564" s="9" t="s">
        <v>1534</v>
      </c>
      <c r="G564" s="9" t="s">
        <v>1535</v>
      </c>
      <c r="H564" s="9" t="s">
        <v>1536</v>
      </c>
      <c r="I564" s="10">
        <v>45611</v>
      </c>
    </row>
    <row r="565" spans="1:9" x14ac:dyDescent="0.15">
      <c r="A565" s="9">
        <v>564</v>
      </c>
      <c r="B565" s="9" t="s">
        <v>9</v>
      </c>
      <c r="C565" s="9">
        <v>1925</v>
      </c>
      <c r="D565" s="10">
        <v>45715</v>
      </c>
      <c r="E565" s="11" t="str">
        <f>+HYPERLINK("http://trademark.i-assist.jp/data/china/image_1925th/82005526.pdf","82005526")</f>
        <v>82005526</v>
      </c>
      <c r="F565" s="12" t="s">
        <v>1537</v>
      </c>
      <c r="G565" s="9" t="s">
        <v>1538</v>
      </c>
      <c r="H565" s="9" t="s">
        <v>1539</v>
      </c>
      <c r="I565" s="10">
        <v>45611</v>
      </c>
    </row>
    <row r="566" spans="1:9" x14ac:dyDescent="0.15">
      <c r="A566" s="9">
        <v>565</v>
      </c>
      <c r="B566" s="9" t="s">
        <v>9</v>
      </c>
      <c r="C566" s="9">
        <v>1925</v>
      </c>
      <c r="D566" s="10">
        <v>45715</v>
      </c>
      <c r="E566" s="11" t="str">
        <f>+HYPERLINK("http://trademark.i-assist.jp/data/china/image_1925th/82007013.pdf","82007013")</f>
        <v>82007013</v>
      </c>
      <c r="F566" s="9" t="s">
        <v>1540</v>
      </c>
      <c r="G566" s="9" t="s">
        <v>1541</v>
      </c>
      <c r="H566" s="9" t="s">
        <v>1542</v>
      </c>
      <c r="I566" s="10">
        <v>45612</v>
      </c>
    </row>
    <row r="567" spans="1:9" x14ac:dyDescent="0.15">
      <c r="A567" s="9">
        <v>566</v>
      </c>
      <c r="B567" s="9" t="s">
        <v>9</v>
      </c>
      <c r="C567" s="9">
        <v>1925</v>
      </c>
      <c r="D567" s="10">
        <v>45715</v>
      </c>
      <c r="E567" s="11" t="str">
        <f>+HYPERLINK("http://trademark.i-assist.jp/data/china/image_1925th/82007415.pdf","82007415")</f>
        <v>82007415</v>
      </c>
      <c r="F567" s="12" t="s">
        <v>1543</v>
      </c>
      <c r="G567" s="12" t="s">
        <v>1544</v>
      </c>
      <c r="H567" s="9" t="s">
        <v>1545</v>
      </c>
      <c r="I567" s="10">
        <v>45612</v>
      </c>
    </row>
    <row r="568" spans="1:9" x14ac:dyDescent="0.15">
      <c r="A568" s="9">
        <v>567</v>
      </c>
      <c r="B568" s="9" t="s">
        <v>9</v>
      </c>
      <c r="C568" s="9">
        <v>1925</v>
      </c>
      <c r="D568" s="10">
        <v>45715</v>
      </c>
      <c r="E568" s="11" t="str">
        <f>+HYPERLINK("http://trademark.i-assist.jp/data/china/image_1925th/82007423.pdf","82007423")</f>
        <v>82007423</v>
      </c>
      <c r="F568" s="12" t="s">
        <v>1546</v>
      </c>
      <c r="G568" s="12" t="s">
        <v>1544</v>
      </c>
      <c r="H568" s="9" t="s">
        <v>1547</v>
      </c>
      <c r="I568" s="10">
        <v>45612</v>
      </c>
    </row>
    <row r="569" spans="1:9" x14ac:dyDescent="0.15">
      <c r="A569" s="9">
        <v>568</v>
      </c>
      <c r="B569" s="9" t="s">
        <v>9</v>
      </c>
      <c r="C569" s="9">
        <v>1925</v>
      </c>
      <c r="D569" s="10">
        <v>45715</v>
      </c>
      <c r="E569" s="11" t="str">
        <f>+HYPERLINK("http://trademark.i-assist.jp/data/china/image_1925th/82007607.pdf","82007607")</f>
        <v>82007607</v>
      </c>
      <c r="F569" s="9" t="s">
        <v>1548</v>
      </c>
      <c r="G569" s="9" t="s">
        <v>1549</v>
      </c>
      <c r="H569" s="9" t="s">
        <v>1550</v>
      </c>
      <c r="I569" s="10">
        <v>45612</v>
      </c>
    </row>
    <row r="570" spans="1:9" x14ac:dyDescent="0.15">
      <c r="A570" s="9">
        <v>569</v>
      </c>
      <c r="B570" s="9" t="s">
        <v>9</v>
      </c>
      <c r="C570" s="9">
        <v>1925</v>
      </c>
      <c r="D570" s="10">
        <v>45715</v>
      </c>
      <c r="E570" s="11" t="str">
        <f>+HYPERLINK("http://trademark.i-assist.jp/data/china/image_1925th/82007976.pdf","82007976")</f>
        <v>82007976</v>
      </c>
      <c r="F570" s="9" t="s">
        <v>1551</v>
      </c>
      <c r="G570" s="9" t="s">
        <v>1552</v>
      </c>
      <c r="H570" s="9" t="s">
        <v>1553</v>
      </c>
      <c r="I570" s="10">
        <v>45612</v>
      </c>
    </row>
    <row r="571" spans="1:9" x14ac:dyDescent="0.15">
      <c r="A571" s="9">
        <v>570</v>
      </c>
      <c r="B571" s="9" t="s">
        <v>9</v>
      </c>
      <c r="C571" s="9">
        <v>1925</v>
      </c>
      <c r="D571" s="10">
        <v>45715</v>
      </c>
      <c r="E571" s="11" t="str">
        <f>+HYPERLINK("http://trademark.i-assist.jp/data/china/image_1925th/82008092.pdf","82008092")</f>
        <v>82008092</v>
      </c>
      <c r="F571" s="9" t="s">
        <v>1554</v>
      </c>
      <c r="G571" s="9" t="s">
        <v>1555</v>
      </c>
      <c r="H571" s="9" t="s">
        <v>1556</v>
      </c>
      <c r="I571" s="10">
        <v>45612</v>
      </c>
    </row>
    <row r="572" spans="1:9" x14ac:dyDescent="0.15">
      <c r="A572" s="9">
        <v>571</v>
      </c>
      <c r="B572" s="9" t="s">
        <v>9</v>
      </c>
      <c r="C572" s="9">
        <v>1925</v>
      </c>
      <c r="D572" s="10">
        <v>45715</v>
      </c>
      <c r="E572" s="11" t="str">
        <f>+HYPERLINK("http://trademark.i-assist.jp/data/china/image_1925th/82008465.pdf","82008465")</f>
        <v>82008465</v>
      </c>
      <c r="F572" s="12" t="s">
        <v>1557</v>
      </c>
      <c r="G572" s="12" t="s">
        <v>1544</v>
      </c>
      <c r="H572" s="9" t="s">
        <v>1558</v>
      </c>
      <c r="I572" s="10">
        <v>45612</v>
      </c>
    </row>
    <row r="573" spans="1:9" x14ac:dyDescent="0.15">
      <c r="A573" s="9">
        <v>572</v>
      </c>
      <c r="B573" s="9" t="s">
        <v>9</v>
      </c>
      <c r="C573" s="9">
        <v>1925</v>
      </c>
      <c r="D573" s="10">
        <v>45715</v>
      </c>
      <c r="E573" s="11" t="str">
        <f>+HYPERLINK("http://trademark.i-assist.jp/data/china/image_1925th/82009659.pdf","82009659")</f>
        <v>82009659</v>
      </c>
      <c r="F573" s="12" t="s">
        <v>1559</v>
      </c>
      <c r="G573" s="9" t="s">
        <v>1560</v>
      </c>
      <c r="H573" s="9" t="s">
        <v>1561</v>
      </c>
      <c r="I573" s="10">
        <v>45612</v>
      </c>
    </row>
    <row r="574" spans="1:9" x14ac:dyDescent="0.15">
      <c r="A574" s="9">
        <v>573</v>
      </c>
      <c r="B574" s="9" t="s">
        <v>9</v>
      </c>
      <c r="C574" s="9">
        <v>1925</v>
      </c>
      <c r="D574" s="10">
        <v>45715</v>
      </c>
      <c r="E574" s="11" t="str">
        <f>+HYPERLINK("http://trademark.i-assist.jp/data/china/image_1925th/82010956.pdf","82010956")</f>
        <v>82010956</v>
      </c>
      <c r="F574" s="12" t="s">
        <v>1562</v>
      </c>
      <c r="G574" s="12" t="s">
        <v>1544</v>
      </c>
      <c r="H574" s="9" t="s">
        <v>1563</v>
      </c>
      <c r="I574" s="10">
        <v>45612</v>
      </c>
    </row>
    <row r="575" spans="1:9" x14ac:dyDescent="0.15">
      <c r="A575" s="9">
        <v>574</v>
      </c>
      <c r="B575" s="9" t="s">
        <v>9</v>
      </c>
      <c r="C575" s="9">
        <v>1925</v>
      </c>
      <c r="D575" s="10">
        <v>45715</v>
      </c>
      <c r="E575" s="11" t="str">
        <f>+HYPERLINK("http://trademark.i-assist.jp/data/china/image_1925th/82011570.pdf","82011570")</f>
        <v>82011570</v>
      </c>
      <c r="F575" s="9" t="s">
        <v>1564</v>
      </c>
      <c r="G575" s="9" t="s">
        <v>1565</v>
      </c>
      <c r="H575" s="12" t="s">
        <v>1566</v>
      </c>
      <c r="I575" s="10">
        <v>45613</v>
      </c>
    </row>
    <row r="576" spans="1:9" x14ac:dyDescent="0.15">
      <c r="A576" s="9">
        <v>575</v>
      </c>
      <c r="B576" s="9" t="s">
        <v>9</v>
      </c>
      <c r="C576" s="9">
        <v>1925</v>
      </c>
      <c r="D576" s="10">
        <v>45715</v>
      </c>
      <c r="E576" s="11" t="str">
        <f>+HYPERLINK("http://trademark.i-assist.jp/data/china/image_1925th/82012231.pdf","82012231")</f>
        <v>82012231</v>
      </c>
      <c r="F576" s="9" t="s">
        <v>1567</v>
      </c>
      <c r="G576" s="12" t="s">
        <v>1568</v>
      </c>
      <c r="H576" s="9" t="s">
        <v>1569</v>
      </c>
      <c r="I576" s="10">
        <v>45613</v>
      </c>
    </row>
    <row r="577" spans="1:9" x14ac:dyDescent="0.15">
      <c r="A577" s="9">
        <v>576</v>
      </c>
      <c r="B577" s="9" t="s">
        <v>9</v>
      </c>
      <c r="C577" s="9">
        <v>1925</v>
      </c>
      <c r="D577" s="10">
        <v>45715</v>
      </c>
      <c r="E577" s="11" t="str">
        <f>+HYPERLINK("http://trademark.i-assist.jp/data/china/image_1925th/82012827.pdf","82012827")</f>
        <v>82012827</v>
      </c>
      <c r="F577" s="9" t="s">
        <v>1570</v>
      </c>
      <c r="G577" s="9" t="s">
        <v>1571</v>
      </c>
      <c r="H577" s="9" t="s">
        <v>1572</v>
      </c>
      <c r="I577" s="10">
        <v>45613</v>
      </c>
    </row>
    <row r="578" spans="1:9" x14ac:dyDescent="0.15">
      <c r="A578" s="9">
        <v>577</v>
      </c>
      <c r="B578" s="9" t="s">
        <v>9</v>
      </c>
      <c r="C578" s="9">
        <v>1925</v>
      </c>
      <c r="D578" s="10">
        <v>45715</v>
      </c>
      <c r="E578" s="11" t="str">
        <f>+HYPERLINK("http://trademark.i-assist.jp/data/china/image_1925th/82012843.pdf","82012843")</f>
        <v>82012843</v>
      </c>
      <c r="F578" s="9" t="s">
        <v>1573</v>
      </c>
      <c r="G578" s="9" t="s">
        <v>1574</v>
      </c>
      <c r="H578" s="9" t="s">
        <v>1575</v>
      </c>
      <c r="I578" s="10">
        <v>45613</v>
      </c>
    </row>
    <row r="579" spans="1:9" x14ac:dyDescent="0.15">
      <c r="A579" s="9">
        <v>578</v>
      </c>
      <c r="B579" s="9" t="s">
        <v>9</v>
      </c>
      <c r="C579" s="9">
        <v>1925</v>
      </c>
      <c r="D579" s="10">
        <v>45715</v>
      </c>
      <c r="E579" s="11" t="str">
        <f>+HYPERLINK("http://trademark.i-assist.jp/data/china/image_1925th/82012956.pdf","82012956")</f>
        <v>82012956</v>
      </c>
      <c r="F579" s="9" t="s">
        <v>1576</v>
      </c>
      <c r="G579" s="9" t="s">
        <v>1577</v>
      </c>
      <c r="H579" s="9" t="s">
        <v>1578</v>
      </c>
      <c r="I579" s="10">
        <v>45613</v>
      </c>
    </row>
    <row r="580" spans="1:9" x14ac:dyDescent="0.15">
      <c r="A580" s="9">
        <v>579</v>
      </c>
      <c r="B580" s="9" t="s">
        <v>9</v>
      </c>
      <c r="C580" s="9">
        <v>1925</v>
      </c>
      <c r="D580" s="10">
        <v>45715</v>
      </c>
      <c r="E580" s="11" t="str">
        <f>+HYPERLINK("http://trademark.i-assist.jp/data/china/image_1925th/82013297.pdf","82013297")</f>
        <v>82013297</v>
      </c>
      <c r="F580" s="9" t="s">
        <v>1579</v>
      </c>
      <c r="G580" s="9" t="s">
        <v>1577</v>
      </c>
      <c r="H580" s="9" t="s">
        <v>1580</v>
      </c>
      <c r="I580" s="10">
        <v>45613</v>
      </c>
    </row>
    <row r="581" spans="1:9" x14ac:dyDescent="0.15">
      <c r="A581" s="9">
        <v>580</v>
      </c>
      <c r="B581" s="9" t="s">
        <v>9</v>
      </c>
      <c r="C581" s="9">
        <v>1925</v>
      </c>
      <c r="D581" s="10">
        <v>45715</v>
      </c>
      <c r="E581" s="11" t="str">
        <f>+HYPERLINK("http://trademark.i-assist.jp/data/china/image_1925th/82013688.pdf","82013688")</f>
        <v>82013688</v>
      </c>
      <c r="F581" s="9" t="s">
        <v>1581</v>
      </c>
      <c r="G581" s="12" t="s">
        <v>1582</v>
      </c>
      <c r="H581" s="9" t="s">
        <v>1583</v>
      </c>
      <c r="I581" s="10">
        <v>45613</v>
      </c>
    </row>
    <row r="582" spans="1:9" x14ac:dyDescent="0.15">
      <c r="A582" s="9">
        <v>581</v>
      </c>
      <c r="B582" s="9" t="s">
        <v>9</v>
      </c>
      <c r="C582" s="9">
        <v>1925</v>
      </c>
      <c r="D582" s="10">
        <v>45715</v>
      </c>
      <c r="E582" s="11" t="str">
        <f>+HYPERLINK("http://trademark.i-assist.jp/data/china/image_1925th/82013765.pdf","82013765")</f>
        <v>82013765</v>
      </c>
      <c r="F582" s="9" t="s">
        <v>1584</v>
      </c>
      <c r="G582" s="9" t="s">
        <v>1585</v>
      </c>
      <c r="H582" s="9" t="s">
        <v>1586</v>
      </c>
      <c r="I582" s="10">
        <v>45613</v>
      </c>
    </row>
    <row r="583" spans="1:9" x14ac:dyDescent="0.15">
      <c r="A583" s="9">
        <v>582</v>
      </c>
      <c r="B583" s="9" t="s">
        <v>9</v>
      </c>
      <c r="C583" s="9">
        <v>1925</v>
      </c>
      <c r="D583" s="10">
        <v>45715</v>
      </c>
      <c r="E583" s="11" t="str">
        <f>+HYPERLINK("http://trademark.i-assist.jp/data/china/image_1925th/82014239.pdf","82014239")</f>
        <v>82014239</v>
      </c>
      <c r="F583" s="12" t="s">
        <v>57</v>
      </c>
      <c r="G583" s="9" t="s">
        <v>1565</v>
      </c>
      <c r="H583" s="9" t="s">
        <v>1587</v>
      </c>
      <c r="I583" s="10">
        <v>45613</v>
      </c>
    </row>
    <row r="584" spans="1:9" x14ac:dyDescent="0.15">
      <c r="A584" s="9">
        <v>583</v>
      </c>
      <c r="B584" s="9" t="s">
        <v>9</v>
      </c>
      <c r="C584" s="9">
        <v>1925</v>
      </c>
      <c r="D584" s="10">
        <v>45715</v>
      </c>
      <c r="E584" s="11" t="str">
        <f>+HYPERLINK("http://trademark.i-assist.jp/data/china/image_1925th/82014604.pdf","82014604")</f>
        <v>82014604</v>
      </c>
      <c r="F584" s="9" t="s">
        <v>1588</v>
      </c>
      <c r="G584" s="9" t="s">
        <v>1589</v>
      </c>
      <c r="H584" s="9" t="s">
        <v>1590</v>
      </c>
      <c r="I584" s="10">
        <v>45614</v>
      </c>
    </row>
    <row r="585" spans="1:9" x14ac:dyDescent="0.15">
      <c r="A585" s="9">
        <v>584</v>
      </c>
      <c r="B585" s="9" t="s">
        <v>9</v>
      </c>
      <c r="C585" s="9">
        <v>1925</v>
      </c>
      <c r="D585" s="10">
        <v>45715</v>
      </c>
      <c r="E585" s="11" t="str">
        <f>+HYPERLINK("http://trademark.i-assist.jp/data/china/image_1925th/82014718.pdf","82014718")</f>
        <v>82014718</v>
      </c>
      <c r="F585" s="9" t="s">
        <v>1591</v>
      </c>
      <c r="G585" s="9" t="s">
        <v>1592</v>
      </c>
      <c r="H585" s="9" t="s">
        <v>1593</v>
      </c>
      <c r="I585" s="10">
        <v>45614</v>
      </c>
    </row>
    <row r="586" spans="1:9" x14ac:dyDescent="0.15">
      <c r="A586" s="9">
        <v>585</v>
      </c>
      <c r="B586" s="9" t="s">
        <v>9</v>
      </c>
      <c r="C586" s="9">
        <v>1925</v>
      </c>
      <c r="D586" s="10">
        <v>45715</v>
      </c>
      <c r="E586" s="11" t="str">
        <f>+HYPERLINK("http://trademark.i-assist.jp/data/china/image_1925th/82016846.pdf","82016846")</f>
        <v>82016846</v>
      </c>
      <c r="F586" s="12" t="s">
        <v>1594</v>
      </c>
      <c r="G586" s="12" t="s">
        <v>1594</v>
      </c>
      <c r="H586" s="9" t="s">
        <v>1595</v>
      </c>
      <c r="I586" s="10">
        <v>45614</v>
      </c>
    </row>
    <row r="587" spans="1:9" x14ac:dyDescent="0.15">
      <c r="A587" s="9">
        <v>586</v>
      </c>
      <c r="B587" s="9" t="s">
        <v>9</v>
      </c>
      <c r="C587" s="9">
        <v>1925</v>
      </c>
      <c r="D587" s="10">
        <v>45715</v>
      </c>
      <c r="E587" s="11" t="str">
        <f>+HYPERLINK("http://trademark.i-assist.jp/data/china/image_1925th/82018944.pdf","82018944")</f>
        <v>82018944</v>
      </c>
      <c r="F587" s="9" t="s">
        <v>1596</v>
      </c>
      <c r="G587" s="9" t="s">
        <v>17</v>
      </c>
      <c r="H587" s="9" t="s">
        <v>1597</v>
      </c>
      <c r="I587" s="10">
        <v>45614</v>
      </c>
    </row>
    <row r="588" spans="1:9" x14ac:dyDescent="0.15">
      <c r="A588" s="9">
        <v>587</v>
      </c>
      <c r="B588" s="9" t="s">
        <v>9</v>
      </c>
      <c r="C588" s="9">
        <v>1925</v>
      </c>
      <c r="D588" s="10">
        <v>45715</v>
      </c>
      <c r="E588" s="11" t="str">
        <f>+HYPERLINK("http://trademark.i-assist.jp/data/china/image_1925th/82019148.pdf","82019148")</f>
        <v>82019148</v>
      </c>
      <c r="F588" s="9" t="s">
        <v>1598</v>
      </c>
      <c r="G588" s="9" t="s">
        <v>1599</v>
      </c>
      <c r="H588" s="9" t="s">
        <v>1600</v>
      </c>
      <c r="I588" s="10">
        <v>45614</v>
      </c>
    </row>
    <row r="589" spans="1:9" x14ac:dyDescent="0.15">
      <c r="A589" s="9">
        <v>588</v>
      </c>
      <c r="B589" s="9" t="s">
        <v>9</v>
      </c>
      <c r="C589" s="9">
        <v>1925</v>
      </c>
      <c r="D589" s="10">
        <v>45715</v>
      </c>
      <c r="E589" s="11" t="str">
        <f>+HYPERLINK("http://trademark.i-assist.jp/data/china/image_1925th/82020888.pdf","82020888")</f>
        <v>82020888</v>
      </c>
      <c r="F589" s="9" t="s">
        <v>1601</v>
      </c>
      <c r="G589" s="9" t="s">
        <v>1602</v>
      </c>
      <c r="H589" s="12" t="s">
        <v>1603</v>
      </c>
      <c r="I589" s="10">
        <v>45614</v>
      </c>
    </row>
    <row r="590" spans="1:9" x14ac:dyDescent="0.15">
      <c r="A590" s="9">
        <v>589</v>
      </c>
      <c r="B590" s="9" t="s">
        <v>9</v>
      </c>
      <c r="C590" s="9">
        <v>1925</v>
      </c>
      <c r="D590" s="10">
        <v>45715</v>
      </c>
      <c r="E590" s="11" t="str">
        <f>+HYPERLINK("http://trademark.i-assist.jp/data/china/image_1925th/82020925.pdf","82020925")</f>
        <v>82020925</v>
      </c>
      <c r="F590" s="9" t="s">
        <v>1604</v>
      </c>
      <c r="G590" s="12" t="s">
        <v>1605</v>
      </c>
      <c r="H590" s="9" t="s">
        <v>1606</v>
      </c>
      <c r="I590" s="10">
        <v>45614</v>
      </c>
    </row>
    <row r="591" spans="1:9" x14ac:dyDescent="0.15">
      <c r="A591" s="9">
        <v>590</v>
      </c>
      <c r="B591" s="9" t="s">
        <v>9</v>
      </c>
      <c r="C591" s="9">
        <v>1925</v>
      </c>
      <c r="D591" s="10">
        <v>45715</v>
      </c>
      <c r="E591" s="11" t="str">
        <f>+HYPERLINK("http://trademark.i-assist.jp/data/china/image_1925th/82021455.pdf","82021455")</f>
        <v>82021455</v>
      </c>
      <c r="F591" s="9" t="s">
        <v>1607</v>
      </c>
      <c r="G591" s="9" t="s">
        <v>1608</v>
      </c>
      <c r="H591" s="9" t="s">
        <v>1609</v>
      </c>
      <c r="I591" s="10">
        <v>45614</v>
      </c>
    </row>
    <row r="592" spans="1:9" x14ac:dyDescent="0.15">
      <c r="A592" s="9">
        <v>591</v>
      </c>
      <c r="B592" s="9" t="s">
        <v>9</v>
      </c>
      <c r="C592" s="9">
        <v>1925</v>
      </c>
      <c r="D592" s="10">
        <v>45715</v>
      </c>
      <c r="E592" s="11" t="str">
        <f>+HYPERLINK("http://trademark.i-assist.jp/data/china/image_1925th/82022358.pdf","82022358")</f>
        <v>82022358</v>
      </c>
      <c r="F592" s="9" t="s">
        <v>1610</v>
      </c>
      <c r="G592" s="9" t="s">
        <v>1611</v>
      </c>
      <c r="H592" s="9" t="s">
        <v>1612</v>
      </c>
      <c r="I592" s="10">
        <v>45614</v>
      </c>
    </row>
    <row r="593" spans="1:9" x14ac:dyDescent="0.15">
      <c r="A593" s="9">
        <v>592</v>
      </c>
      <c r="B593" s="9" t="s">
        <v>9</v>
      </c>
      <c r="C593" s="9">
        <v>1925</v>
      </c>
      <c r="D593" s="10">
        <v>45715</v>
      </c>
      <c r="E593" s="11" t="str">
        <f>+HYPERLINK("http://trademark.i-assist.jp/data/china/image_1925th/82022468.pdf","82022468")</f>
        <v>82022468</v>
      </c>
      <c r="F593" s="9" t="s">
        <v>1613</v>
      </c>
      <c r="G593" s="9" t="s">
        <v>1614</v>
      </c>
      <c r="H593" s="9" t="s">
        <v>1615</v>
      </c>
      <c r="I593" s="10">
        <v>45614</v>
      </c>
    </row>
    <row r="594" spans="1:9" x14ac:dyDescent="0.15">
      <c r="A594" s="9">
        <v>593</v>
      </c>
      <c r="B594" s="9" t="s">
        <v>9</v>
      </c>
      <c r="C594" s="9">
        <v>1925</v>
      </c>
      <c r="D594" s="10">
        <v>45715</v>
      </c>
      <c r="E594" s="11" t="str">
        <f>+HYPERLINK("http://trademark.i-assist.jp/data/china/image_1925th/82022627.pdf","82022627")</f>
        <v>82022627</v>
      </c>
      <c r="F594" s="9" t="s">
        <v>1616</v>
      </c>
      <c r="G594" s="9" t="s">
        <v>1617</v>
      </c>
      <c r="H594" s="9" t="s">
        <v>1618</v>
      </c>
      <c r="I594" s="10">
        <v>45614</v>
      </c>
    </row>
    <row r="595" spans="1:9" x14ac:dyDescent="0.15">
      <c r="A595" s="9">
        <v>594</v>
      </c>
      <c r="B595" s="9" t="s">
        <v>9</v>
      </c>
      <c r="C595" s="9">
        <v>1925</v>
      </c>
      <c r="D595" s="10">
        <v>45715</v>
      </c>
      <c r="E595" s="11" t="str">
        <f>+HYPERLINK("http://trademark.i-assist.jp/data/china/image_1925th/82022674.pdf","82022674")</f>
        <v>82022674</v>
      </c>
      <c r="F595" s="9" t="s">
        <v>1619</v>
      </c>
      <c r="G595" s="9" t="s">
        <v>1620</v>
      </c>
      <c r="H595" s="12" t="s">
        <v>1621</v>
      </c>
      <c r="I595" s="10">
        <v>45614</v>
      </c>
    </row>
    <row r="596" spans="1:9" x14ac:dyDescent="0.15">
      <c r="A596" s="9">
        <v>595</v>
      </c>
      <c r="B596" s="9" t="s">
        <v>9</v>
      </c>
      <c r="C596" s="9">
        <v>1925</v>
      </c>
      <c r="D596" s="10">
        <v>45715</v>
      </c>
      <c r="E596" s="11" t="str">
        <f>+HYPERLINK("http://trademark.i-assist.jp/data/china/image_1925th/82023145.pdf","82023145")</f>
        <v>82023145</v>
      </c>
      <c r="F596" s="9" t="s">
        <v>1622</v>
      </c>
      <c r="G596" s="9" t="s">
        <v>1623</v>
      </c>
      <c r="H596" s="9" t="s">
        <v>1624</v>
      </c>
      <c r="I596" s="10">
        <v>45614</v>
      </c>
    </row>
    <row r="597" spans="1:9" x14ac:dyDescent="0.15">
      <c r="A597" s="9">
        <v>596</v>
      </c>
      <c r="B597" s="9" t="s">
        <v>9</v>
      </c>
      <c r="C597" s="9">
        <v>1925</v>
      </c>
      <c r="D597" s="10">
        <v>45715</v>
      </c>
      <c r="E597" s="11" t="str">
        <f>+HYPERLINK("http://trademark.i-assist.jp/data/china/image_1925th/82023270.pdf","82023270")</f>
        <v>82023270</v>
      </c>
      <c r="F597" s="9" t="s">
        <v>1625</v>
      </c>
      <c r="G597" s="9" t="s">
        <v>1626</v>
      </c>
      <c r="H597" s="9" t="s">
        <v>1627</v>
      </c>
      <c r="I597" s="10">
        <v>45614</v>
      </c>
    </row>
    <row r="598" spans="1:9" x14ac:dyDescent="0.15">
      <c r="A598" s="9">
        <v>597</v>
      </c>
      <c r="B598" s="9" t="s">
        <v>9</v>
      </c>
      <c r="C598" s="9">
        <v>1925</v>
      </c>
      <c r="D598" s="10">
        <v>45715</v>
      </c>
      <c r="E598" s="11" t="str">
        <f>+HYPERLINK("http://trademark.i-assist.jp/data/china/image_1925th/82023325.pdf","82023325")</f>
        <v>82023325</v>
      </c>
      <c r="F598" s="9" t="s">
        <v>1628</v>
      </c>
      <c r="G598" s="12" t="s">
        <v>1629</v>
      </c>
      <c r="H598" s="9" t="s">
        <v>1630</v>
      </c>
      <c r="I598" s="10">
        <v>45614</v>
      </c>
    </row>
    <row r="599" spans="1:9" x14ac:dyDescent="0.15">
      <c r="A599" s="9">
        <v>598</v>
      </c>
      <c r="B599" s="9" t="s">
        <v>9</v>
      </c>
      <c r="C599" s="9">
        <v>1925</v>
      </c>
      <c r="D599" s="10">
        <v>45715</v>
      </c>
      <c r="E599" s="11" t="str">
        <f>+HYPERLINK("http://trademark.i-assist.jp/data/china/image_1925th/82023442.pdf","82023442")</f>
        <v>82023442</v>
      </c>
      <c r="F599" s="9" t="s">
        <v>1631</v>
      </c>
      <c r="G599" s="9" t="s">
        <v>1632</v>
      </c>
      <c r="H599" s="9" t="s">
        <v>1633</v>
      </c>
      <c r="I599" s="10">
        <v>45614</v>
      </c>
    </row>
    <row r="600" spans="1:9" x14ac:dyDescent="0.15">
      <c r="A600" s="9">
        <v>599</v>
      </c>
      <c r="B600" s="9" t="s">
        <v>9</v>
      </c>
      <c r="C600" s="9">
        <v>1925</v>
      </c>
      <c r="D600" s="10">
        <v>45715</v>
      </c>
      <c r="E600" s="11" t="str">
        <f>+HYPERLINK("http://trademark.i-assist.jp/data/china/image_1925th/82023531.pdf","82023531")</f>
        <v>82023531</v>
      </c>
      <c r="F600" s="9" t="s">
        <v>1634</v>
      </c>
      <c r="G600" s="9" t="s">
        <v>1635</v>
      </c>
      <c r="H600" s="9" t="s">
        <v>1636</v>
      </c>
      <c r="I600" s="10">
        <v>45614</v>
      </c>
    </row>
    <row r="601" spans="1:9" x14ac:dyDescent="0.15">
      <c r="A601" s="9">
        <v>600</v>
      </c>
      <c r="B601" s="9" t="s">
        <v>9</v>
      </c>
      <c r="C601" s="9">
        <v>1925</v>
      </c>
      <c r="D601" s="10">
        <v>45715</v>
      </c>
      <c r="E601" s="11" t="str">
        <f>+HYPERLINK("http://trademark.i-assist.jp/data/china/image_1925th/82023594.pdf","82023594")</f>
        <v>82023594</v>
      </c>
      <c r="F601" s="12" t="s">
        <v>1637</v>
      </c>
      <c r="G601" s="9" t="s">
        <v>1638</v>
      </c>
      <c r="H601" s="9" t="s">
        <v>1639</v>
      </c>
      <c r="I601" s="10">
        <v>45614</v>
      </c>
    </row>
    <row r="602" spans="1:9" x14ac:dyDescent="0.15">
      <c r="A602" s="9">
        <v>601</v>
      </c>
      <c r="B602" s="9" t="s">
        <v>9</v>
      </c>
      <c r="C602" s="9">
        <v>1925</v>
      </c>
      <c r="D602" s="10">
        <v>45715</v>
      </c>
      <c r="E602" s="11" t="str">
        <f>+HYPERLINK("http://trademark.i-assist.jp/data/china/image_1925th/82023889.pdf","82023889")</f>
        <v>82023889</v>
      </c>
      <c r="F602" s="9" t="s">
        <v>1640</v>
      </c>
      <c r="G602" s="9" t="s">
        <v>1641</v>
      </c>
      <c r="H602" s="9" t="s">
        <v>1642</v>
      </c>
      <c r="I602" s="10">
        <v>45614</v>
      </c>
    </row>
    <row r="603" spans="1:9" x14ac:dyDescent="0.15">
      <c r="A603" s="9">
        <v>602</v>
      </c>
      <c r="B603" s="9" t="s">
        <v>9</v>
      </c>
      <c r="C603" s="9">
        <v>1925</v>
      </c>
      <c r="D603" s="10">
        <v>45715</v>
      </c>
      <c r="E603" s="11" t="str">
        <f>+HYPERLINK("http://trademark.i-assist.jp/data/china/image_1925th/82024195.pdf","82024195")</f>
        <v>82024195</v>
      </c>
      <c r="F603" s="9" t="s">
        <v>1643</v>
      </c>
      <c r="G603" s="9" t="s">
        <v>1644</v>
      </c>
      <c r="H603" s="9" t="s">
        <v>1645</v>
      </c>
      <c r="I603" s="10">
        <v>45614</v>
      </c>
    </row>
    <row r="604" spans="1:9" x14ac:dyDescent="0.15">
      <c r="A604" s="9">
        <v>603</v>
      </c>
      <c r="B604" s="9" t="s">
        <v>9</v>
      </c>
      <c r="C604" s="9">
        <v>1925</v>
      </c>
      <c r="D604" s="10">
        <v>45715</v>
      </c>
      <c r="E604" s="11" t="str">
        <f>+HYPERLINK("http://trademark.i-assist.jp/data/china/image_1925th/82024701.pdf","82024701")</f>
        <v>82024701</v>
      </c>
      <c r="F604" s="9" t="s">
        <v>1646</v>
      </c>
      <c r="G604" s="9" t="s">
        <v>1647</v>
      </c>
      <c r="H604" s="12" t="s">
        <v>1648</v>
      </c>
      <c r="I604" s="10">
        <v>45614</v>
      </c>
    </row>
    <row r="605" spans="1:9" x14ac:dyDescent="0.15">
      <c r="A605" s="9">
        <v>604</v>
      </c>
      <c r="B605" s="9" t="s">
        <v>9</v>
      </c>
      <c r="C605" s="9">
        <v>1925</v>
      </c>
      <c r="D605" s="10">
        <v>45715</v>
      </c>
      <c r="E605" s="11" t="str">
        <f>+HYPERLINK("http://trademark.i-assist.jp/data/china/image_1925th/82024870.pdf","82024870")</f>
        <v>82024870</v>
      </c>
      <c r="F605" s="12" t="s">
        <v>1649</v>
      </c>
      <c r="G605" s="9" t="s">
        <v>1638</v>
      </c>
      <c r="H605" s="9" t="s">
        <v>1650</v>
      </c>
      <c r="I605" s="10">
        <v>45614</v>
      </c>
    </row>
    <row r="606" spans="1:9" x14ac:dyDescent="0.15">
      <c r="A606" s="9">
        <v>605</v>
      </c>
      <c r="B606" s="9" t="s">
        <v>9</v>
      </c>
      <c r="C606" s="9">
        <v>1925</v>
      </c>
      <c r="D606" s="10">
        <v>45715</v>
      </c>
      <c r="E606" s="11" t="str">
        <f>+HYPERLINK("http://trademark.i-assist.jp/data/china/image_1925th/82025014.pdf","82025014")</f>
        <v>82025014</v>
      </c>
      <c r="F606" s="9" t="s">
        <v>1651</v>
      </c>
      <c r="G606" s="9" t="s">
        <v>1652</v>
      </c>
      <c r="H606" s="9" t="s">
        <v>1653</v>
      </c>
      <c r="I606" s="10">
        <v>45614</v>
      </c>
    </row>
    <row r="607" spans="1:9" x14ac:dyDescent="0.15">
      <c r="A607" s="9">
        <v>606</v>
      </c>
      <c r="B607" s="9" t="s">
        <v>9</v>
      </c>
      <c r="C607" s="9">
        <v>1925</v>
      </c>
      <c r="D607" s="10">
        <v>45715</v>
      </c>
      <c r="E607" s="11" t="str">
        <f>+HYPERLINK("http://trademark.i-assist.jp/data/china/image_1925th/82025068.pdf","82025068")</f>
        <v>82025068</v>
      </c>
      <c r="F607" s="12" t="s">
        <v>57</v>
      </c>
      <c r="G607" s="9" t="s">
        <v>1654</v>
      </c>
      <c r="H607" s="9" t="s">
        <v>1655</v>
      </c>
      <c r="I607" s="10">
        <v>45614</v>
      </c>
    </row>
    <row r="608" spans="1:9" x14ac:dyDescent="0.15">
      <c r="A608" s="9">
        <v>607</v>
      </c>
      <c r="B608" s="9" t="s">
        <v>9</v>
      </c>
      <c r="C608" s="9">
        <v>1925</v>
      </c>
      <c r="D608" s="10">
        <v>45715</v>
      </c>
      <c r="E608" s="11" t="str">
        <f>+HYPERLINK("http://trademark.i-assist.jp/data/china/image_1925th/82026760.pdf","82026760")</f>
        <v>82026760</v>
      </c>
      <c r="F608" s="9" t="s">
        <v>1656</v>
      </c>
      <c r="G608" s="9" t="s">
        <v>1589</v>
      </c>
      <c r="H608" s="9" t="s">
        <v>1657</v>
      </c>
      <c r="I608" s="10">
        <v>45614</v>
      </c>
    </row>
    <row r="609" spans="1:9" x14ac:dyDescent="0.15">
      <c r="A609" s="9">
        <v>608</v>
      </c>
      <c r="B609" s="9" t="s">
        <v>9</v>
      </c>
      <c r="C609" s="9">
        <v>1925</v>
      </c>
      <c r="D609" s="10">
        <v>45715</v>
      </c>
      <c r="E609" s="11" t="str">
        <f>+HYPERLINK("http://trademark.i-assist.jp/data/china/image_1925th/82026986.pdf","82026986")</f>
        <v>82026986</v>
      </c>
      <c r="F609" s="12" t="s">
        <v>1658</v>
      </c>
      <c r="G609" s="9" t="s">
        <v>1659</v>
      </c>
      <c r="H609" s="12" t="s">
        <v>1660</v>
      </c>
      <c r="I609" s="10">
        <v>45614</v>
      </c>
    </row>
    <row r="610" spans="1:9" x14ac:dyDescent="0.15">
      <c r="A610" s="9">
        <v>609</v>
      </c>
      <c r="B610" s="9" t="s">
        <v>9</v>
      </c>
      <c r="C610" s="9">
        <v>1925</v>
      </c>
      <c r="D610" s="10">
        <v>45715</v>
      </c>
      <c r="E610" s="11" t="str">
        <f>+HYPERLINK("http://trademark.i-assist.jp/data/china/image_1925th/82027183.pdf","82027183")</f>
        <v>82027183</v>
      </c>
      <c r="F610" s="9" t="s">
        <v>1661</v>
      </c>
      <c r="G610" s="9" t="s">
        <v>1662</v>
      </c>
      <c r="H610" s="9" t="s">
        <v>1663</v>
      </c>
      <c r="I610" s="10">
        <v>45614</v>
      </c>
    </row>
    <row r="611" spans="1:9" x14ac:dyDescent="0.15">
      <c r="A611" s="9">
        <v>610</v>
      </c>
      <c r="B611" s="9" t="s">
        <v>9</v>
      </c>
      <c r="C611" s="9">
        <v>1925</v>
      </c>
      <c r="D611" s="10">
        <v>45715</v>
      </c>
      <c r="E611" s="11" t="str">
        <f>+HYPERLINK("http://trademark.i-assist.jp/data/china/image_1925th/82027291.pdf","82027291")</f>
        <v>82027291</v>
      </c>
      <c r="F611" s="9" t="s">
        <v>1664</v>
      </c>
      <c r="G611" s="12" t="s">
        <v>1665</v>
      </c>
      <c r="H611" s="9" t="s">
        <v>1666</v>
      </c>
      <c r="I611" s="10">
        <v>45614</v>
      </c>
    </row>
    <row r="612" spans="1:9" x14ac:dyDescent="0.15">
      <c r="A612" s="9">
        <v>611</v>
      </c>
      <c r="B612" s="9" t="s">
        <v>9</v>
      </c>
      <c r="C612" s="9">
        <v>1925</v>
      </c>
      <c r="D612" s="10">
        <v>45715</v>
      </c>
      <c r="E612" s="11" t="str">
        <f>+HYPERLINK("http://trademark.i-assist.jp/data/china/image_1925th/82027423.pdf","82027423")</f>
        <v>82027423</v>
      </c>
      <c r="F612" s="9" t="s">
        <v>1667</v>
      </c>
      <c r="G612" s="9" t="s">
        <v>1668</v>
      </c>
      <c r="H612" s="9" t="s">
        <v>1669</v>
      </c>
      <c r="I612" s="10">
        <v>45614</v>
      </c>
    </row>
    <row r="613" spans="1:9" x14ac:dyDescent="0.15">
      <c r="A613" s="9">
        <v>612</v>
      </c>
      <c r="B613" s="9" t="s">
        <v>9</v>
      </c>
      <c r="C613" s="9">
        <v>1925</v>
      </c>
      <c r="D613" s="10">
        <v>45715</v>
      </c>
      <c r="E613" s="11" t="str">
        <f>+HYPERLINK("http://trademark.i-assist.jp/data/china/image_1925th/82028293.pdf","82028293")</f>
        <v>82028293</v>
      </c>
      <c r="F613" s="9" t="s">
        <v>1670</v>
      </c>
      <c r="G613" s="9" t="s">
        <v>702</v>
      </c>
      <c r="H613" s="9" t="s">
        <v>1671</v>
      </c>
      <c r="I613" s="10">
        <v>45614</v>
      </c>
    </row>
    <row r="614" spans="1:9" x14ac:dyDescent="0.15">
      <c r="A614" s="9">
        <v>613</v>
      </c>
      <c r="B614" s="9" t="s">
        <v>9</v>
      </c>
      <c r="C614" s="9">
        <v>1925</v>
      </c>
      <c r="D614" s="10">
        <v>45715</v>
      </c>
      <c r="E614" s="11" t="str">
        <f>+HYPERLINK("http://trademark.i-assist.jp/data/china/image_1925th/82029413.pdf","82029413")</f>
        <v>82029413</v>
      </c>
      <c r="F614" s="9" t="s">
        <v>1672</v>
      </c>
      <c r="G614" s="9" t="s">
        <v>1673</v>
      </c>
      <c r="H614" s="9" t="s">
        <v>1674</v>
      </c>
      <c r="I614" s="10">
        <v>45614</v>
      </c>
    </row>
    <row r="615" spans="1:9" x14ac:dyDescent="0.15">
      <c r="A615" s="9">
        <v>614</v>
      </c>
      <c r="B615" s="9" t="s">
        <v>9</v>
      </c>
      <c r="C615" s="9">
        <v>1925</v>
      </c>
      <c r="D615" s="10">
        <v>45715</v>
      </c>
      <c r="E615" s="11" t="str">
        <f>+HYPERLINK("http://trademark.i-assist.jp/data/china/image_1925th/82029583.pdf","82029583")</f>
        <v>82029583</v>
      </c>
      <c r="F615" s="12" t="s">
        <v>57</v>
      </c>
      <c r="G615" s="9" t="s">
        <v>1675</v>
      </c>
      <c r="H615" s="9" t="s">
        <v>1676</v>
      </c>
      <c r="I615" s="10">
        <v>45614</v>
      </c>
    </row>
    <row r="616" spans="1:9" x14ac:dyDescent="0.15">
      <c r="A616" s="9">
        <v>615</v>
      </c>
      <c r="B616" s="9" t="s">
        <v>9</v>
      </c>
      <c r="C616" s="9">
        <v>1925</v>
      </c>
      <c r="D616" s="10">
        <v>45715</v>
      </c>
      <c r="E616" s="11" t="str">
        <f>+HYPERLINK("http://trademark.i-assist.jp/data/china/image_1925th/82031151.pdf","82031151")</f>
        <v>82031151</v>
      </c>
      <c r="F616" s="12" t="s">
        <v>1677</v>
      </c>
      <c r="G616" s="12" t="s">
        <v>1678</v>
      </c>
      <c r="H616" s="9" t="s">
        <v>1679</v>
      </c>
      <c r="I616" s="10">
        <v>45614</v>
      </c>
    </row>
    <row r="617" spans="1:9" x14ac:dyDescent="0.15">
      <c r="A617" s="9">
        <v>616</v>
      </c>
      <c r="B617" s="9" t="s">
        <v>9</v>
      </c>
      <c r="C617" s="9">
        <v>1925</v>
      </c>
      <c r="D617" s="10">
        <v>45715</v>
      </c>
      <c r="E617" s="11" t="str">
        <f>+HYPERLINK("http://trademark.i-assist.jp/data/china/image_1925th/82032184.pdf","82032184")</f>
        <v>82032184</v>
      </c>
      <c r="F617" s="9" t="s">
        <v>1680</v>
      </c>
      <c r="G617" s="12" t="s">
        <v>1681</v>
      </c>
      <c r="H617" s="9" t="s">
        <v>1682</v>
      </c>
      <c r="I617" s="10">
        <v>45614</v>
      </c>
    </row>
    <row r="618" spans="1:9" x14ac:dyDescent="0.15">
      <c r="A618" s="9">
        <v>617</v>
      </c>
      <c r="B618" s="9" t="s">
        <v>9</v>
      </c>
      <c r="C618" s="9">
        <v>1925</v>
      </c>
      <c r="D618" s="10">
        <v>45715</v>
      </c>
      <c r="E618" s="11" t="str">
        <f>+HYPERLINK("http://trademark.i-assist.jp/data/china/image_1925th/82032274.pdf","82032274")</f>
        <v>82032274</v>
      </c>
      <c r="F618" s="9" t="s">
        <v>1683</v>
      </c>
      <c r="G618" s="12" t="s">
        <v>1684</v>
      </c>
      <c r="H618" s="9" t="s">
        <v>1685</v>
      </c>
      <c r="I618" s="10">
        <v>45614</v>
      </c>
    </row>
    <row r="619" spans="1:9" x14ac:dyDescent="0.15">
      <c r="A619" s="9">
        <v>618</v>
      </c>
      <c r="B619" s="9" t="s">
        <v>9</v>
      </c>
      <c r="C619" s="9">
        <v>1925</v>
      </c>
      <c r="D619" s="10">
        <v>45715</v>
      </c>
      <c r="E619" s="11" t="str">
        <f>+HYPERLINK("http://trademark.i-assist.jp/data/china/image_1925th/82032278.pdf","82032278")</f>
        <v>82032278</v>
      </c>
      <c r="F619" s="9" t="s">
        <v>1686</v>
      </c>
      <c r="G619" s="9" t="s">
        <v>1687</v>
      </c>
      <c r="H619" s="12" t="s">
        <v>1688</v>
      </c>
      <c r="I619" s="10">
        <v>45614</v>
      </c>
    </row>
    <row r="620" spans="1:9" x14ac:dyDescent="0.15">
      <c r="A620" s="9">
        <v>619</v>
      </c>
      <c r="B620" s="9" t="s">
        <v>9</v>
      </c>
      <c r="C620" s="9">
        <v>1925</v>
      </c>
      <c r="D620" s="10">
        <v>45715</v>
      </c>
      <c r="E620" s="11" t="str">
        <f>+HYPERLINK("http://trademark.i-assist.jp/data/china/image_1925th/82032700.pdf","82032700")</f>
        <v>82032700</v>
      </c>
      <c r="F620" s="9" t="s">
        <v>1689</v>
      </c>
      <c r="G620" s="9" t="s">
        <v>1690</v>
      </c>
      <c r="H620" s="12" t="s">
        <v>1691</v>
      </c>
      <c r="I620" s="10">
        <v>45614</v>
      </c>
    </row>
    <row r="621" spans="1:9" x14ac:dyDescent="0.15">
      <c r="A621" s="9">
        <v>620</v>
      </c>
      <c r="B621" s="9" t="s">
        <v>9</v>
      </c>
      <c r="C621" s="9">
        <v>1925</v>
      </c>
      <c r="D621" s="10">
        <v>45715</v>
      </c>
      <c r="E621" s="11" t="str">
        <f>+HYPERLINK("http://trademark.i-assist.jp/data/china/image_1925th/82033411.pdf","82033411")</f>
        <v>82033411</v>
      </c>
      <c r="F621" s="9" t="s">
        <v>1692</v>
      </c>
      <c r="G621" s="12" t="s">
        <v>1693</v>
      </c>
      <c r="H621" s="12" t="s">
        <v>1694</v>
      </c>
      <c r="I621" s="10">
        <v>45614</v>
      </c>
    </row>
    <row r="622" spans="1:9" x14ac:dyDescent="0.15">
      <c r="A622" s="9">
        <v>621</v>
      </c>
      <c r="B622" s="9" t="s">
        <v>9</v>
      </c>
      <c r="C622" s="9">
        <v>1925</v>
      </c>
      <c r="D622" s="10">
        <v>45715</v>
      </c>
      <c r="E622" s="11" t="str">
        <f>+HYPERLINK("http://trademark.i-assist.jp/data/china/image_1925th/82033592.pdf","82033592")</f>
        <v>82033592</v>
      </c>
      <c r="F622" s="9" t="s">
        <v>1695</v>
      </c>
      <c r="G622" s="9" t="s">
        <v>1589</v>
      </c>
      <c r="H622" s="9" t="s">
        <v>1696</v>
      </c>
      <c r="I622" s="10">
        <v>45614</v>
      </c>
    </row>
    <row r="623" spans="1:9" x14ac:dyDescent="0.15">
      <c r="A623" s="9">
        <v>622</v>
      </c>
      <c r="B623" s="9" t="s">
        <v>9</v>
      </c>
      <c r="C623" s="9">
        <v>1925</v>
      </c>
      <c r="D623" s="10">
        <v>45715</v>
      </c>
      <c r="E623" s="11" t="str">
        <f>+HYPERLINK("http://trademark.i-assist.jp/data/china/image_1925th/82033769.pdf","82033769")</f>
        <v>82033769</v>
      </c>
      <c r="F623" s="9" t="s">
        <v>1697</v>
      </c>
      <c r="G623" s="9" t="s">
        <v>1698</v>
      </c>
      <c r="H623" s="9" t="s">
        <v>1699</v>
      </c>
      <c r="I623" s="10">
        <v>45614</v>
      </c>
    </row>
    <row r="624" spans="1:9" x14ac:dyDescent="0.15">
      <c r="A624" s="9">
        <v>623</v>
      </c>
      <c r="B624" s="9" t="s">
        <v>9</v>
      </c>
      <c r="C624" s="9">
        <v>1925</v>
      </c>
      <c r="D624" s="10">
        <v>45715</v>
      </c>
      <c r="E624" s="11" t="str">
        <f>+HYPERLINK("http://trademark.i-assist.jp/data/china/image_1925th/82033966.pdf","82033966")</f>
        <v>82033966</v>
      </c>
      <c r="F624" s="9" t="s">
        <v>1700</v>
      </c>
      <c r="G624" s="9" t="s">
        <v>1647</v>
      </c>
      <c r="H624" s="9" t="s">
        <v>1701</v>
      </c>
      <c r="I624" s="10">
        <v>45614</v>
      </c>
    </row>
    <row r="625" spans="1:9" x14ac:dyDescent="0.15">
      <c r="A625" s="9">
        <v>624</v>
      </c>
      <c r="B625" s="9" t="s">
        <v>9</v>
      </c>
      <c r="C625" s="9">
        <v>1925</v>
      </c>
      <c r="D625" s="10">
        <v>45715</v>
      </c>
      <c r="E625" s="11" t="str">
        <f>+HYPERLINK("http://trademark.i-assist.jp/data/china/image_1925th/82034062.pdf","82034062")</f>
        <v>82034062</v>
      </c>
      <c r="F625" s="9" t="s">
        <v>1702</v>
      </c>
      <c r="G625" s="9" t="s">
        <v>1638</v>
      </c>
      <c r="H625" s="9" t="s">
        <v>1703</v>
      </c>
      <c r="I625" s="10">
        <v>45614</v>
      </c>
    </row>
    <row r="626" spans="1:9" x14ac:dyDescent="0.15">
      <c r="A626" s="9">
        <v>625</v>
      </c>
      <c r="B626" s="9" t="s">
        <v>9</v>
      </c>
      <c r="C626" s="9">
        <v>1925</v>
      </c>
      <c r="D626" s="10">
        <v>45715</v>
      </c>
      <c r="E626" s="11" t="str">
        <f>+HYPERLINK("http://trademark.i-assist.jp/data/china/image_1925th/82034082.pdf","82034082")</f>
        <v>82034082</v>
      </c>
      <c r="F626" s="9" t="s">
        <v>1704</v>
      </c>
      <c r="G626" s="9" t="s">
        <v>1705</v>
      </c>
      <c r="H626" s="9" t="s">
        <v>1706</v>
      </c>
      <c r="I626" s="10">
        <v>45614</v>
      </c>
    </row>
    <row r="627" spans="1:9" x14ac:dyDescent="0.15">
      <c r="A627" s="9">
        <v>626</v>
      </c>
      <c r="B627" s="9" t="s">
        <v>9</v>
      </c>
      <c r="C627" s="9">
        <v>1925</v>
      </c>
      <c r="D627" s="10">
        <v>45715</v>
      </c>
      <c r="E627" s="11" t="str">
        <f>+HYPERLINK("http://trademark.i-assist.jp/data/china/image_1925th/82034266.pdf","82034266")</f>
        <v>82034266</v>
      </c>
      <c r="F627" s="12" t="s">
        <v>1707</v>
      </c>
      <c r="G627" s="9" t="s">
        <v>1708</v>
      </c>
      <c r="H627" s="9" t="s">
        <v>1709</v>
      </c>
      <c r="I627" s="10">
        <v>45614</v>
      </c>
    </row>
    <row r="628" spans="1:9" x14ac:dyDescent="0.15">
      <c r="A628" s="9">
        <v>627</v>
      </c>
      <c r="B628" s="9" t="s">
        <v>9</v>
      </c>
      <c r="C628" s="9">
        <v>1925</v>
      </c>
      <c r="D628" s="10">
        <v>45715</v>
      </c>
      <c r="E628" s="11" t="str">
        <f>+HYPERLINK("http://trademark.i-assist.jp/data/china/image_1925th/82034664.pdf","82034664")</f>
        <v>82034664</v>
      </c>
      <c r="F628" s="9" t="s">
        <v>1710</v>
      </c>
      <c r="G628" s="12" t="s">
        <v>1711</v>
      </c>
      <c r="H628" s="9" t="s">
        <v>1712</v>
      </c>
      <c r="I628" s="10">
        <v>45614</v>
      </c>
    </row>
    <row r="629" spans="1:9" x14ac:dyDescent="0.15">
      <c r="A629" s="9">
        <v>628</v>
      </c>
      <c r="B629" s="9" t="s">
        <v>9</v>
      </c>
      <c r="C629" s="9">
        <v>1925</v>
      </c>
      <c r="D629" s="10">
        <v>45715</v>
      </c>
      <c r="E629" s="11" t="str">
        <f>+HYPERLINK("http://trademark.i-assist.jp/data/china/image_1925th/82035824.pdf","82035824")</f>
        <v>82035824</v>
      </c>
      <c r="F629" s="9" t="s">
        <v>1713</v>
      </c>
      <c r="G629" s="9" t="s">
        <v>1714</v>
      </c>
      <c r="H629" s="12" t="s">
        <v>1715</v>
      </c>
      <c r="I629" s="10">
        <v>45614</v>
      </c>
    </row>
    <row r="630" spans="1:9" x14ac:dyDescent="0.15">
      <c r="A630" s="9">
        <v>629</v>
      </c>
      <c r="B630" s="9" t="s">
        <v>9</v>
      </c>
      <c r="C630" s="9">
        <v>1925</v>
      </c>
      <c r="D630" s="10">
        <v>45715</v>
      </c>
      <c r="E630" s="11" t="str">
        <f>+HYPERLINK("http://trademark.i-assist.jp/data/china/image_1925th/82036976.pdf","82036976")</f>
        <v>82036976</v>
      </c>
      <c r="F630" s="9" t="s">
        <v>1716</v>
      </c>
      <c r="G630" s="9" t="s">
        <v>1717</v>
      </c>
      <c r="H630" s="9" t="s">
        <v>1718</v>
      </c>
      <c r="I630" s="10">
        <v>45614</v>
      </c>
    </row>
    <row r="631" spans="1:9" x14ac:dyDescent="0.15">
      <c r="A631" s="9">
        <v>630</v>
      </c>
      <c r="B631" s="9" t="s">
        <v>9</v>
      </c>
      <c r="C631" s="9">
        <v>1925</v>
      </c>
      <c r="D631" s="10">
        <v>45715</v>
      </c>
      <c r="E631" s="11" t="str">
        <f>+HYPERLINK("http://trademark.i-assist.jp/data/china/image_1925th/82037183.pdf","82037183")</f>
        <v>82037183</v>
      </c>
      <c r="F631" s="9" t="s">
        <v>1719</v>
      </c>
      <c r="G631" s="9" t="s">
        <v>1720</v>
      </c>
      <c r="H631" s="9" t="s">
        <v>1721</v>
      </c>
      <c r="I631" s="10">
        <v>45614</v>
      </c>
    </row>
    <row r="632" spans="1:9" x14ac:dyDescent="0.15">
      <c r="A632" s="9">
        <v>631</v>
      </c>
      <c r="B632" s="9" t="s">
        <v>9</v>
      </c>
      <c r="C632" s="9">
        <v>1925</v>
      </c>
      <c r="D632" s="10">
        <v>45715</v>
      </c>
      <c r="E632" s="11" t="str">
        <f>+HYPERLINK("http://trademark.i-assist.jp/data/china/image_1925th/82037234.pdf","82037234")</f>
        <v>82037234</v>
      </c>
      <c r="F632" s="9" t="s">
        <v>1722</v>
      </c>
      <c r="G632" s="12" t="s">
        <v>1629</v>
      </c>
      <c r="H632" s="9" t="s">
        <v>1723</v>
      </c>
      <c r="I632" s="10">
        <v>45614</v>
      </c>
    </row>
    <row r="633" spans="1:9" x14ac:dyDescent="0.15">
      <c r="A633" s="9">
        <v>632</v>
      </c>
      <c r="B633" s="9" t="s">
        <v>9</v>
      </c>
      <c r="C633" s="9">
        <v>1925</v>
      </c>
      <c r="D633" s="10">
        <v>45715</v>
      </c>
      <c r="E633" s="11" t="str">
        <f>+HYPERLINK("http://trademark.i-assist.jp/data/china/image_1925th/82037820.pdf","82037820")</f>
        <v>82037820</v>
      </c>
      <c r="F633" s="12" t="s">
        <v>1724</v>
      </c>
      <c r="G633" s="12" t="s">
        <v>1678</v>
      </c>
      <c r="H633" s="9" t="s">
        <v>1725</v>
      </c>
      <c r="I633" s="10">
        <v>45614</v>
      </c>
    </row>
    <row r="634" spans="1:9" x14ac:dyDescent="0.15">
      <c r="A634" s="9">
        <v>633</v>
      </c>
      <c r="B634" s="9" t="s">
        <v>9</v>
      </c>
      <c r="C634" s="9">
        <v>1925</v>
      </c>
      <c r="D634" s="10">
        <v>45715</v>
      </c>
      <c r="E634" s="11" t="str">
        <f>+HYPERLINK("http://trademark.i-assist.jp/data/china/image_1925th/82038034.pdf","82038034")</f>
        <v>82038034</v>
      </c>
      <c r="F634" s="12" t="s">
        <v>57</v>
      </c>
      <c r="G634" s="12" t="s">
        <v>1726</v>
      </c>
      <c r="H634" s="9" t="s">
        <v>1727</v>
      </c>
      <c r="I634" s="10">
        <v>45614</v>
      </c>
    </row>
    <row r="635" spans="1:9" x14ac:dyDescent="0.15">
      <c r="A635" s="9">
        <v>634</v>
      </c>
      <c r="B635" s="9" t="s">
        <v>9</v>
      </c>
      <c r="C635" s="9">
        <v>1925</v>
      </c>
      <c r="D635" s="10">
        <v>45715</v>
      </c>
      <c r="E635" s="11" t="str">
        <f>+HYPERLINK("http://trademark.i-assist.jp/data/china/image_1925th/82039122.pdf","82039122")</f>
        <v>82039122</v>
      </c>
      <c r="F635" s="9" t="s">
        <v>1728</v>
      </c>
      <c r="G635" s="12" t="s">
        <v>1729</v>
      </c>
      <c r="H635" s="9" t="s">
        <v>1730</v>
      </c>
      <c r="I635" s="10">
        <v>45614</v>
      </c>
    </row>
    <row r="636" spans="1:9" x14ac:dyDescent="0.15">
      <c r="A636" s="9">
        <v>635</v>
      </c>
      <c r="B636" s="9" t="s">
        <v>9</v>
      </c>
      <c r="C636" s="9">
        <v>1925</v>
      </c>
      <c r="D636" s="10">
        <v>45715</v>
      </c>
      <c r="E636" s="11" t="str">
        <f>+HYPERLINK("http://trademark.i-assist.jp/data/china/image_1925th/82039134.pdf","82039134")</f>
        <v>82039134</v>
      </c>
      <c r="F636" s="9" t="s">
        <v>1731</v>
      </c>
      <c r="G636" s="9" t="s">
        <v>1647</v>
      </c>
      <c r="H636" s="9" t="s">
        <v>1732</v>
      </c>
      <c r="I636" s="10">
        <v>45614</v>
      </c>
    </row>
    <row r="637" spans="1:9" x14ac:dyDescent="0.15">
      <c r="A637" s="9">
        <v>636</v>
      </c>
      <c r="B637" s="9" t="s">
        <v>9</v>
      </c>
      <c r="C637" s="9">
        <v>1925</v>
      </c>
      <c r="D637" s="10">
        <v>45715</v>
      </c>
      <c r="E637" s="11" t="str">
        <f>+HYPERLINK("http://trademark.i-assist.jp/data/china/image_1925th/82039228.pdf","82039228")</f>
        <v>82039228</v>
      </c>
      <c r="F637" s="12" t="s">
        <v>1733</v>
      </c>
      <c r="G637" s="9" t="s">
        <v>1734</v>
      </c>
      <c r="H637" s="9" t="s">
        <v>1735</v>
      </c>
      <c r="I637" s="10">
        <v>45614</v>
      </c>
    </row>
    <row r="638" spans="1:9" x14ac:dyDescent="0.15">
      <c r="A638" s="9">
        <v>637</v>
      </c>
      <c r="B638" s="9" t="s">
        <v>9</v>
      </c>
      <c r="C638" s="9">
        <v>1925</v>
      </c>
      <c r="D638" s="10">
        <v>45715</v>
      </c>
      <c r="E638" s="11" t="str">
        <f>+HYPERLINK("http://trademark.i-assist.jp/data/china/image_1925th/82041497.pdf","82041497")</f>
        <v>82041497</v>
      </c>
      <c r="F638" s="9" t="s">
        <v>1736</v>
      </c>
      <c r="G638" s="9" t="s">
        <v>1737</v>
      </c>
      <c r="H638" s="12" t="s">
        <v>1738</v>
      </c>
      <c r="I638" s="10">
        <v>45615</v>
      </c>
    </row>
    <row r="639" spans="1:9" x14ac:dyDescent="0.15">
      <c r="A639" s="9">
        <v>638</v>
      </c>
      <c r="B639" s="9" t="s">
        <v>9</v>
      </c>
      <c r="C639" s="9">
        <v>1925</v>
      </c>
      <c r="D639" s="10">
        <v>45715</v>
      </c>
      <c r="E639" s="11" t="str">
        <f>+HYPERLINK("http://trademark.i-assist.jp/data/china/image_1925th/82042124.pdf","82042124")</f>
        <v>82042124</v>
      </c>
      <c r="F639" s="9" t="s">
        <v>1739</v>
      </c>
      <c r="G639" s="12" t="s">
        <v>1740</v>
      </c>
      <c r="H639" s="9" t="s">
        <v>1741</v>
      </c>
      <c r="I639" s="10">
        <v>45615</v>
      </c>
    </row>
    <row r="640" spans="1:9" x14ac:dyDescent="0.15">
      <c r="A640" s="9">
        <v>639</v>
      </c>
      <c r="B640" s="9" t="s">
        <v>9</v>
      </c>
      <c r="C640" s="9">
        <v>1925</v>
      </c>
      <c r="D640" s="10">
        <v>45715</v>
      </c>
      <c r="E640" s="11" t="str">
        <f>+HYPERLINK("http://trademark.i-assist.jp/data/china/image_1925th/82042682.pdf","82042682")</f>
        <v>82042682</v>
      </c>
      <c r="F640" s="9" t="s">
        <v>1742</v>
      </c>
      <c r="G640" s="9" t="s">
        <v>1743</v>
      </c>
      <c r="H640" s="9" t="s">
        <v>1744</v>
      </c>
      <c r="I640" s="10">
        <v>45615</v>
      </c>
    </row>
    <row r="641" spans="1:9" x14ac:dyDescent="0.15">
      <c r="A641" s="9">
        <v>640</v>
      </c>
      <c r="B641" s="9" t="s">
        <v>9</v>
      </c>
      <c r="C641" s="9">
        <v>1925</v>
      </c>
      <c r="D641" s="10">
        <v>45715</v>
      </c>
      <c r="E641" s="11" t="str">
        <f>+HYPERLINK("http://trademark.i-assist.jp/data/china/image_1925th/82043356.pdf","82043356")</f>
        <v>82043356</v>
      </c>
      <c r="F641" s="9" t="s">
        <v>1745</v>
      </c>
      <c r="G641" s="12" t="s">
        <v>1746</v>
      </c>
      <c r="H641" s="9" t="s">
        <v>1747</v>
      </c>
      <c r="I641" s="10">
        <v>45615</v>
      </c>
    </row>
    <row r="642" spans="1:9" x14ac:dyDescent="0.15">
      <c r="A642" s="9">
        <v>641</v>
      </c>
      <c r="B642" s="9" t="s">
        <v>9</v>
      </c>
      <c r="C642" s="9">
        <v>1925</v>
      </c>
      <c r="D642" s="10">
        <v>45715</v>
      </c>
      <c r="E642" s="11" t="str">
        <f>+HYPERLINK("http://trademark.i-assist.jp/data/china/image_1925th/82044174.pdf","82044174")</f>
        <v>82044174</v>
      </c>
      <c r="F642" s="9" t="s">
        <v>1748</v>
      </c>
      <c r="G642" s="9" t="s">
        <v>1749</v>
      </c>
      <c r="H642" s="9" t="s">
        <v>1750</v>
      </c>
      <c r="I642" s="10">
        <v>45615</v>
      </c>
    </row>
    <row r="643" spans="1:9" x14ac:dyDescent="0.15">
      <c r="A643" s="9">
        <v>642</v>
      </c>
      <c r="B643" s="9" t="s">
        <v>9</v>
      </c>
      <c r="C643" s="9">
        <v>1925</v>
      </c>
      <c r="D643" s="10">
        <v>45715</v>
      </c>
      <c r="E643" s="11" t="str">
        <f>+HYPERLINK("http://trademark.i-assist.jp/data/china/image_1925th/82044358.pdf","82044358")</f>
        <v>82044358</v>
      </c>
      <c r="F643" s="9" t="s">
        <v>1751</v>
      </c>
      <c r="G643" s="9" t="s">
        <v>1752</v>
      </c>
      <c r="H643" s="9" t="s">
        <v>1753</v>
      </c>
      <c r="I643" s="10">
        <v>45615</v>
      </c>
    </row>
    <row r="644" spans="1:9" x14ac:dyDescent="0.15">
      <c r="A644" s="9">
        <v>643</v>
      </c>
      <c r="B644" s="9" t="s">
        <v>9</v>
      </c>
      <c r="C644" s="9">
        <v>1925</v>
      </c>
      <c r="D644" s="10">
        <v>45715</v>
      </c>
      <c r="E644" s="11" t="str">
        <f>+HYPERLINK("http://trademark.i-assist.jp/data/china/image_1925th/82044660.pdf","82044660")</f>
        <v>82044660</v>
      </c>
      <c r="F644" s="9" t="s">
        <v>1754</v>
      </c>
      <c r="G644" s="9" t="s">
        <v>1755</v>
      </c>
      <c r="H644" s="9" t="s">
        <v>1756</v>
      </c>
      <c r="I644" s="10">
        <v>45615</v>
      </c>
    </row>
    <row r="645" spans="1:9" x14ac:dyDescent="0.15">
      <c r="A645" s="9">
        <v>644</v>
      </c>
      <c r="B645" s="9" t="s">
        <v>9</v>
      </c>
      <c r="C645" s="9">
        <v>1925</v>
      </c>
      <c r="D645" s="10">
        <v>45715</v>
      </c>
      <c r="E645" s="11" t="str">
        <f>+HYPERLINK("http://trademark.i-assist.jp/data/china/image_1925th/82044677.pdf","82044677")</f>
        <v>82044677</v>
      </c>
      <c r="F645" s="9" t="s">
        <v>1757</v>
      </c>
      <c r="G645" s="9" t="s">
        <v>1758</v>
      </c>
      <c r="H645" s="9" t="s">
        <v>1759</v>
      </c>
      <c r="I645" s="10">
        <v>45615</v>
      </c>
    </row>
    <row r="646" spans="1:9" x14ac:dyDescent="0.15">
      <c r="A646" s="9">
        <v>645</v>
      </c>
      <c r="B646" s="9" t="s">
        <v>9</v>
      </c>
      <c r="C646" s="9">
        <v>1925</v>
      </c>
      <c r="D646" s="10">
        <v>45715</v>
      </c>
      <c r="E646" s="11" t="str">
        <f>+HYPERLINK("http://trademark.i-assist.jp/data/china/image_1925th/82045981.pdf","82045981")</f>
        <v>82045981</v>
      </c>
      <c r="F646" s="12" t="s">
        <v>1760</v>
      </c>
      <c r="G646" s="9" t="s">
        <v>1761</v>
      </c>
      <c r="H646" s="9" t="s">
        <v>1762</v>
      </c>
      <c r="I646" s="10">
        <v>45615</v>
      </c>
    </row>
    <row r="647" spans="1:9" x14ac:dyDescent="0.15">
      <c r="A647" s="9">
        <v>646</v>
      </c>
      <c r="B647" s="9" t="s">
        <v>9</v>
      </c>
      <c r="C647" s="9">
        <v>1925</v>
      </c>
      <c r="D647" s="10">
        <v>45715</v>
      </c>
      <c r="E647" s="11" t="str">
        <f>+HYPERLINK("http://trademark.i-assist.jp/data/china/image_1925th/82046313.pdf","82046313")</f>
        <v>82046313</v>
      </c>
      <c r="F647" s="12" t="s">
        <v>1763</v>
      </c>
      <c r="G647" s="9" t="s">
        <v>1764</v>
      </c>
      <c r="H647" s="9" t="s">
        <v>1765</v>
      </c>
      <c r="I647" s="10">
        <v>45615</v>
      </c>
    </row>
    <row r="648" spans="1:9" x14ac:dyDescent="0.15">
      <c r="A648" s="9">
        <v>647</v>
      </c>
      <c r="B648" s="9" t="s">
        <v>9</v>
      </c>
      <c r="C648" s="9">
        <v>1925</v>
      </c>
      <c r="D648" s="10">
        <v>45715</v>
      </c>
      <c r="E648" s="11" t="str">
        <f>+HYPERLINK("http://trademark.i-assist.jp/data/china/image_1925th/82046582.pdf","82046582")</f>
        <v>82046582</v>
      </c>
      <c r="F648" s="12" t="s">
        <v>1766</v>
      </c>
      <c r="G648" s="9" t="s">
        <v>1767</v>
      </c>
      <c r="H648" s="12" t="s">
        <v>1768</v>
      </c>
      <c r="I648" s="10">
        <v>45615</v>
      </c>
    </row>
    <row r="649" spans="1:9" x14ac:dyDescent="0.15">
      <c r="A649" s="9">
        <v>648</v>
      </c>
      <c r="B649" s="9" t="s">
        <v>9</v>
      </c>
      <c r="C649" s="9">
        <v>1925</v>
      </c>
      <c r="D649" s="10">
        <v>45715</v>
      </c>
      <c r="E649" s="11" t="str">
        <f>+HYPERLINK("http://trademark.i-assist.jp/data/china/image_1925th/82048481.pdf","82048481")</f>
        <v>82048481</v>
      </c>
      <c r="F649" s="9" t="s">
        <v>1769</v>
      </c>
      <c r="G649" s="9" t="s">
        <v>1758</v>
      </c>
      <c r="H649" s="9" t="s">
        <v>1770</v>
      </c>
      <c r="I649" s="10">
        <v>45615</v>
      </c>
    </row>
    <row r="650" spans="1:9" x14ac:dyDescent="0.15">
      <c r="A650" s="9">
        <v>649</v>
      </c>
      <c r="B650" s="9" t="s">
        <v>9</v>
      </c>
      <c r="C650" s="9">
        <v>1925</v>
      </c>
      <c r="D650" s="10">
        <v>45715</v>
      </c>
      <c r="E650" s="11" t="str">
        <f>+HYPERLINK("http://trademark.i-assist.jp/data/china/image_1925th/82049840.pdf","82049840")</f>
        <v>82049840</v>
      </c>
      <c r="F650" s="12" t="s">
        <v>57</v>
      </c>
      <c r="G650" s="9" t="s">
        <v>1771</v>
      </c>
      <c r="H650" s="12" t="s">
        <v>1772</v>
      </c>
      <c r="I650" s="10">
        <v>45615</v>
      </c>
    </row>
    <row r="651" spans="1:9" x14ac:dyDescent="0.15">
      <c r="A651" s="9">
        <v>650</v>
      </c>
      <c r="B651" s="9" t="s">
        <v>9</v>
      </c>
      <c r="C651" s="9">
        <v>1925</v>
      </c>
      <c r="D651" s="10">
        <v>45715</v>
      </c>
      <c r="E651" s="11" t="str">
        <f>+HYPERLINK("http://trademark.i-assist.jp/data/china/image_1925th/82050220.pdf","82050220")</f>
        <v>82050220</v>
      </c>
      <c r="F651" s="9" t="s">
        <v>1773</v>
      </c>
      <c r="G651" s="9" t="s">
        <v>1774</v>
      </c>
      <c r="H651" s="9" t="s">
        <v>1775</v>
      </c>
      <c r="I651" s="10">
        <v>45615</v>
      </c>
    </row>
    <row r="652" spans="1:9" x14ac:dyDescent="0.15">
      <c r="A652" s="9">
        <v>651</v>
      </c>
      <c r="B652" s="9" t="s">
        <v>9</v>
      </c>
      <c r="C652" s="9">
        <v>1925</v>
      </c>
      <c r="D652" s="10">
        <v>45715</v>
      </c>
      <c r="E652" s="11" t="str">
        <f>+HYPERLINK("http://trademark.i-assist.jp/data/china/image_1925th/82050275.pdf","82050275")</f>
        <v>82050275</v>
      </c>
      <c r="F652" s="9" t="s">
        <v>1776</v>
      </c>
      <c r="G652" s="9" t="s">
        <v>1777</v>
      </c>
      <c r="H652" s="9" t="s">
        <v>1778</v>
      </c>
      <c r="I652" s="10">
        <v>45615</v>
      </c>
    </row>
    <row r="653" spans="1:9" x14ac:dyDescent="0.15">
      <c r="A653" s="9">
        <v>652</v>
      </c>
      <c r="B653" s="9" t="s">
        <v>9</v>
      </c>
      <c r="C653" s="9">
        <v>1925</v>
      </c>
      <c r="D653" s="10">
        <v>45715</v>
      </c>
      <c r="E653" s="11" t="str">
        <f>+HYPERLINK("http://trademark.i-assist.jp/data/china/image_1925th/82050301.pdf","82050301")</f>
        <v>82050301</v>
      </c>
      <c r="F653" s="9" t="s">
        <v>1779</v>
      </c>
      <c r="G653" s="9" t="s">
        <v>1777</v>
      </c>
      <c r="H653" s="9" t="s">
        <v>1780</v>
      </c>
      <c r="I653" s="10">
        <v>45615</v>
      </c>
    </row>
    <row r="654" spans="1:9" x14ac:dyDescent="0.15">
      <c r="A654" s="9">
        <v>653</v>
      </c>
      <c r="B654" s="9" t="s">
        <v>9</v>
      </c>
      <c r="C654" s="9">
        <v>1925</v>
      </c>
      <c r="D654" s="10">
        <v>45715</v>
      </c>
      <c r="E654" s="11" t="str">
        <f>+HYPERLINK("http://trademark.i-assist.jp/data/china/image_1925th/82050377.pdf","82050377")</f>
        <v>82050377</v>
      </c>
      <c r="F654" s="9" t="s">
        <v>1781</v>
      </c>
      <c r="G654" s="9" t="s">
        <v>1782</v>
      </c>
      <c r="H654" s="9" t="s">
        <v>1783</v>
      </c>
      <c r="I654" s="10">
        <v>45615</v>
      </c>
    </row>
    <row r="655" spans="1:9" x14ac:dyDescent="0.15">
      <c r="A655" s="9">
        <v>654</v>
      </c>
      <c r="B655" s="9" t="s">
        <v>9</v>
      </c>
      <c r="C655" s="9">
        <v>1925</v>
      </c>
      <c r="D655" s="10">
        <v>45715</v>
      </c>
      <c r="E655" s="11" t="str">
        <f>+HYPERLINK("http://trademark.i-assist.jp/data/china/image_1925th/82051220.pdf","82051220")</f>
        <v>82051220</v>
      </c>
      <c r="F655" s="9" t="s">
        <v>1784</v>
      </c>
      <c r="G655" s="9" t="s">
        <v>1785</v>
      </c>
      <c r="H655" s="9" t="s">
        <v>1786</v>
      </c>
      <c r="I655" s="10">
        <v>45615</v>
      </c>
    </row>
    <row r="656" spans="1:9" x14ac:dyDescent="0.15">
      <c r="A656" s="9">
        <v>655</v>
      </c>
      <c r="B656" s="9" t="s">
        <v>9</v>
      </c>
      <c r="C656" s="9">
        <v>1925</v>
      </c>
      <c r="D656" s="10">
        <v>45715</v>
      </c>
      <c r="E656" s="11" t="str">
        <f>+HYPERLINK("http://trademark.i-assist.jp/data/china/image_1925th/82051813.pdf","82051813")</f>
        <v>82051813</v>
      </c>
      <c r="F656" s="9" t="s">
        <v>1787</v>
      </c>
      <c r="G656" s="12" t="s">
        <v>1788</v>
      </c>
      <c r="H656" s="9" t="s">
        <v>1789</v>
      </c>
      <c r="I656" s="10">
        <v>45615</v>
      </c>
    </row>
    <row r="657" spans="1:9" x14ac:dyDescent="0.15">
      <c r="A657" s="9">
        <v>656</v>
      </c>
      <c r="B657" s="9" t="s">
        <v>9</v>
      </c>
      <c r="C657" s="9">
        <v>1925</v>
      </c>
      <c r="D657" s="10">
        <v>45715</v>
      </c>
      <c r="E657" s="11" t="str">
        <f>+HYPERLINK("http://trademark.i-assist.jp/data/china/image_1925th/82052089.pdf","82052089")</f>
        <v>82052089</v>
      </c>
      <c r="F657" s="9" t="s">
        <v>1790</v>
      </c>
      <c r="G657" s="9" t="s">
        <v>1791</v>
      </c>
      <c r="H657" s="9" t="s">
        <v>1792</v>
      </c>
      <c r="I657" s="10">
        <v>45615</v>
      </c>
    </row>
    <row r="658" spans="1:9" x14ac:dyDescent="0.15">
      <c r="A658" s="9">
        <v>657</v>
      </c>
      <c r="B658" s="9" t="s">
        <v>9</v>
      </c>
      <c r="C658" s="9">
        <v>1925</v>
      </c>
      <c r="D658" s="10">
        <v>45715</v>
      </c>
      <c r="E658" s="11" t="str">
        <f>+HYPERLINK("http://trademark.i-assist.jp/data/china/image_1925th/82052308.pdf","82052308")</f>
        <v>82052308</v>
      </c>
      <c r="F658" s="9" t="s">
        <v>1793</v>
      </c>
      <c r="G658" s="9" t="s">
        <v>1794</v>
      </c>
      <c r="H658" s="9" t="s">
        <v>1795</v>
      </c>
      <c r="I658" s="10">
        <v>45615</v>
      </c>
    </row>
    <row r="659" spans="1:9" x14ac:dyDescent="0.15">
      <c r="A659" s="9">
        <v>658</v>
      </c>
      <c r="B659" s="9" t="s">
        <v>9</v>
      </c>
      <c r="C659" s="9">
        <v>1925</v>
      </c>
      <c r="D659" s="10">
        <v>45715</v>
      </c>
      <c r="E659" s="11" t="str">
        <f>+HYPERLINK("http://trademark.i-assist.jp/data/china/image_1925th/82052429.pdf","82052429")</f>
        <v>82052429</v>
      </c>
      <c r="F659" s="12" t="s">
        <v>1796</v>
      </c>
      <c r="G659" s="9" t="s">
        <v>24</v>
      </c>
      <c r="H659" s="9" t="s">
        <v>1797</v>
      </c>
      <c r="I659" s="10">
        <v>45615</v>
      </c>
    </row>
    <row r="660" spans="1:9" x14ac:dyDescent="0.15">
      <c r="A660" s="9">
        <v>659</v>
      </c>
      <c r="B660" s="9" t="s">
        <v>9</v>
      </c>
      <c r="C660" s="9">
        <v>1925</v>
      </c>
      <c r="D660" s="10">
        <v>45715</v>
      </c>
      <c r="E660" s="11" t="str">
        <f>+HYPERLINK("http://trademark.i-assist.jp/data/china/image_1925th/82052464.pdf","82052464")</f>
        <v>82052464</v>
      </c>
      <c r="F660" s="12" t="s">
        <v>1798</v>
      </c>
      <c r="G660" s="9" t="s">
        <v>1799</v>
      </c>
      <c r="H660" s="9" t="s">
        <v>1800</v>
      </c>
      <c r="I660" s="10">
        <v>45615</v>
      </c>
    </row>
    <row r="661" spans="1:9" x14ac:dyDescent="0.15">
      <c r="A661" s="9">
        <v>660</v>
      </c>
      <c r="B661" s="9" t="s">
        <v>9</v>
      </c>
      <c r="C661" s="9">
        <v>1925</v>
      </c>
      <c r="D661" s="10">
        <v>45715</v>
      </c>
      <c r="E661" s="11" t="str">
        <f>+HYPERLINK("http://trademark.i-assist.jp/data/china/image_1925th/82052512.pdf","82052512")</f>
        <v>82052512</v>
      </c>
      <c r="F661" s="9" t="s">
        <v>1801</v>
      </c>
      <c r="G661" s="12" t="s">
        <v>1802</v>
      </c>
      <c r="H661" s="9" t="s">
        <v>1803</v>
      </c>
      <c r="I661" s="10">
        <v>45615</v>
      </c>
    </row>
    <row r="662" spans="1:9" x14ac:dyDescent="0.15">
      <c r="A662" s="9">
        <v>661</v>
      </c>
      <c r="B662" s="9" t="s">
        <v>9</v>
      </c>
      <c r="C662" s="9">
        <v>1925</v>
      </c>
      <c r="D662" s="10">
        <v>45715</v>
      </c>
      <c r="E662" s="11" t="str">
        <f>+HYPERLINK("http://trademark.i-assist.jp/data/china/image_1925th/82053285.pdf","82053285")</f>
        <v>82053285</v>
      </c>
      <c r="F662" s="12" t="s">
        <v>1804</v>
      </c>
      <c r="G662" s="9" t="s">
        <v>1805</v>
      </c>
      <c r="H662" s="9" t="s">
        <v>1806</v>
      </c>
      <c r="I662" s="10">
        <v>45615</v>
      </c>
    </row>
    <row r="663" spans="1:9" x14ac:dyDescent="0.15">
      <c r="A663" s="9">
        <v>662</v>
      </c>
      <c r="B663" s="9" t="s">
        <v>9</v>
      </c>
      <c r="C663" s="9">
        <v>1925</v>
      </c>
      <c r="D663" s="10">
        <v>45715</v>
      </c>
      <c r="E663" s="11" t="str">
        <f>+HYPERLINK("http://trademark.i-assist.jp/data/china/image_1925th/82053604.pdf","82053604")</f>
        <v>82053604</v>
      </c>
      <c r="F663" s="9" t="s">
        <v>1807</v>
      </c>
      <c r="G663" s="9" t="s">
        <v>1761</v>
      </c>
      <c r="H663" s="9" t="s">
        <v>1808</v>
      </c>
      <c r="I663" s="10">
        <v>45615</v>
      </c>
    </row>
    <row r="664" spans="1:9" x14ac:dyDescent="0.15">
      <c r="A664" s="9">
        <v>663</v>
      </c>
      <c r="B664" s="9" t="s">
        <v>9</v>
      </c>
      <c r="C664" s="9">
        <v>1925</v>
      </c>
      <c r="D664" s="10">
        <v>45715</v>
      </c>
      <c r="E664" s="11" t="str">
        <f>+HYPERLINK("http://trademark.i-assist.jp/data/china/image_1925th/82053818.pdf","82053818")</f>
        <v>82053818</v>
      </c>
      <c r="F664" s="12" t="s">
        <v>57</v>
      </c>
      <c r="G664" s="9" t="s">
        <v>1809</v>
      </c>
      <c r="H664" s="9" t="s">
        <v>1810</v>
      </c>
      <c r="I664" s="10">
        <v>45615</v>
      </c>
    </row>
    <row r="665" spans="1:9" x14ac:dyDescent="0.15">
      <c r="A665" s="9">
        <v>664</v>
      </c>
      <c r="B665" s="9" t="s">
        <v>9</v>
      </c>
      <c r="C665" s="9">
        <v>1925</v>
      </c>
      <c r="D665" s="10">
        <v>45715</v>
      </c>
      <c r="E665" s="11" t="str">
        <f>+HYPERLINK("http://trademark.i-assist.jp/data/china/image_1925th/82053825.pdf","82053825")</f>
        <v>82053825</v>
      </c>
      <c r="F665" s="12" t="s">
        <v>57</v>
      </c>
      <c r="G665" s="9" t="s">
        <v>1809</v>
      </c>
      <c r="H665" s="9" t="s">
        <v>1811</v>
      </c>
      <c r="I665" s="10">
        <v>45615</v>
      </c>
    </row>
    <row r="666" spans="1:9" x14ac:dyDescent="0.15">
      <c r="A666" s="9">
        <v>665</v>
      </c>
      <c r="B666" s="9" t="s">
        <v>9</v>
      </c>
      <c r="C666" s="9">
        <v>1925</v>
      </c>
      <c r="D666" s="10">
        <v>45715</v>
      </c>
      <c r="E666" s="11" t="str">
        <f>+HYPERLINK("http://trademark.i-assist.jp/data/china/image_1925th/82054968.pdf","82054968")</f>
        <v>82054968</v>
      </c>
      <c r="F666" s="12" t="s">
        <v>1812</v>
      </c>
      <c r="G666" s="12" t="s">
        <v>1813</v>
      </c>
      <c r="H666" s="9" t="s">
        <v>1814</v>
      </c>
      <c r="I666" s="10">
        <v>45615</v>
      </c>
    </row>
    <row r="667" spans="1:9" x14ac:dyDescent="0.15">
      <c r="A667" s="9">
        <v>666</v>
      </c>
      <c r="B667" s="9" t="s">
        <v>9</v>
      </c>
      <c r="C667" s="9">
        <v>1925</v>
      </c>
      <c r="D667" s="10">
        <v>45715</v>
      </c>
      <c r="E667" s="11" t="str">
        <f>+HYPERLINK("http://trademark.i-assist.jp/data/china/image_1925th/82054990.pdf","82054990")</f>
        <v>82054990</v>
      </c>
      <c r="F667" s="12" t="s">
        <v>1815</v>
      </c>
      <c r="G667" s="9" t="s">
        <v>1794</v>
      </c>
      <c r="H667" s="9" t="s">
        <v>1816</v>
      </c>
      <c r="I667" s="10">
        <v>45615</v>
      </c>
    </row>
    <row r="668" spans="1:9" x14ac:dyDescent="0.15">
      <c r="A668" s="9">
        <v>667</v>
      </c>
      <c r="B668" s="9" t="s">
        <v>9</v>
      </c>
      <c r="C668" s="9">
        <v>1925</v>
      </c>
      <c r="D668" s="10">
        <v>45715</v>
      </c>
      <c r="E668" s="11" t="str">
        <f>+HYPERLINK("http://trademark.i-assist.jp/data/china/image_1925th/82054997.pdf","82054997")</f>
        <v>82054997</v>
      </c>
      <c r="F668" s="12" t="s">
        <v>1817</v>
      </c>
      <c r="G668" s="9" t="s">
        <v>1794</v>
      </c>
      <c r="H668" s="9" t="s">
        <v>1818</v>
      </c>
      <c r="I668" s="10">
        <v>45615</v>
      </c>
    </row>
    <row r="669" spans="1:9" x14ac:dyDescent="0.15">
      <c r="A669" s="9">
        <v>668</v>
      </c>
      <c r="B669" s="9" t="s">
        <v>9</v>
      </c>
      <c r="C669" s="9">
        <v>1925</v>
      </c>
      <c r="D669" s="10">
        <v>45715</v>
      </c>
      <c r="E669" s="11" t="str">
        <f>+HYPERLINK("http://trademark.i-assist.jp/data/china/image_1925th/82055679.pdf","82055679")</f>
        <v>82055679</v>
      </c>
      <c r="F669" s="9" t="s">
        <v>1819</v>
      </c>
      <c r="G669" s="9" t="s">
        <v>1820</v>
      </c>
      <c r="H669" s="12" t="s">
        <v>1821</v>
      </c>
      <c r="I669" s="10">
        <v>45615</v>
      </c>
    </row>
    <row r="670" spans="1:9" x14ac:dyDescent="0.15">
      <c r="A670" s="9">
        <v>669</v>
      </c>
      <c r="B670" s="9" t="s">
        <v>9</v>
      </c>
      <c r="C670" s="9">
        <v>1925</v>
      </c>
      <c r="D670" s="10">
        <v>45715</v>
      </c>
      <c r="E670" s="11" t="str">
        <f>+HYPERLINK("http://trademark.i-assist.jp/data/china/image_1925th/82056090.pdf","82056090")</f>
        <v>82056090</v>
      </c>
      <c r="F670" s="9" t="s">
        <v>1822</v>
      </c>
      <c r="G670" s="9" t="s">
        <v>1777</v>
      </c>
      <c r="H670" s="9" t="s">
        <v>1823</v>
      </c>
      <c r="I670" s="10">
        <v>45615</v>
      </c>
    </row>
    <row r="671" spans="1:9" x14ac:dyDescent="0.15">
      <c r="A671" s="9">
        <v>670</v>
      </c>
      <c r="B671" s="9" t="s">
        <v>9</v>
      </c>
      <c r="C671" s="9">
        <v>1925</v>
      </c>
      <c r="D671" s="10">
        <v>45715</v>
      </c>
      <c r="E671" s="11" t="str">
        <f>+HYPERLINK("http://trademark.i-assist.jp/data/china/image_1925th/82056100.pdf","82056100")</f>
        <v>82056100</v>
      </c>
      <c r="F671" s="9" t="s">
        <v>1824</v>
      </c>
      <c r="G671" s="9" t="s">
        <v>1777</v>
      </c>
      <c r="H671" s="9" t="s">
        <v>1825</v>
      </c>
      <c r="I671" s="10">
        <v>45615</v>
      </c>
    </row>
    <row r="672" spans="1:9" x14ac:dyDescent="0.15">
      <c r="A672" s="9">
        <v>671</v>
      </c>
      <c r="B672" s="9" t="s">
        <v>9</v>
      </c>
      <c r="C672" s="9">
        <v>1925</v>
      </c>
      <c r="D672" s="10">
        <v>45715</v>
      </c>
      <c r="E672" s="11" t="str">
        <f>+HYPERLINK("http://trademark.i-assist.jp/data/china/image_1925th/82056675.pdf","82056675")</f>
        <v>82056675</v>
      </c>
      <c r="F672" s="12" t="s">
        <v>1826</v>
      </c>
      <c r="G672" s="9" t="s">
        <v>1827</v>
      </c>
      <c r="H672" s="9" t="s">
        <v>1828</v>
      </c>
      <c r="I672" s="10">
        <v>45615</v>
      </c>
    </row>
    <row r="673" spans="1:9" x14ac:dyDescent="0.15">
      <c r="A673" s="9">
        <v>672</v>
      </c>
      <c r="B673" s="9" t="s">
        <v>9</v>
      </c>
      <c r="C673" s="9">
        <v>1925</v>
      </c>
      <c r="D673" s="10">
        <v>45715</v>
      </c>
      <c r="E673" s="11" t="str">
        <f>+HYPERLINK("http://trademark.i-assist.jp/data/china/image_1925th/82056872.pdf","82056872")</f>
        <v>82056872</v>
      </c>
      <c r="F673" s="9" t="s">
        <v>1829</v>
      </c>
      <c r="G673" s="9" t="s">
        <v>1830</v>
      </c>
      <c r="H673" s="12" t="s">
        <v>1831</v>
      </c>
      <c r="I673" s="10">
        <v>45615</v>
      </c>
    </row>
    <row r="674" spans="1:9" x14ac:dyDescent="0.15">
      <c r="A674" s="9">
        <v>673</v>
      </c>
      <c r="B674" s="9" t="s">
        <v>9</v>
      </c>
      <c r="C674" s="9">
        <v>1925</v>
      </c>
      <c r="D674" s="10">
        <v>45715</v>
      </c>
      <c r="E674" s="11" t="str">
        <f>+HYPERLINK("http://trademark.i-assist.jp/data/china/image_1925th/82058158.pdf","82058158")</f>
        <v>82058158</v>
      </c>
      <c r="F674" s="12" t="s">
        <v>1832</v>
      </c>
      <c r="G674" s="9" t="s">
        <v>1833</v>
      </c>
      <c r="H674" s="9" t="s">
        <v>1834</v>
      </c>
      <c r="I674" s="10">
        <v>45615</v>
      </c>
    </row>
    <row r="675" spans="1:9" x14ac:dyDescent="0.15">
      <c r="A675" s="9">
        <v>674</v>
      </c>
      <c r="B675" s="9" t="s">
        <v>9</v>
      </c>
      <c r="C675" s="9">
        <v>1925</v>
      </c>
      <c r="D675" s="10">
        <v>45715</v>
      </c>
      <c r="E675" s="11" t="str">
        <f>+HYPERLINK("http://trademark.i-assist.jp/data/china/image_1925th/82058292.pdf","82058292")</f>
        <v>82058292</v>
      </c>
      <c r="F675" s="9" t="s">
        <v>1835</v>
      </c>
      <c r="G675" s="12" t="s">
        <v>1836</v>
      </c>
      <c r="H675" s="9" t="s">
        <v>1837</v>
      </c>
      <c r="I675" s="10">
        <v>45615</v>
      </c>
    </row>
    <row r="676" spans="1:9" x14ac:dyDescent="0.15">
      <c r="A676" s="9">
        <v>675</v>
      </c>
      <c r="B676" s="9" t="s">
        <v>9</v>
      </c>
      <c r="C676" s="9">
        <v>1925</v>
      </c>
      <c r="D676" s="10">
        <v>45715</v>
      </c>
      <c r="E676" s="11" t="str">
        <f>+HYPERLINK("http://trademark.i-assist.jp/data/china/image_1925th/82058386.pdf","82058386")</f>
        <v>82058386</v>
      </c>
      <c r="F676" s="9" t="s">
        <v>1838</v>
      </c>
      <c r="G676" s="9" t="s">
        <v>1839</v>
      </c>
      <c r="H676" s="9" t="s">
        <v>1840</v>
      </c>
      <c r="I676" s="10">
        <v>45615</v>
      </c>
    </row>
    <row r="677" spans="1:9" x14ac:dyDescent="0.15">
      <c r="A677" s="9">
        <v>676</v>
      </c>
      <c r="B677" s="9" t="s">
        <v>9</v>
      </c>
      <c r="C677" s="9">
        <v>1925</v>
      </c>
      <c r="D677" s="10">
        <v>45715</v>
      </c>
      <c r="E677" s="11" t="str">
        <f>+HYPERLINK("http://trademark.i-assist.jp/data/china/image_1925th/82058742.pdf","82058742")</f>
        <v>82058742</v>
      </c>
      <c r="F677" s="9" t="s">
        <v>1841</v>
      </c>
      <c r="G677" s="9" t="s">
        <v>1842</v>
      </c>
      <c r="H677" s="12" t="s">
        <v>1843</v>
      </c>
      <c r="I677" s="10">
        <v>45615</v>
      </c>
    </row>
    <row r="678" spans="1:9" x14ac:dyDescent="0.15">
      <c r="A678" s="9">
        <v>677</v>
      </c>
      <c r="B678" s="9" t="s">
        <v>9</v>
      </c>
      <c r="C678" s="9">
        <v>1925</v>
      </c>
      <c r="D678" s="10">
        <v>45715</v>
      </c>
      <c r="E678" s="11" t="str">
        <f>+HYPERLINK("http://trademark.i-assist.jp/data/china/image_1925th/82060161.pdf","82060161")</f>
        <v>82060161</v>
      </c>
      <c r="F678" s="9" t="s">
        <v>1844</v>
      </c>
      <c r="G678" s="12" t="s">
        <v>1845</v>
      </c>
      <c r="H678" s="9" t="s">
        <v>1846</v>
      </c>
      <c r="I678" s="10">
        <v>45615</v>
      </c>
    </row>
    <row r="679" spans="1:9" x14ac:dyDescent="0.15">
      <c r="A679" s="9">
        <v>678</v>
      </c>
      <c r="B679" s="9" t="s">
        <v>9</v>
      </c>
      <c r="C679" s="9">
        <v>1925</v>
      </c>
      <c r="D679" s="10">
        <v>45715</v>
      </c>
      <c r="E679" s="11" t="str">
        <f>+HYPERLINK("http://trademark.i-assist.jp/data/china/image_1925th/82060809.pdf","82060809")</f>
        <v>82060809</v>
      </c>
      <c r="F679" s="9" t="s">
        <v>1847</v>
      </c>
      <c r="G679" s="9" t="s">
        <v>1848</v>
      </c>
      <c r="H679" s="9" t="s">
        <v>1849</v>
      </c>
      <c r="I679" s="10">
        <v>45615</v>
      </c>
    </row>
    <row r="680" spans="1:9" x14ac:dyDescent="0.15">
      <c r="A680" s="9">
        <v>679</v>
      </c>
      <c r="B680" s="9" t="s">
        <v>9</v>
      </c>
      <c r="C680" s="9">
        <v>1925</v>
      </c>
      <c r="D680" s="10">
        <v>45715</v>
      </c>
      <c r="E680" s="11" t="str">
        <f>+HYPERLINK("http://trademark.i-assist.jp/data/china/image_1925th/82061181.pdf","82061181")</f>
        <v>82061181</v>
      </c>
      <c r="F680" s="9" t="s">
        <v>1850</v>
      </c>
      <c r="G680" s="9" t="s">
        <v>1752</v>
      </c>
      <c r="H680" s="9" t="s">
        <v>1851</v>
      </c>
      <c r="I680" s="10">
        <v>45615</v>
      </c>
    </row>
    <row r="681" spans="1:9" x14ac:dyDescent="0.15">
      <c r="A681" s="9">
        <v>680</v>
      </c>
      <c r="B681" s="9" t="s">
        <v>9</v>
      </c>
      <c r="C681" s="9">
        <v>1925</v>
      </c>
      <c r="D681" s="10">
        <v>45715</v>
      </c>
      <c r="E681" s="11" t="str">
        <f>+HYPERLINK("http://trademark.i-assist.jp/data/china/image_1925th/82061463.pdf","82061463")</f>
        <v>82061463</v>
      </c>
      <c r="F681" s="12" t="s">
        <v>1852</v>
      </c>
      <c r="G681" s="9" t="s">
        <v>1805</v>
      </c>
      <c r="H681" s="9" t="s">
        <v>1853</v>
      </c>
      <c r="I681" s="10">
        <v>45615</v>
      </c>
    </row>
    <row r="682" spans="1:9" x14ac:dyDescent="0.15">
      <c r="A682" s="9">
        <v>681</v>
      </c>
      <c r="B682" s="9" t="s">
        <v>9</v>
      </c>
      <c r="C682" s="9">
        <v>1925</v>
      </c>
      <c r="D682" s="10">
        <v>45715</v>
      </c>
      <c r="E682" s="11" t="str">
        <f>+HYPERLINK("http://trademark.i-assist.jp/data/china/image_1925th/82062695.pdf","82062695")</f>
        <v>82062695</v>
      </c>
      <c r="F682" s="12" t="s">
        <v>1854</v>
      </c>
      <c r="G682" s="12" t="s">
        <v>1855</v>
      </c>
      <c r="H682" s="9" t="s">
        <v>1856</v>
      </c>
      <c r="I682" s="10">
        <v>45615</v>
      </c>
    </row>
    <row r="683" spans="1:9" x14ac:dyDescent="0.15">
      <c r="A683" s="9">
        <v>682</v>
      </c>
      <c r="B683" s="9" t="s">
        <v>9</v>
      </c>
      <c r="C683" s="9">
        <v>1925</v>
      </c>
      <c r="D683" s="10">
        <v>45715</v>
      </c>
      <c r="E683" s="11" t="str">
        <f>+HYPERLINK("http://trademark.i-assist.jp/data/china/image_1925th/82062698.pdf","82062698")</f>
        <v>82062698</v>
      </c>
      <c r="F683" s="12" t="s">
        <v>1857</v>
      </c>
      <c r="G683" s="9" t="s">
        <v>1805</v>
      </c>
      <c r="H683" s="12" t="s">
        <v>1858</v>
      </c>
      <c r="I683" s="10">
        <v>45615</v>
      </c>
    </row>
    <row r="684" spans="1:9" x14ac:dyDescent="0.15">
      <c r="A684" s="9">
        <v>683</v>
      </c>
      <c r="B684" s="9" t="s">
        <v>9</v>
      </c>
      <c r="C684" s="9">
        <v>1925</v>
      </c>
      <c r="D684" s="10">
        <v>45715</v>
      </c>
      <c r="E684" s="11" t="str">
        <f>+HYPERLINK("http://trademark.i-assist.jp/data/china/image_1925th/82062943.pdf","82062943")</f>
        <v>82062943</v>
      </c>
      <c r="F684" s="9" t="s">
        <v>1859</v>
      </c>
      <c r="G684" s="9" t="s">
        <v>1767</v>
      </c>
      <c r="H684" s="9" t="s">
        <v>1860</v>
      </c>
      <c r="I684" s="10">
        <v>45615</v>
      </c>
    </row>
    <row r="685" spans="1:9" x14ac:dyDescent="0.15">
      <c r="A685" s="9">
        <v>684</v>
      </c>
      <c r="B685" s="9" t="s">
        <v>9</v>
      </c>
      <c r="C685" s="9">
        <v>1925</v>
      </c>
      <c r="D685" s="10">
        <v>45715</v>
      </c>
      <c r="E685" s="11" t="str">
        <f>+HYPERLINK("http://trademark.i-assist.jp/data/china/image_1925th/82063198.pdf","82063198")</f>
        <v>82063198</v>
      </c>
      <c r="F685" s="12" t="s">
        <v>1861</v>
      </c>
      <c r="G685" s="9" t="s">
        <v>1862</v>
      </c>
      <c r="H685" s="9" t="s">
        <v>1863</v>
      </c>
      <c r="I685" s="10">
        <v>45615</v>
      </c>
    </row>
    <row r="686" spans="1:9" x14ac:dyDescent="0.15">
      <c r="A686" s="9">
        <v>685</v>
      </c>
      <c r="B686" s="9" t="s">
        <v>9</v>
      </c>
      <c r="C686" s="9">
        <v>1925</v>
      </c>
      <c r="D686" s="10">
        <v>45715</v>
      </c>
      <c r="E686" s="11" t="str">
        <f>+HYPERLINK("http://trademark.i-assist.jp/data/china/image_1925th/82063767.pdf","82063767")</f>
        <v>82063767</v>
      </c>
      <c r="F686" s="9" t="s">
        <v>1864</v>
      </c>
      <c r="G686" s="9" t="s">
        <v>1865</v>
      </c>
      <c r="H686" s="9" t="s">
        <v>1866</v>
      </c>
      <c r="I686" s="10">
        <v>45615</v>
      </c>
    </row>
    <row r="687" spans="1:9" x14ac:dyDescent="0.15">
      <c r="A687" s="9">
        <v>686</v>
      </c>
      <c r="B687" s="9" t="s">
        <v>9</v>
      </c>
      <c r="C687" s="9">
        <v>1925</v>
      </c>
      <c r="D687" s="10">
        <v>45715</v>
      </c>
      <c r="E687" s="11" t="str">
        <f>+HYPERLINK("http://trademark.i-assist.jp/data/china/image_1925th/82064227.pdf","82064227")</f>
        <v>82064227</v>
      </c>
      <c r="F687" s="9" t="s">
        <v>1867</v>
      </c>
      <c r="G687" s="9" t="s">
        <v>1761</v>
      </c>
      <c r="H687" s="9" t="s">
        <v>1868</v>
      </c>
      <c r="I687" s="10">
        <v>45615</v>
      </c>
    </row>
    <row r="688" spans="1:9" x14ac:dyDescent="0.15">
      <c r="A688" s="9">
        <v>687</v>
      </c>
      <c r="B688" s="9" t="s">
        <v>9</v>
      </c>
      <c r="C688" s="9">
        <v>1925</v>
      </c>
      <c r="D688" s="10">
        <v>45715</v>
      </c>
      <c r="E688" s="11" t="str">
        <f>+HYPERLINK("http://trademark.i-assist.jp/data/china/image_1925th/82064406.pdf","82064406")</f>
        <v>82064406</v>
      </c>
      <c r="F688" s="12" t="s">
        <v>1869</v>
      </c>
      <c r="G688" s="9" t="s">
        <v>1805</v>
      </c>
      <c r="H688" s="9" t="s">
        <v>1870</v>
      </c>
      <c r="I688" s="10">
        <v>45615</v>
      </c>
    </row>
    <row r="689" spans="1:9" x14ac:dyDescent="0.15">
      <c r="A689" s="9">
        <v>688</v>
      </c>
      <c r="B689" s="9" t="s">
        <v>9</v>
      </c>
      <c r="C689" s="9">
        <v>1925</v>
      </c>
      <c r="D689" s="10">
        <v>45715</v>
      </c>
      <c r="E689" s="11" t="str">
        <f>+HYPERLINK("http://trademark.i-assist.jp/data/china/image_1925th/82064501.pdf","82064501")</f>
        <v>82064501</v>
      </c>
      <c r="F689" s="12" t="s">
        <v>57</v>
      </c>
      <c r="G689" s="9" t="s">
        <v>1771</v>
      </c>
      <c r="H689" s="9" t="s">
        <v>1871</v>
      </c>
      <c r="I689" s="10">
        <v>45615</v>
      </c>
    </row>
    <row r="690" spans="1:9" x14ac:dyDescent="0.15">
      <c r="A690" s="9">
        <v>689</v>
      </c>
      <c r="B690" s="9" t="s">
        <v>9</v>
      </c>
      <c r="C690" s="9">
        <v>1925</v>
      </c>
      <c r="D690" s="10">
        <v>45715</v>
      </c>
      <c r="E690" s="11" t="str">
        <f>+HYPERLINK("http://trademark.i-assist.jp/data/china/image_1925th/82065144.pdf","82065144")</f>
        <v>82065144</v>
      </c>
      <c r="F690" s="9" t="s">
        <v>1872</v>
      </c>
      <c r="G690" s="9" t="s">
        <v>1777</v>
      </c>
      <c r="H690" s="9" t="s">
        <v>1873</v>
      </c>
      <c r="I690" s="10">
        <v>45615</v>
      </c>
    </row>
    <row r="691" spans="1:9" x14ac:dyDescent="0.15">
      <c r="A691" s="9">
        <v>690</v>
      </c>
      <c r="B691" s="9" t="s">
        <v>9</v>
      </c>
      <c r="C691" s="9">
        <v>1925</v>
      </c>
      <c r="D691" s="10">
        <v>45715</v>
      </c>
      <c r="E691" s="11" t="str">
        <f>+HYPERLINK("http://trademark.i-assist.jp/data/china/image_1925th/82067031.pdf","82067031")</f>
        <v>82067031</v>
      </c>
      <c r="F691" s="9" t="s">
        <v>1874</v>
      </c>
      <c r="G691" s="12" t="s">
        <v>1875</v>
      </c>
      <c r="H691" s="9" t="s">
        <v>1876</v>
      </c>
      <c r="I691" s="10">
        <v>45616</v>
      </c>
    </row>
    <row r="692" spans="1:9" x14ac:dyDescent="0.15">
      <c r="A692" s="9">
        <v>691</v>
      </c>
      <c r="B692" s="9" t="s">
        <v>9</v>
      </c>
      <c r="C692" s="9">
        <v>1925</v>
      </c>
      <c r="D692" s="10">
        <v>45715</v>
      </c>
      <c r="E692" s="11" t="str">
        <f>+HYPERLINK("http://trademark.i-assist.jp/data/china/image_1925th/82067120.pdf","82067120")</f>
        <v>82067120</v>
      </c>
      <c r="F692" s="9" t="s">
        <v>1877</v>
      </c>
      <c r="G692" s="9" t="s">
        <v>1878</v>
      </c>
      <c r="H692" s="9" t="s">
        <v>1879</v>
      </c>
      <c r="I692" s="10">
        <v>45616</v>
      </c>
    </row>
    <row r="693" spans="1:9" x14ac:dyDescent="0.15">
      <c r="A693" s="9">
        <v>692</v>
      </c>
      <c r="B693" s="9" t="s">
        <v>9</v>
      </c>
      <c r="C693" s="9">
        <v>1925</v>
      </c>
      <c r="D693" s="10">
        <v>45715</v>
      </c>
      <c r="E693" s="11" t="str">
        <f>+HYPERLINK("http://trademark.i-assist.jp/data/china/image_1925th/82067397.pdf","82067397")</f>
        <v>82067397</v>
      </c>
      <c r="F693" s="9" t="s">
        <v>1880</v>
      </c>
      <c r="G693" s="9" t="s">
        <v>1881</v>
      </c>
      <c r="H693" s="9" t="s">
        <v>1882</v>
      </c>
      <c r="I693" s="10">
        <v>45616</v>
      </c>
    </row>
    <row r="694" spans="1:9" x14ac:dyDescent="0.15">
      <c r="A694" s="9">
        <v>693</v>
      </c>
      <c r="B694" s="9" t="s">
        <v>9</v>
      </c>
      <c r="C694" s="9">
        <v>1925</v>
      </c>
      <c r="D694" s="10">
        <v>45715</v>
      </c>
      <c r="E694" s="11" t="str">
        <f>+HYPERLINK("http://trademark.i-assist.jp/data/china/image_1925th/82067539.pdf","82067539")</f>
        <v>82067539</v>
      </c>
      <c r="F694" s="9" t="s">
        <v>1883</v>
      </c>
      <c r="G694" s="12" t="s">
        <v>1884</v>
      </c>
      <c r="H694" s="9" t="s">
        <v>1885</v>
      </c>
      <c r="I694" s="10">
        <v>45616</v>
      </c>
    </row>
    <row r="695" spans="1:9" x14ac:dyDescent="0.15">
      <c r="A695" s="9">
        <v>694</v>
      </c>
      <c r="B695" s="9" t="s">
        <v>9</v>
      </c>
      <c r="C695" s="9">
        <v>1925</v>
      </c>
      <c r="D695" s="10">
        <v>45715</v>
      </c>
      <c r="E695" s="11" t="str">
        <f>+HYPERLINK("http://trademark.i-assist.jp/data/china/image_1925th/82067675.pdf","82067675")</f>
        <v>82067675</v>
      </c>
      <c r="F695" s="12" t="s">
        <v>1886</v>
      </c>
      <c r="G695" s="9" t="s">
        <v>1887</v>
      </c>
      <c r="H695" s="9" t="s">
        <v>1888</v>
      </c>
      <c r="I695" s="10">
        <v>45616</v>
      </c>
    </row>
    <row r="696" spans="1:9" x14ac:dyDescent="0.15">
      <c r="A696" s="9">
        <v>695</v>
      </c>
      <c r="B696" s="9" t="s">
        <v>9</v>
      </c>
      <c r="C696" s="9">
        <v>1925</v>
      </c>
      <c r="D696" s="10">
        <v>45715</v>
      </c>
      <c r="E696" s="11" t="str">
        <f>+HYPERLINK("http://trademark.i-assist.jp/data/china/image_1925th/82067775.pdf","82067775")</f>
        <v>82067775</v>
      </c>
      <c r="F696" s="12" t="s">
        <v>1889</v>
      </c>
      <c r="G696" s="12" t="s">
        <v>1890</v>
      </c>
      <c r="H696" s="12" t="s">
        <v>1891</v>
      </c>
      <c r="I696" s="10">
        <v>45616</v>
      </c>
    </row>
    <row r="697" spans="1:9" x14ac:dyDescent="0.15">
      <c r="A697" s="9">
        <v>696</v>
      </c>
      <c r="B697" s="9" t="s">
        <v>9</v>
      </c>
      <c r="C697" s="9">
        <v>1925</v>
      </c>
      <c r="D697" s="10">
        <v>45715</v>
      </c>
      <c r="E697" s="11" t="str">
        <f>+HYPERLINK("http://trademark.i-assist.jp/data/china/image_1925th/82067887.pdf","82067887")</f>
        <v>82067887</v>
      </c>
      <c r="F697" s="9" t="s">
        <v>1892</v>
      </c>
      <c r="G697" s="9" t="s">
        <v>1893</v>
      </c>
      <c r="H697" s="9" t="s">
        <v>1894</v>
      </c>
      <c r="I697" s="10">
        <v>45616</v>
      </c>
    </row>
    <row r="698" spans="1:9" x14ac:dyDescent="0.15">
      <c r="A698" s="9">
        <v>697</v>
      </c>
      <c r="B698" s="9" t="s">
        <v>9</v>
      </c>
      <c r="C698" s="9">
        <v>1925</v>
      </c>
      <c r="D698" s="10">
        <v>45715</v>
      </c>
      <c r="E698" s="11" t="str">
        <f>+HYPERLINK("http://trademark.i-assist.jp/data/china/image_1925th/82068438.pdf","82068438")</f>
        <v>82068438</v>
      </c>
      <c r="F698" s="9" t="s">
        <v>1895</v>
      </c>
      <c r="G698" s="12" t="s">
        <v>1896</v>
      </c>
      <c r="H698" s="9" t="s">
        <v>1897</v>
      </c>
      <c r="I698" s="10">
        <v>45616</v>
      </c>
    </row>
    <row r="699" spans="1:9" x14ac:dyDescent="0.15">
      <c r="A699" s="9">
        <v>698</v>
      </c>
      <c r="B699" s="9" t="s">
        <v>9</v>
      </c>
      <c r="C699" s="9">
        <v>1925</v>
      </c>
      <c r="D699" s="10">
        <v>45715</v>
      </c>
      <c r="E699" s="11" t="str">
        <f>+HYPERLINK("http://trademark.i-assist.jp/data/china/image_1925th/82068608.pdf","82068608")</f>
        <v>82068608</v>
      </c>
      <c r="F699" s="12" t="s">
        <v>1898</v>
      </c>
      <c r="G699" s="12" t="s">
        <v>1899</v>
      </c>
      <c r="H699" s="9" t="s">
        <v>1900</v>
      </c>
      <c r="I699" s="10">
        <v>45616</v>
      </c>
    </row>
    <row r="700" spans="1:9" x14ac:dyDescent="0.15">
      <c r="A700" s="9">
        <v>699</v>
      </c>
      <c r="B700" s="9" t="s">
        <v>9</v>
      </c>
      <c r="C700" s="9">
        <v>1925</v>
      </c>
      <c r="D700" s="10">
        <v>45715</v>
      </c>
      <c r="E700" s="11" t="str">
        <f>+HYPERLINK("http://trademark.i-assist.jp/data/china/image_1925th/82068658.pdf","82068658")</f>
        <v>82068658</v>
      </c>
      <c r="F700" s="9" t="s">
        <v>1901</v>
      </c>
      <c r="G700" s="9" t="s">
        <v>1902</v>
      </c>
      <c r="H700" s="9" t="s">
        <v>1903</v>
      </c>
      <c r="I700" s="10">
        <v>45616</v>
      </c>
    </row>
    <row r="701" spans="1:9" x14ac:dyDescent="0.15">
      <c r="A701" s="9">
        <v>700</v>
      </c>
      <c r="B701" s="9" t="s">
        <v>9</v>
      </c>
      <c r="C701" s="9">
        <v>1925</v>
      </c>
      <c r="D701" s="10">
        <v>45715</v>
      </c>
      <c r="E701" s="11" t="str">
        <f>+HYPERLINK("http://trademark.i-assist.jp/data/china/image_1925th/82068915.pdf","82068915")</f>
        <v>82068915</v>
      </c>
      <c r="F701" s="9" t="s">
        <v>1904</v>
      </c>
      <c r="G701" s="9" t="s">
        <v>1905</v>
      </c>
      <c r="H701" s="9" t="s">
        <v>1906</v>
      </c>
      <c r="I701" s="10">
        <v>45616</v>
      </c>
    </row>
    <row r="702" spans="1:9" x14ac:dyDescent="0.15">
      <c r="A702" s="9">
        <v>701</v>
      </c>
      <c r="B702" s="9" t="s">
        <v>9</v>
      </c>
      <c r="C702" s="9">
        <v>1925</v>
      </c>
      <c r="D702" s="10">
        <v>45715</v>
      </c>
      <c r="E702" s="11" t="str">
        <f>+HYPERLINK("http://trademark.i-assist.jp/data/china/image_1925th/82068987.pdf","82068987")</f>
        <v>82068987</v>
      </c>
      <c r="F702" s="13" t="s">
        <v>1907</v>
      </c>
      <c r="G702" s="12" t="s">
        <v>1908</v>
      </c>
      <c r="H702" s="9" t="s">
        <v>1909</v>
      </c>
      <c r="I702" s="10">
        <v>45616</v>
      </c>
    </row>
    <row r="703" spans="1:9" x14ac:dyDescent="0.15">
      <c r="A703" s="9">
        <v>702</v>
      </c>
      <c r="B703" s="9" t="s">
        <v>9</v>
      </c>
      <c r="C703" s="9">
        <v>1925</v>
      </c>
      <c r="D703" s="10">
        <v>45715</v>
      </c>
      <c r="E703" s="11" t="str">
        <f>+HYPERLINK("http://trademark.i-assist.jp/data/china/image_1925th/82069589.pdf","82069589")</f>
        <v>82069589</v>
      </c>
      <c r="F703" s="9" t="s">
        <v>1910</v>
      </c>
      <c r="G703" s="12" t="s">
        <v>1911</v>
      </c>
      <c r="H703" s="9" t="s">
        <v>1912</v>
      </c>
      <c r="I703" s="10">
        <v>45616</v>
      </c>
    </row>
    <row r="704" spans="1:9" x14ac:dyDescent="0.15">
      <c r="A704" s="9">
        <v>703</v>
      </c>
      <c r="B704" s="9" t="s">
        <v>9</v>
      </c>
      <c r="C704" s="9">
        <v>1925</v>
      </c>
      <c r="D704" s="10">
        <v>45715</v>
      </c>
      <c r="E704" s="11" t="str">
        <f>+HYPERLINK("http://trademark.i-assist.jp/data/china/image_1925th/82069692.pdf","82069692")</f>
        <v>82069692</v>
      </c>
      <c r="F704" s="9" t="s">
        <v>1913</v>
      </c>
      <c r="G704" s="9" t="s">
        <v>1914</v>
      </c>
      <c r="H704" s="9" t="s">
        <v>1915</v>
      </c>
      <c r="I704" s="10">
        <v>45616</v>
      </c>
    </row>
    <row r="705" spans="1:9" x14ac:dyDescent="0.15">
      <c r="A705" s="9">
        <v>704</v>
      </c>
      <c r="B705" s="9" t="s">
        <v>9</v>
      </c>
      <c r="C705" s="9">
        <v>1925</v>
      </c>
      <c r="D705" s="10">
        <v>45715</v>
      </c>
      <c r="E705" s="11" t="str">
        <f>+HYPERLINK("http://trademark.i-assist.jp/data/china/image_1925th/82070092.pdf","82070092")</f>
        <v>82070092</v>
      </c>
      <c r="F705" s="12" t="s">
        <v>57</v>
      </c>
      <c r="G705" s="9" t="s">
        <v>1916</v>
      </c>
      <c r="H705" s="9" t="s">
        <v>1917</v>
      </c>
      <c r="I705" s="10">
        <v>45616</v>
      </c>
    </row>
    <row r="706" spans="1:9" x14ac:dyDescent="0.15">
      <c r="A706" s="9">
        <v>705</v>
      </c>
      <c r="B706" s="9" t="s">
        <v>9</v>
      </c>
      <c r="C706" s="9">
        <v>1925</v>
      </c>
      <c r="D706" s="10">
        <v>45715</v>
      </c>
      <c r="E706" s="11" t="str">
        <f>+HYPERLINK("http://trademark.i-assist.jp/data/china/image_1925th/82070324.pdf","82070324")</f>
        <v>82070324</v>
      </c>
      <c r="F706" s="9" t="s">
        <v>1918</v>
      </c>
      <c r="G706" s="12" t="s">
        <v>1919</v>
      </c>
      <c r="H706" s="9" t="s">
        <v>1920</v>
      </c>
      <c r="I706" s="10">
        <v>45616</v>
      </c>
    </row>
    <row r="707" spans="1:9" x14ac:dyDescent="0.15">
      <c r="A707" s="9">
        <v>706</v>
      </c>
      <c r="B707" s="9" t="s">
        <v>9</v>
      </c>
      <c r="C707" s="9">
        <v>1925</v>
      </c>
      <c r="D707" s="10">
        <v>45715</v>
      </c>
      <c r="E707" s="11" t="str">
        <f>+HYPERLINK("http://trademark.i-assist.jp/data/china/image_1925th/82071320.pdf","82071320")</f>
        <v>82071320</v>
      </c>
      <c r="F707" s="9" t="s">
        <v>1921</v>
      </c>
      <c r="G707" s="12" t="s">
        <v>1884</v>
      </c>
      <c r="H707" s="9" t="s">
        <v>1922</v>
      </c>
      <c r="I707" s="10">
        <v>45616</v>
      </c>
    </row>
    <row r="708" spans="1:9" x14ac:dyDescent="0.15">
      <c r="A708" s="9">
        <v>707</v>
      </c>
      <c r="B708" s="9" t="s">
        <v>9</v>
      </c>
      <c r="C708" s="9">
        <v>1925</v>
      </c>
      <c r="D708" s="10">
        <v>45715</v>
      </c>
      <c r="E708" s="11" t="str">
        <f>+HYPERLINK("http://trademark.i-assist.jp/data/china/image_1925th/82072164.pdf","82072164")</f>
        <v>82072164</v>
      </c>
      <c r="F708" s="9" t="s">
        <v>1923</v>
      </c>
      <c r="G708" s="9" t="s">
        <v>1924</v>
      </c>
      <c r="H708" s="9" t="s">
        <v>1925</v>
      </c>
      <c r="I708" s="10">
        <v>45616</v>
      </c>
    </row>
    <row r="709" spans="1:9" x14ac:dyDescent="0.15">
      <c r="A709" s="9">
        <v>708</v>
      </c>
      <c r="B709" s="9" t="s">
        <v>9</v>
      </c>
      <c r="C709" s="9">
        <v>1925</v>
      </c>
      <c r="D709" s="10">
        <v>45715</v>
      </c>
      <c r="E709" s="11" t="str">
        <f>+HYPERLINK("http://trademark.i-assist.jp/data/china/image_1925th/82072386.pdf","82072386")</f>
        <v>82072386</v>
      </c>
      <c r="F709" s="9" t="s">
        <v>1926</v>
      </c>
      <c r="G709" s="12" t="s">
        <v>1927</v>
      </c>
      <c r="H709" s="9" t="s">
        <v>1928</v>
      </c>
      <c r="I709" s="10">
        <v>45616</v>
      </c>
    </row>
    <row r="710" spans="1:9" x14ac:dyDescent="0.15">
      <c r="A710" s="9">
        <v>709</v>
      </c>
      <c r="B710" s="9" t="s">
        <v>9</v>
      </c>
      <c r="C710" s="9">
        <v>1925</v>
      </c>
      <c r="D710" s="10">
        <v>45715</v>
      </c>
      <c r="E710" s="11" t="str">
        <f>+HYPERLINK("http://trademark.i-assist.jp/data/china/image_1925th/82072833.pdf","82072833")</f>
        <v>82072833</v>
      </c>
      <c r="F710" s="12" t="s">
        <v>57</v>
      </c>
      <c r="G710" s="12" t="s">
        <v>1929</v>
      </c>
      <c r="H710" s="9" t="s">
        <v>1930</v>
      </c>
      <c r="I710" s="10">
        <v>45616</v>
      </c>
    </row>
    <row r="711" spans="1:9" x14ac:dyDescent="0.15">
      <c r="A711" s="9">
        <v>710</v>
      </c>
      <c r="B711" s="9" t="s">
        <v>9</v>
      </c>
      <c r="C711" s="9">
        <v>1925</v>
      </c>
      <c r="D711" s="10">
        <v>45715</v>
      </c>
      <c r="E711" s="11" t="str">
        <f>+HYPERLINK("http://trademark.i-assist.jp/data/china/image_1925th/82073243.pdf","82073243")</f>
        <v>82073243</v>
      </c>
      <c r="F711" s="12" t="s">
        <v>1931</v>
      </c>
      <c r="G711" s="9" t="s">
        <v>1932</v>
      </c>
      <c r="H711" s="12" t="s">
        <v>1933</v>
      </c>
      <c r="I711" s="10">
        <v>45616</v>
      </c>
    </row>
    <row r="712" spans="1:9" x14ac:dyDescent="0.15">
      <c r="A712" s="9">
        <v>711</v>
      </c>
      <c r="B712" s="9" t="s">
        <v>9</v>
      </c>
      <c r="C712" s="9">
        <v>1925</v>
      </c>
      <c r="D712" s="10">
        <v>45715</v>
      </c>
      <c r="E712" s="11" t="str">
        <f>+HYPERLINK("http://trademark.i-assist.jp/data/china/image_1925th/82073510.pdf","82073510")</f>
        <v>82073510</v>
      </c>
      <c r="F712" s="12" t="s">
        <v>57</v>
      </c>
      <c r="G712" s="9" t="s">
        <v>1934</v>
      </c>
      <c r="H712" s="9" t="s">
        <v>1935</v>
      </c>
      <c r="I712" s="10">
        <v>45616</v>
      </c>
    </row>
    <row r="713" spans="1:9" x14ac:dyDescent="0.15">
      <c r="A713" s="9">
        <v>712</v>
      </c>
      <c r="B713" s="9" t="s">
        <v>9</v>
      </c>
      <c r="C713" s="9">
        <v>1925</v>
      </c>
      <c r="D713" s="10">
        <v>45715</v>
      </c>
      <c r="E713" s="11" t="str">
        <f>+HYPERLINK("http://trademark.i-assist.jp/data/china/image_1925th/82073885.pdf","82073885")</f>
        <v>82073885</v>
      </c>
      <c r="F713" s="9" t="s">
        <v>1936</v>
      </c>
      <c r="G713" s="9" t="s">
        <v>1937</v>
      </c>
      <c r="H713" s="12" t="s">
        <v>1938</v>
      </c>
      <c r="I713" s="10">
        <v>45616</v>
      </c>
    </row>
    <row r="714" spans="1:9" x14ac:dyDescent="0.15">
      <c r="A714" s="9">
        <v>713</v>
      </c>
      <c r="B714" s="9" t="s">
        <v>9</v>
      </c>
      <c r="C714" s="9">
        <v>1925</v>
      </c>
      <c r="D714" s="10">
        <v>45715</v>
      </c>
      <c r="E714" s="11" t="str">
        <f>+HYPERLINK("http://trademark.i-assist.jp/data/china/image_1925th/82074042.pdf","82074042")</f>
        <v>82074042</v>
      </c>
      <c r="F714" s="9" t="s">
        <v>1939</v>
      </c>
      <c r="G714" s="9" t="s">
        <v>1940</v>
      </c>
      <c r="H714" s="9" t="s">
        <v>1941</v>
      </c>
      <c r="I714" s="10">
        <v>45616</v>
      </c>
    </row>
    <row r="715" spans="1:9" x14ac:dyDescent="0.15">
      <c r="A715" s="9">
        <v>714</v>
      </c>
      <c r="B715" s="9" t="s">
        <v>9</v>
      </c>
      <c r="C715" s="9">
        <v>1925</v>
      </c>
      <c r="D715" s="10">
        <v>45715</v>
      </c>
      <c r="E715" s="11" t="str">
        <f>+HYPERLINK("http://trademark.i-assist.jp/data/china/image_1925th/82074273.pdf","82074273")</f>
        <v>82074273</v>
      </c>
      <c r="F715" s="9" t="s">
        <v>1942</v>
      </c>
      <c r="G715" s="9" t="s">
        <v>1943</v>
      </c>
      <c r="H715" s="9" t="s">
        <v>1944</v>
      </c>
      <c r="I715" s="10">
        <v>45616</v>
      </c>
    </row>
    <row r="716" spans="1:9" x14ac:dyDescent="0.15">
      <c r="A716" s="9">
        <v>715</v>
      </c>
      <c r="B716" s="9" t="s">
        <v>9</v>
      </c>
      <c r="C716" s="9">
        <v>1925</v>
      </c>
      <c r="D716" s="10">
        <v>45715</v>
      </c>
      <c r="E716" s="11" t="str">
        <f>+HYPERLINK("http://trademark.i-assist.jp/data/china/image_1925th/82074713.pdf","82074713")</f>
        <v>82074713</v>
      </c>
      <c r="F716" s="12" t="s">
        <v>1945</v>
      </c>
      <c r="G716" s="9" t="s">
        <v>1946</v>
      </c>
      <c r="H716" s="9" t="s">
        <v>1947</v>
      </c>
      <c r="I716" s="10">
        <v>45616</v>
      </c>
    </row>
    <row r="717" spans="1:9" x14ac:dyDescent="0.15">
      <c r="A717" s="9">
        <v>716</v>
      </c>
      <c r="B717" s="9" t="s">
        <v>9</v>
      </c>
      <c r="C717" s="9">
        <v>1925</v>
      </c>
      <c r="D717" s="10">
        <v>45715</v>
      </c>
      <c r="E717" s="11" t="str">
        <f>+HYPERLINK("http://trademark.i-assist.jp/data/china/image_1925th/82074858.pdf","82074858")</f>
        <v>82074858</v>
      </c>
      <c r="F717" s="9" t="s">
        <v>1948</v>
      </c>
      <c r="G717" s="9" t="s">
        <v>1949</v>
      </c>
      <c r="H717" s="9" t="s">
        <v>1950</v>
      </c>
      <c r="I717" s="10">
        <v>45616</v>
      </c>
    </row>
    <row r="718" spans="1:9" x14ac:dyDescent="0.15">
      <c r="A718" s="9">
        <v>717</v>
      </c>
      <c r="B718" s="9" t="s">
        <v>9</v>
      </c>
      <c r="C718" s="9">
        <v>1925</v>
      </c>
      <c r="D718" s="10">
        <v>45715</v>
      </c>
      <c r="E718" s="11" t="str">
        <f>+HYPERLINK("http://trademark.i-assist.jp/data/china/image_1925th/82075760.pdf","82075760")</f>
        <v>82075760</v>
      </c>
      <c r="F718" s="12" t="s">
        <v>1951</v>
      </c>
      <c r="G718" s="9" t="s">
        <v>1952</v>
      </c>
      <c r="H718" s="9" t="s">
        <v>1953</v>
      </c>
      <c r="I718" s="10">
        <v>45616</v>
      </c>
    </row>
    <row r="719" spans="1:9" x14ac:dyDescent="0.15">
      <c r="A719" s="9">
        <v>718</v>
      </c>
      <c r="B719" s="9" t="s">
        <v>9</v>
      </c>
      <c r="C719" s="9">
        <v>1925</v>
      </c>
      <c r="D719" s="10">
        <v>45715</v>
      </c>
      <c r="E719" s="11" t="str">
        <f>+HYPERLINK("http://trademark.i-assist.jp/data/china/image_1925th/82075946.pdf","82075946")</f>
        <v>82075946</v>
      </c>
      <c r="F719" s="9" t="s">
        <v>1954</v>
      </c>
      <c r="G719" s="9" t="s">
        <v>1955</v>
      </c>
      <c r="H719" s="12" t="s">
        <v>1956</v>
      </c>
      <c r="I719" s="10">
        <v>45616</v>
      </c>
    </row>
    <row r="720" spans="1:9" x14ac:dyDescent="0.15">
      <c r="A720" s="9">
        <v>719</v>
      </c>
      <c r="B720" s="9" t="s">
        <v>9</v>
      </c>
      <c r="C720" s="9">
        <v>1925</v>
      </c>
      <c r="D720" s="10">
        <v>45715</v>
      </c>
      <c r="E720" s="11" t="str">
        <f>+HYPERLINK("http://trademark.i-assist.jp/data/china/image_1925th/82075974.pdf","82075974")</f>
        <v>82075974</v>
      </c>
      <c r="F720" s="9" t="s">
        <v>1957</v>
      </c>
      <c r="G720" s="9" t="s">
        <v>1958</v>
      </c>
      <c r="H720" s="9" t="s">
        <v>1959</v>
      </c>
      <c r="I720" s="10">
        <v>45616</v>
      </c>
    </row>
    <row r="721" spans="1:9" x14ac:dyDescent="0.15">
      <c r="A721" s="9">
        <v>720</v>
      </c>
      <c r="B721" s="9" t="s">
        <v>9</v>
      </c>
      <c r="C721" s="9">
        <v>1925</v>
      </c>
      <c r="D721" s="10">
        <v>45715</v>
      </c>
      <c r="E721" s="11" t="str">
        <f>+HYPERLINK("http://trademark.i-assist.jp/data/china/image_1925th/82076087.pdf","82076087")</f>
        <v>82076087</v>
      </c>
      <c r="F721" s="9" t="s">
        <v>1960</v>
      </c>
      <c r="G721" s="12" t="s">
        <v>1875</v>
      </c>
      <c r="H721" s="9" t="s">
        <v>1961</v>
      </c>
      <c r="I721" s="10">
        <v>45616</v>
      </c>
    </row>
    <row r="722" spans="1:9" x14ac:dyDescent="0.15">
      <c r="A722" s="9">
        <v>721</v>
      </c>
      <c r="B722" s="9" t="s">
        <v>9</v>
      </c>
      <c r="C722" s="9">
        <v>1925</v>
      </c>
      <c r="D722" s="10">
        <v>45715</v>
      </c>
      <c r="E722" s="11" t="str">
        <f>+HYPERLINK("http://trademark.i-assist.jp/data/china/image_1925th/82076130.pdf","82076130")</f>
        <v>82076130</v>
      </c>
      <c r="F722" s="12" t="s">
        <v>1962</v>
      </c>
      <c r="G722" s="9" t="s">
        <v>1963</v>
      </c>
      <c r="H722" s="12" t="s">
        <v>1964</v>
      </c>
      <c r="I722" s="10">
        <v>45616</v>
      </c>
    </row>
    <row r="723" spans="1:9" x14ac:dyDescent="0.15">
      <c r="A723" s="9">
        <v>722</v>
      </c>
      <c r="B723" s="9" t="s">
        <v>9</v>
      </c>
      <c r="C723" s="9">
        <v>1925</v>
      </c>
      <c r="D723" s="10">
        <v>45715</v>
      </c>
      <c r="E723" s="11" t="str">
        <f>+HYPERLINK("http://trademark.i-assist.jp/data/china/image_1925th/82076252.pdf","82076252")</f>
        <v>82076252</v>
      </c>
      <c r="F723" s="9" t="s">
        <v>1965</v>
      </c>
      <c r="G723" s="12" t="s">
        <v>1966</v>
      </c>
      <c r="H723" s="9" t="s">
        <v>1967</v>
      </c>
      <c r="I723" s="10">
        <v>45616</v>
      </c>
    </row>
    <row r="724" spans="1:9" x14ac:dyDescent="0.15">
      <c r="A724" s="9">
        <v>723</v>
      </c>
      <c r="B724" s="9" t="s">
        <v>9</v>
      </c>
      <c r="C724" s="9">
        <v>1925</v>
      </c>
      <c r="D724" s="10">
        <v>45715</v>
      </c>
      <c r="E724" s="11" t="str">
        <f>+HYPERLINK("http://trademark.i-assist.jp/data/china/image_1925th/82076543.pdf","82076543")</f>
        <v>82076543</v>
      </c>
      <c r="F724" s="9" t="s">
        <v>1968</v>
      </c>
      <c r="G724" s="9" t="s">
        <v>1969</v>
      </c>
      <c r="H724" s="9" t="s">
        <v>1970</v>
      </c>
      <c r="I724" s="10">
        <v>45616</v>
      </c>
    </row>
    <row r="725" spans="1:9" x14ac:dyDescent="0.15">
      <c r="A725" s="9">
        <v>724</v>
      </c>
      <c r="B725" s="9" t="s">
        <v>9</v>
      </c>
      <c r="C725" s="9">
        <v>1925</v>
      </c>
      <c r="D725" s="10">
        <v>45715</v>
      </c>
      <c r="E725" s="11" t="str">
        <f>+HYPERLINK("http://trademark.i-assist.jp/data/china/image_1925th/82078249.pdf","82078249")</f>
        <v>82078249</v>
      </c>
      <c r="F725" s="9" t="s">
        <v>1971</v>
      </c>
      <c r="G725" s="9" t="s">
        <v>1972</v>
      </c>
      <c r="H725" s="9" t="s">
        <v>1973</v>
      </c>
      <c r="I725" s="10">
        <v>45616</v>
      </c>
    </row>
    <row r="726" spans="1:9" x14ac:dyDescent="0.15">
      <c r="A726" s="9">
        <v>725</v>
      </c>
      <c r="B726" s="9" t="s">
        <v>9</v>
      </c>
      <c r="C726" s="9">
        <v>1925</v>
      </c>
      <c r="D726" s="10">
        <v>45715</v>
      </c>
      <c r="E726" s="11" t="str">
        <f>+HYPERLINK("http://trademark.i-assist.jp/data/china/image_1925th/82078260.pdf","82078260")</f>
        <v>82078260</v>
      </c>
      <c r="F726" s="12" t="s">
        <v>1974</v>
      </c>
      <c r="G726" s="9" t="s">
        <v>1975</v>
      </c>
      <c r="H726" s="12" t="s">
        <v>1976</v>
      </c>
      <c r="I726" s="10">
        <v>45616</v>
      </c>
    </row>
    <row r="727" spans="1:9" x14ac:dyDescent="0.15">
      <c r="A727" s="9">
        <v>726</v>
      </c>
      <c r="B727" s="9" t="s">
        <v>9</v>
      </c>
      <c r="C727" s="9">
        <v>1925</v>
      </c>
      <c r="D727" s="10">
        <v>45715</v>
      </c>
      <c r="E727" s="11" t="str">
        <f>+HYPERLINK("http://trademark.i-assist.jp/data/china/image_1925th/82078643.pdf","82078643")</f>
        <v>82078643</v>
      </c>
      <c r="F727" s="12" t="s">
        <v>1977</v>
      </c>
      <c r="G727" s="12" t="s">
        <v>1978</v>
      </c>
      <c r="H727" s="12" t="s">
        <v>1979</v>
      </c>
      <c r="I727" s="10">
        <v>45616</v>
      </c>
    </row>
    <row r="728" spans="1:9" x14ac:dyDescent="0.15">
      <c r="A728" s="9">
        <v>727</v>
      </c>
      <c r="B728" s="9" t="s">
        <v>9</v>
      </c>
      <c r="C728" s="9">
        <v>1925</v>
      </c>
      <c r="D728" s="10">
        <v>45715</v>
      </c>
      <c r="E728" s="11" t="str">
        <f>+HYPERLINK("http://trademark.i-assist.jp/data/china/image_1925th/82078656.pdf","82078656")</f>
        <v>82078656</v>
      </c>
      <c r="F728" s="9" t="s">
        <v>1980</v>
      </c>
      <c r="G728" s="9" t="s">
        <v>1981</v>
      </c>
      <c r="H728" s="9" t="s">
        <v>1982</v>
      </c>
      <c r="I728" s="10">
        <v>45616</v>
      </c>
    </row>
    <row r="729" spans="1:9" x14ac:dyDescent="0.15">
      <c r="A729" s="9">
        <v>728</v>
      </c>
      <c r="B729" s="9" t="s">
        <v>9</v>
      </c>
      <c r="C729" s="9">
        <v>1925</v>
      </c>
      <c r="D729" s="10">
        <v>45715</v>
      </c>
      <c r="E729" s="11" t="str">
        <f>+HYPERLINK("http://trademark.i-assist.jp/data/china/image_1925th/82078717.pdf","82078717")</f>
        <v>82078717</v>
      </c>
      <c r="F729" s="9" t="s">
        <v>1983</v>
      </c>
      <c r="G729" s="9" t="s">
        <v>1984</v>
      </c>
      <c r="H729" s="9" t="s">
        <v>1985</v>
      </c>
      <c r="I729" s="10">
        <v>45616</v>
      </c>
    </row>
    <row r="730" spans="1:9" x14ac:dyDescent="0.15">
      <c r="A730" s="9">
        <v>729</v>
      </c>
      <c r="B730" s="9" t="s">
        <v>9</v>
      </c>
      <c r="C730" s="9">
        <v>1925</v>
      </c>
      <c r="D730" s="10">
        <v>45715</v>
      </c>
      <c r="E730" s="11" t="str">
        <f>+HYPERLINK("http://trademark.i-assist.jp/data/china/image_1925th/82078898.pdf","82078898")</f>
        <v>82078898</v>
      </c>
      <c r="F730" s="9" t="s">
        <v>1986</v>
      </c>
      <c r="G730" s="9" t="s">
        <v>1987</v>
      </c>
      <c r="H730" s="9" t="s">
        <v>1988</v>
      </c>
      <c r="I730" s="10">
        <v>45616</v>
      </c>
    </row>
    <row r="731" spans="1:9" x14ac:dyDescent="0.15">
      <c r="A731" s="9">
        <v>730</v>
      </c>
      <c r="B731" s="9" t="s">
        <v>9</v>
      </c>
      <c r="C731" s="9">
        <v>1925</v>
      </c>
      <c r="D731" s="10">
        <v>45715</v>
      </c>
      <c r="E731" s="11" t="str">
        <f>+HYPERLINK("http://trademark.i-assist.jp/data/china/image_1925th/82079051.pdf","82079051")</f>
        <v>82079051</v>
      </c>
      <c r="F731" s="13" t="s">
        <v>1989</v>
      </c>
      <c r="G731" s="9" t="s">
        <v>1990</v>
      </c>
      <c r="H731" s="9" t="s">
        <v>1991</v>
      </c>
      <c r="I731" s="10">
        <v>45616</v>
      </c>
    </row>
    <row r="732" spans="1:9" x14ac:dyDescent="0.15">
      <c r="A732" s="9">
        <v>731</v>
      </c>
      <c r="B732" s="9" t="s">
        <v>9</v>
      </c>
      <c r="C732" s="9">
        <v>1925</v>
      </c>
      <c r="D732" s="10">
        <v>45715</v>
      </c>
      <c r="E732" s="11" t="str">
        <f>+HYPERLINK("http://trademark.i-assist.jp/data/china/image_1925th/82079418.pdf","82079418")</f>
        <v>82079418</v>
      </c>
      <c r="F732" s="9" t="s">
        <v>1992</v>
      </c>
      <c r="G732" s="12" t="s">
        <v>1896</v>
      </c>
      <c r="H732" s="12" t="s">
        <v>1993</v>
      </c>
      <c r="I732" s="10">
        <v>45616</v>
      </c>
    </row>
    <row r="733" spans="1:9" x14ac:dyDescent="0.15">
      <c r="A733" s="9">
        <v>732</v>
      </c>
      <c r="B733" s="9" t="s">
        <v>9</v>
      </c>
      <c r="C733" s="9">
        <v>1925</v>
      </c>
      <c r="D733" s="10">
        <v>45715</v>
      </c>
      <c r="E733" s="11" t="str">
        <f>+HYPERLINK("http://trademark.i-assist.jp/data/china/image_1925th/82080287.pdf","82080287")</f>
        <v>82080287</v>
      </c>
      <c r="F733" s="9" t="s">
        <v>1994</v>
      </c>
      <c r="G733" s="9" t="s">
        <v>1995</v>
      </c>
      <c r="H733" s="9" t="s">
        <v>1996</v>
      </c>
      <c r="I733" s="10">
        <v>45616</v>
      </c>
    </row>
    <row r="734" spans="1:9" x14ac:dyDescent="0.15">
      <c r="A734" s="9">
        <v>733</v>
      </c>
      <c r="B734" s="9" t="s">
        <v>9</v>
      </c>
      <c r="C734" s="9">
        <v>1925</v>
      </c>
      <c r="D734" s="10">
        <v>45715</v>
      </c>
      <c r="E734" s="11" t="str">
        <f>+HYPERLINK("http://trademark.i-assist.jp/data/china/image_1925th/82080705.pdf","82080705")</f>
        <v>82080705</v>
      </c>
      <c r="F734" s="12" t="s">
        <v>57</v>
      </c>
      <c r="G734" s="9" t="s">
        <v>1997</v>
      </c>
      <c r="H734" s="12" t="s">
        <v>1998</v>
      </c>
      <c r="I734" s="10">
        <v>45616</v>
      </c>
    </row>
    <row r="735" spans="1:9" x14ac:dyDescent="0.15">
      <c r="A735" s="9">
        <v>734</v>
      </c>
      <c r="B735" s="9" t="s">
        <v>9</v>
      </c>
      <c r="C735" s="9">
        <v>1925</v>
      </c>
      <c r="D735" s="10">
        <v>45715</v>
      </c>
      <c r="E735" s="11" t="str">
        <f>+HYPERLINK("http://trademark.i-assist.jp/data/china/image_1925th/82081072.pdf","82081072")</f>
        <v>82081072</v>
      </c>
      <c r="F735" s="9" t="s">
        <v>1999</v>
      </c>
      <c r="G735" s="9" t="s">
        <v>2000</v>
      </c>
      <c r="H735" s="9" t="s">
        <v>2001</v>
      </c>
      <c r="I735" s="10">
        <v>45616</v>
      </c>
    </row>
    <row r="736" spans="1:9" x14ac:dyDescent="0.15">
      <c r="A736" s="9">
        <v>735</v>
      </c>
      <c r="B736" s="9" t="s">
        <v>9</v>
      </c>
      <c r="C736" s="9">
        <v>1925</v>
      </c>
      <c r="D736" s="10">
        <v>45715</v>
      </c>
      <c r="E736" s="11" t="str">
        <f>+HYPERLINK("http://trademark.i-assist.jp/data/china/image_1925th/82081309.pdf","82081309")</f>
        <v>82081309</v>
      </c>
      <c r="F736" s="9" t="s">
        <v>2002</v>
      </c>
      <c r="G736" s="9" t="s">
        <v>2003</v>
      </c>
      <c r="H736" s="12" t="s">
        <v>2004</v>
      </c>
      <c r="I736" s="10">
        <v>45616</v>
      </c>
    </row>
    <row r="737" spans="1:9" x14ac:dyDescent="0.15">
      <c r="A737" s="9">
        <v>736</v>
      </c>
      <c r="B737" s="9" t="s">
        <v>9</v>
      </c>
      <c r="C737" s="9">
        <v>1925</v>
      </c>
      <c r="D737" s="10">
        <v>45715</v>
      </c>
      <c r="E737" s="11" t="str">
        <f>+HYPERLINK("http://trademark.i-assist.jp/data/china/image_1925th/82081726.pdf","82081726")</f>
        <v>82081726</v>
      </c>
      <c r="F737" s="9" t="s">
        <v>2005</v>
      </c>
      <c r="G737" s="12" t="s">
        <v>2006</v>
      </c>
      <c r="H737" s="12" t="s">
        <v>2007</v>
      </c>
      <c r="I737" s="10">
        <v>45616</v>
      </c>
    </row>
    <row r="738" spans="1:9" x14ac:dyDescent="0.15">
      <c r="A738" s="9">
        <v>737</v>
      </c>
      <c r="B738" s="9" t="s">
        <v>9</v>
      </c>
      <c r="C738" s="9">
        <v>1925</v>
      </c>
      <c r="D738" s="10">
        <v>45715</v>
      </c>
      <c r="E738" s="11" t="str">
        <f>+HYPERLINK("http://trademark.i-assist.jp/data/china/image_1925th/82081789.pdf","82081789")</f>
        <v>82081789</v>
      </c>
      <c r="F738" s="9" t="s">
        <v>2008</v>
      </c>
      <c r="G738" s="12" t="s">
        <v>2009</v>
      </c>
      <c r="H738" s="9" t="s">
        <v>2010</v>
      </c>
      <c r="I738" s="10">
        <v>45616</v>
      </c>
    </row>
    <row r="739" spans="1:9" x14ac:dyDescent="0.15">
      <c r="A739" s="9">
        <v>738</v>
      </c>
      <c r="B739" s="9" t="s">
        <v>9</v>
      </c>
      <c r="C739" s="9">
        <v>1925</v>
      </c>
      <c r="D739" s="10">
        <v>45715</v>
      </c>
      <c r="E739" s="11" t="str">
        <f>+HYPERLINK("http://trademark.i-assist.jp/data/china/image_1925th/82081932.pdf","82081932")</f>
        <v>82081932</v>
      </c>
      <c r="F739" s="12" t="s">
        <v>2011</v>
      </c>
      <c r="G739" s="9" t="s">
        <v>1932</v>
      </c>
      <c r="H739" s="12" t="s">
        <v>2012</v>
      </c>
      <c r="I739" s="10">
        <v>45616</v>
      </c>
    </row>
    <row r="740" spans="1:9" x14ac:dyDescent="0.15">
      <c r="A740" s="9">
        <v>739</v>
      </c>
      <c r="B740" s="9" t="s">
        <v>9</v>
      </c>
      <c r="C740" s="9">
        <v>1925</v>
      </c>
      <c r="D740" s="10">
        <v>45715</v>
      </c>
      <c r="E740" s="11" t="str">
        <f>+HYPERLINK("http://trademark.i-assist.jp/data/china/image_1925th/82082237.pdf","82082237")</f>
        <v>82082237</v>
      </c>
      <c r="F740" s="9" t="s">
        <v>2013</v>
      </c>
      <c r="G740" s="9" t="s">
        <v>2014</v>
      </c>
      <c r="H740" s="9" t="s">
        <v>2015</v>
      </c>
      <c r="I740" s="10">
        <v>45616</v>
      </c>
    </row>
    <row r="741" spans="1:9" x14ac:dyDescent="0.15">
      <c r="A741" s="9">
        <v>740</v>
      </c>
      <c r="B741" s="9" t="s">
        <v>9</v>
      </c>
      <c r="C741" s="9">
        <v>1925</v>
      </c>
      <c r="D741" s="10">
        <v>45715</v>
      </c>
      <c r="E741" s="11" t="str">
        <f>+HYPERLINK("http://trademark.i-assist.jp/data/china/image_1925th/82082487.pdf","82082487")</f>
        <v>82082487</v>
      </c>
      <c r="F741" s="9" t="s">
        <v>2016</v>
      </c>
      <c r="G741" s="9" t="s">
        <v>1990</v>
      </c>
      <c r="H741" s="9" t="s">
        <v>2017</v>
      </c>
      <c r="I741" s="10">
        <v>45616</v>
      </c>
    </row>
    <row r="742" spans="1:9" x14ac:dyDescent="0.15">
      <c r="A742" s="9">
        <v>741</v>
      </c>
      <c r="B742" s="9" t="s">
        <v>9</v>
      </c>
      <c r="C742" s="9">
        <v>1925</v>
      </c>
      <c r="D742" s="10">
        <v>45715</v>
      </c>
      <c r="E742" s="11" t="str">
        <f>+HYPERLINK("http://trademark.i-assist.jp/data/china/image_1925th/82083009.pdf","82083009")</f>
        <v>82083009</v>
      </c>
      <c r="F742" s="9" t="s">
        <v>2018</v>
      </c>
      <c r="G742" s="12" t="s">
        <v>2019</v>
      </c>
      <c r="H742" s="9" t="s">
        <v>2020</v>
      </c>
      <c r="I742" s="10">
        <v>45616</v>
      </c>
    </row>
    <row r="743" spans="1:9" x14ac:dyDescent="0.15">
      <c r="A743" s="9">
        <v>742</v>
      </c>
      <c r="B743" s="9" t="s">
        <v>9</v>
      </c>
      <c r="C743" s="9">
        <v>1925</v>
      </c>
      <c r="D743" s="10">
        <v>45715</v>
      </c>
      <c r="E743" s="11" t="str">
        <f>+HYPERLINK("http://trademark.i-assist.jp/data/china/image_1925th/82083047.pdf","82083047")</f>
        <v>82083047</v>
      </c>
      <c r="F743" s="12" t="s">
        <v>2021</v>
      </c>
      <c r="G743" s="9" t="s">
        <v>1990</v>
      </c>
      <c r="H743" s="9" t="s">
        <v>2022</v>
      </c>
      <c r="I743" s="10">
        <v>45616</v>
      </c>
    </row>
    <row r="744" spans="1:9" x14ac:dyDescent="0.15">
      <c r="A744" s="9">
        <v>743</v>
      </c>
      <c r="B744" s="9" t="s">
        <v>9</v>
      </c>
      <c r="C744" s="9">
        <v>1925</v>
      </c>
      <c r="D744" s="10">
        <v>45715</v>
      </c>
      <c r="E744" s="11" t="str">
        <f>+HYPERLINK("http://trademark.i-assist.jp/data/china/image_1925th/82083058.pdf","82083058")</f>
        <v>82083058</v>
      </c>
      <c r="F744" s="9" t="s">
        <v>2023</v>
      </c>
      <c r="G744" s="9" t="s">
        <v>1990</v>
      </c>
      <c r="H744" s="9" t="s">
        <v>2024</v>
      </c>
      <c r="I744" s="10">
        <v>45616</v>
      </c>
    </row>
    <row r="745" spans="1:9" x14ac:dyDescent="0.15">
      <c r="A745" s="9">
        <v>744</v>
      </c>
      <c r="B745" s="9" t="s">
        <v>9</v>
      </c>
      <c r="C745" s="9">
        <v>1925</v>
      </c>
      <c r="D745" s="10">
        <v>45715</v>
      </c>
      <c r="E745" s="11" t="str">
        <f>+HYPERLINK("http://trademark.i-assist.jp/data/china/image_1925th/82083076.pdf","82083076")</f>
        <v>82083076</v>
      </c>
      <c r="F745" s="9" t="s">
        <v>2025</v>
      </c>
      <c r="G745" s="9" t="s">
        <v>2026</v>
      </c>
      <c r="H745" s="9" t="s">
        <v>2027</v>
      </c>
      <c r="I745" s="10">
        <v>45616</v>
      </c>
    </row>
    <row r="746" spans="1:9" x14ac:dyDescent="0.15">
      <c r="A746" s="9">
        <v>745</v>
      </c>
      <c r="B746" s="9" t="s">
        <v>9</v>
      </c>
      <c r="C746" s="9">
        <v>1925</v>
      </c>
      <c r="D746" s="10">
        <v>45715</v>
      </c>
      <c r="E746" s="11" t="str">
        <f>+HYPERLINK("http://trademark.i-assist.jp/data/china/image_1925th/82083139.pdf","82083139")</f>
        <v>82083139</v>
      </c>
      <c r="F746" s="12" t="s">
        <v>2028</v>
      </c>
      <c r="G746" s="9" t="s">
        <v>2029</v>
      </c>
      <c r="H746" s="9" t="s">
        <v>2030</v>
      </c>
      <c r="I746" s="10">
        <v>45616</v>
      </c>
    </row>
    <row r="747" spans="1:9" x14ac:dyDescent="0.15">
      <c r="A747" s="9">
        <v>746</v>
      </c>
      <c r="B747" s="9" t="s">
        <v>9</v>
      </c>
      <c r="C747" s="9">
        <v>1925</v>
      </c>
      <c r="D747" s="10">
        <v>45715</v>
      </c>
      <c r="E747" s="11" t="str">
        <f>+HYPERLINK("http://trademark.i-assist.jp/data/china/image_1925th/82083432.pdf","82083432")</f>
        <v>82083432</v>
      </c>
      <c r="F747" s="12" t="s">
        <v>2031</v>
      </c>
      <c r="G747" s="9" t="s">
        <v>2032</v>
      </c>
      <c r="H747" s="9" t="s">
        <v>2033</v>
      </c>
      <c r="I747" s="10">
        <v>45616</v>
      </c>
    </row>
    <row r="748" spans="1:9" x14ac:dyDescent="0.15">
      <c r="A748" s="9">
        <v>747</v>
      </c>
      <c r="B748" s="9" t="s">
        <v>9</v>
      </c>
      <c r="C748" s="9">
        <v>1925</v>
      </c>
      <c r="D748" s="10">
        <v>45715</v>
      </c>
      <c r="E748" s="11" t="str">
        <f>+HYPERLINK("http://trademark.i-assist.jp/data/china/image_1925th/82083450.pdf","82083450")</f>
        <v>82083450</v>
      </c>
      <c r="F748" s="9" t="s">
        <v>2034</v>
      </c>
      <c r="G748" s="12" t="s">
        <v>2009</v>
      </c>
      <c r="H748" s="9" t="s">
        <v>2035</v>
      </c>
      <c r="I748" s="10">
        <v>45616</v>
      </c>
    </row>
    <row r="749" spans="1:9" x14ac:dyDescent="0.15">
      <c r="A749" s="9">
        <v>748</v>
      </c>
      <c r="B749" s="9" t="s">
        <v>9</v>
      </c>
      <c r="C749" s="9">
        <v>1925</v>
      </c>
      <c r="D749" s="10">
        <v>45715</v>
      </c>
      <c r="E749" s="11" t="str">
        <f>+HYPERLINK("http://trademark.i-assist.jp/data/china/image_1925th/82083860.pdf","82083860")</f>
        <v>82083860</v>
      </c>
      <c r="F749" s="9" t="s">
        <v>2036</v>
      </c>
      <c r="G749" s="12" t="s">
        <v>12</v>
      </c>
      <c r="H749" s="9" t="s">
        <v>2037</v>
      </c>
      <c r="I749" s="10">
        <v>45616</v>
      </c>
    </row>
    <row r="750" spans="1:9" x14ac:dyDescent="0.15">
      <c r="A750" s="9">
        <v>749</v>
      </c>
      <c r="B750" s="9" t="s">
        <v>9</v>
      </c>
      <c r="C750" s="9">
        <v>1925</v>
      </c>
      <c r="D750" s="10">
        <v>45715</v>
      </c>
      <c r="E750" s="11" t="str">
        <f>+HYPERLINK("http://trademark.i-assist.jp/data/china/image_1925th/82084056.pdf","82084056")</f>
        <v>82084056</v>
      </c>
      <c r="F750" s="9" t="s">
        <v>2038</v>
      </c>
      <c r="G750" s="9" t="s">
        <v>2039</v>
      </c>
      <c r="H750" s="9" t="s">
        <v>2040</v>
      </c>
      <c r="I750" s="10">
        <v>45616</v>
      </c>
    </row>
    <row r="751" spans="1:9" x14ac:dyDescent="0.15">
      <c r="A751" s="9">
        <v>750</v>
      </c>
      <c r="B751" s="9" t="s">
        <v>9</v>
      </c>
      <c r="C751" s="9">
        <v>1925</v>
      </c>
      <c r="D751" s="10">
        <v>45715</v>
      </c>
      <c r="E751" s="11" t="str">
        <f>+HYPERLINK("http://trademark.i-assist.jp/data/china/image_1925th/82084331.pdf","82084331")</f>
        <v>82084331</v>
      </c>
      <c r="F751" s="12" t="s">
        <v>2041</v>
      </c>
      <c r="G751" s="9" t="s">
        <v>2042</v>
      </c>
      <c r="H751" s="9" t="s">
        <v>2043</v>
      </c>
      <c r="I751" s="10">
        <v>45616</v>
      </c>
    </row>
    <row r="752" spans="1:9" x14ac:dyDescent="0.15">
      <c r="A752" s="9">
        <v>751</v>
      </c>
      <c r="B752" s="9" t="s">
        <v>9</v>
      </c>
      <c r="C752" s="9">
        <v>1925</v>
      </c>
      <c r="D752" s="10">
        <v>45715</v>
      </c>
      <c r="E752" s="11" t="str">
        <f>+HYPERLINK("http://trademark.i-assist.jp/data/china/image_1925th/82084718.pdf","82084718")</f>
        <v>82084718</v>
      </c>
      <c r="F752" s="12" t="s">
        <v>2044</v>
      </c>
      <c r="G752" s="9" t="s">
        <v>2045</v>
      </c>
      <c r="H752" s="9" t="s">
        <v>2046</v>
      </c>
      <c r="I752" s="10">
        <v>45616</v>
      </c>
    </row>
    <row r="753" spans="1:9" x14ac:dyDescent="0.15">
      <c r="A753" s="9">
        <v>752</v>
      </c>
      <c r="B753" s="9" t="s">
        <v>9</v>
      </c>
      <c r="C753" s="9">
        <v>1925</v>
      </c>
      <c r="D753" s="10">
        <v>45715</v>
      </c>
      <c r="E753" s="11" t="str">
        <f>+HYPERLINK("http://trademark.i-assist.jp/data/china/image_1925th/82084806.pdf","82084806")</f>
        <v>82084806</v>
      </c>
      <c r="F753" s="9" t="s">
        <v>2047</v>
      </c>
      <c r="G753" s="9" t="s">
        <v>2048</v>
      </c>
      <c r="H753" s="9" t="s">
        <v>2049</v>
      </c>
      <c r="I753" s="10">
        <v>45616</v>
      </c>
    </row>
    <row r="754" spans="1:9" x14ac:dyDescent="0.15">
      <c r="A754" s="9">
        <v>753</v>
      </c>
      <c r="B754" s="9" t="s">
        <v>9</v>
      </c>
      <c r="C754" s="9">
        <v>1925</v>
      </c>
      <c r="D754" s="10">
        <v>45715</v>
      </c>
      <c r="E754" s="11" t="str">
        <f>+HYPERLINK("http://trademark.i-assist.jp/data/china/image_1925th/82085123.pdf","82085123")</f>
        <v>82085123</v>
      </c>
      <c r="F754" s="9" t="s">
        <v>2050</v>
      </c>
      <c r="G754" s="9" t="s">
        <v>2051</v>
      </c>
      <c r="H754" s="9" t="s">
        <v>2052</v>
      </c>
      <c r="I754" s="10">
        <v>45616</v>
      </c>
    </row>
    <row r="755" spans="1:9" x14ac:dyDescent="0.15">
      <c r="A755" s="9">
        <v>754</v>
      </c>
      <c r="B755" s="9" t="s">
        <v>9</v>
      </c>
      <c r="C755" s="9">
        <v>1925</v>
      </c>
      <c r="D755" s="10">
        <v>45715</v>
      </c>
      <c r="E755" s="11" t="str">
        <f>+HYPERLINK("http://trademark.i-assist.jp/data/china/image_1925th/82085193.pdf","82085193")</f>
        <v>82085193</v>
      </c>
      <c r="F755" s="12" t="s">
        <v>2053</v>
      </c>
      <c r="G755" s="9" t="s">
        <v>2054</v>
      </c>
      <c r="H755" s="9" t="s">
        <v>2055</v>
      </c>
      <c r="I755" s="10">
        <v>45616</v>
      </c>
    </row>
    <row r="756" spans="1:9" x14ac:dyDescent="0.15">
      <c r="A756" s="9">
        <v>755</v>
      </c>
      <c r="B756" s="9" t="s">
        <v>9</v>
      </c>
      <c r="C756" s="9">
        <v>1925</v>
      </c>
      <c r="D756" s="10">
        <v>45715</v>
      </c>
      <c r="E756" s="11" t="str">
        <f>+HYPERLINK("http://trademark.i-assist.jp/data/china/image_1925th/82085650.pdf","82085650")</f>
        <v>82085650</v>
      </c>
      <c r="F756" s="9" t="s">
        <v>2056</v>
      </c>
      <c r="G756" s="9" t="s">
        <v>2057</v>
      </c>
      <c r="H756" s="9" t="s">
        <v>2058</v>
      </c>
      <c r="I756" s="10">
        <v>45616</v>
      </c>
    </row>
    <row r="757" spans="1:9" x14ac:dyDescent="0.15">
      <c r="A757" s="9">
        <v>756</v>
      </c>
      <c r="B757" s="9" t="s">
        <v>9</v>
      </c>
      <c r="C757" s="9">
        <v>1925</v>
      </c>
      <c r="D757" s="10">
        <v>45715</v>
      </c>
      <c r="E757" s="11" t="str">
        <f>+HYPERLINK("http://trademark.i-assist.jp/data/china/image_1925th/82086383.pdf","82086383")</f>
        <v>82086383</v>
      </c>
      <c r="F757" s="9" t="s">
        <v>2059</v>
      </c>
      <c r="G757" s="9" t="s">
        <v>2060</v>
      </c>
      <c r="H757" s="12" t="s">
        <v>2061</v>
      </c>
      <c r="I757" s="10">
        <v>45616</v>
      </c>
    </row>
    <row r="758" spans="1:9" x14ac:dyDescent="0.15">
      <c r="A758" s="9">
        <v>757</v>
      </c>
      <c r="B758" s="9" t="s">
        <v>9</v>
      </c>
      <c r="C758" s="9">
        <v>1925</v>
      </c>
      <c r="D758" s="10">
        <v>45715</v>
      </c>
      <c r="E758" s="11" t="str">
        <f>+HYPERLINK("http://trademark.i-assist.jp/data/china/image_1925th/82086615.pdf","82086615")</f>
        <v>82086615</v>
      </c>
      <c r="F758" s="9" t="s">
        <v>2062</v>
      </c>
      <c r="G758" s="9" t="s">
        <v>2048</v>
      </c>
      <c r="H758" s="9" t="s">
        <v>2063</v>
      </c>
      <c r="I758" s="10">
        <v>45616</v>
      </c>
    </row>
    <row r="759" spans="1:9" x14ac:dyDescent="0.15">
      <c r="A759" s="9">
        <v>758</v>
      </c>
      <c r="B759" s="9" t="s">
        <v>9</v>
      </c>
      <c r="C759" s="9">
        <v>1925</v>
      </c>
      <c r="D759" s="10">
        <v>45715</v>
      </c>
      <c r="E759" s="11" t="str">
        <f>+HYPERLINK("http://trademark.i-assist.jp/data/china/image_1925th/82087540.pdf","82087540")</f>
        <v>82087540</v>
      </c>
      <c r="F759" s="12" t="s">
        <v>2064</v>
      </c>
      <c r="G759" s="9" t="s">
        <v>2065</v>
      </c>
      <c r="H759" s="9" t="s">
        <v>2066</v>
      </c>
      <c r="I759" s="10">
        <v>45616</v>
      </c>
    </row>
    <row r="760" spans="1:9" x14ac:dyDescent="0.15">
      <c r="A760" s="9">
        <v>759</v>
      </c>
      <c r="B760" s="9" t="s">
        <v>9</v>
      </c>
      <c r="C760" s="9">
        <v>1925</v>
      </c>
      <c r="D760" s="10">
        <v>45715</v>
      </c>
      <c r="E760" s="11" t="str">
        <f>+HYPERLINK("http://trademark.i-assist.jp/data/china/image_1925th/82088172.pdf","82088172")</f>
        <v>82088172</v>
      </c>
      <c r="F760" s="9" t="s">
        <v>2067</v>
      </c>
      <c r="G760" s="9" t="s">
        <v>2068</v>
      </c>
      <c r="H760" s="9" t="s">
        <v>2069</v>
      </c>
      <c r="I760" s="10">
        <v>45616</v>
      </c>
    </row>
    <row r="761" spans="1:9" x14ac:dyDescent="0.15">
      <c r="A761" s="9">
        <v>760</v>
      </c>
      <c r="B761" s="9" t="s">
        <v>9</v>
      </c>
      <c r="C761" s="9">
        <v>1925</v>
      </c>
      <c r="D761" s="10">
        <v>45715</v>
      </c>
      <c r="E761" s="11" t="str">
        <f>+HYPERLINK("http://trademark.i-assist.jp/data/china/image_1925th/82088265.pdf","82088265")</f>
        <v>82088265</v>
      </c>
      <c r="F761" s="9" t="s">
        <v>2070</v>
      </c>
      <c r="G761" s="9" t="s">
        <v>2071</v>
      </c>
      <c r="H761" s="9" t="s">
        <v>2072</v>
      </c>
      <c r="I761" s="10">
        <v>45616</v>
      </c>
    </row>
    <row r="762" spans="1:9" x14ac:dyDescent="0.15">
      <c r="A762" s="9">
        <v>761</v>
      </c>
      <c r="B762" s="9" t="s">
        <v>9</v>
      </c>
      <c r="C762" s="9">
        <v>1925</v>
      </c>
      <c r="D762" s="10">
        <v>45715</v>
      </c>
      <c r="E762" s="11" t="str">
        <f>+HYPERLINK("http://trademark.i-assist.jp/data/china/image_1925th/82088507.pdf","82088507")</f>
        <v>82088507</v>
      </c>
      <c r="F762" s="9" t="s">
        <v>2073</v>
      </c>
      <c r="G762" s="9" t="s">
        <v>2074</v>
      </c>
      <c r="H762" s="9" t="s">
        <v>2075</v>
      </c>
      <c r="I762" s="10">
        <v>45616</v>
      </c>
    </row>
    <row r="763" spans="1:9" x14ac:dyDescent="0.15">
      <c r="A763" s="9">
        <v>762</v>
      </c>
      <c r="B763" s="9" t="s">
        <v>9</v>
      </c>
      <c r="C763" s="9">
        <v>1925</v>
      </c>
      <c r="D763" s="10">
        <v>45715</v>
      </c>
      <c r="E763" s="11" t="str">
        <f>+HYPERLINK("http://trademark.i-assist.jp/data/china/image_1925th/82088520.pdf","82088520")</f>
        <v>82088520</v>
      </c>
      <c r="F763" s="9" t="s">
        <v>2076</v>
      </c>
      <c r="G763" s="9" t="s">
        <v>2077</v>
      </c>
      <c r="H763" s="9" t="s">
        <v>2078</v>
      </c>
      <c r="I763" s="10">
        <v>45616</v>
      </c>
    </row>
    <row r="764" spans="1:9" x14ac:dyDescent="0.15">
      <c r="A764" s="9">
        <v>763</v>
      </c>
      <c r="B764" s="9" t="s">
        <v>9</v>
      </c>
      <c r="C764" s="9">
        <v>1925</v>
      </c>
      <c r="D764" s="10">
        <v>45715</v>
      </c>
      <c r="E764" s="11" t="str">
        <f>+HYPERLINK("http://trademark.i-assist.jp/data/china/image_1925th/82088560.pdf","82088560")</f>
        <v>82088560</v>
      </c>
      <c r="F764" s="9" t="s">
        <v>2079</v>
      </c>
      <c r="G764" s="9" t="s">
        <v>2080</v>
      </c>
      <c r="H764" s="9" t="s">
        <v>2081</v>
      </c>
      <c r="I764" s="10">
        <v>45616</v>
      </c>
    </row>
    <row r="765" spans="1:9" x14ac:dyDescent="0.15">
      <c r="A765" s="9">
        <v>764</v>
      </c>
      <c r="B765" s="9" t="s">
        <v>9</v>
      </c>
      <c r="C765" s="9">
        <v>1925</v>
      </c>
      <c r="D765" s="10">
        <v>45715</v>
      </c>
      <c r="E765" s="11" t="str">
        <f>+HYPERLINK("http://trademark.i-assist.jp/data/china/image_1925th/82088588.pdf","82088588")</f>
        <v>82088588</v>
      </c>
      <c r="F765" s="9" t="s">
        <v>2082</v>
      </c>
      <c r="G765" s="9" t="s">
        <v>1981</v>
      </c>
      <c r="H765" s="9" t="s">
        <v>2083</v>
      </c>
      <c r="I765" s="10">
        <v>45616</v>
      </c>
    </row>
    <row r="766" spans="1:9" x14ac:dyDescent="0.15">
      <c r="A766" s="9">
        <v>765</v>
      </c>
      <c r="B766" s="9" t="s">
        <v>9</v>
      </c>
      <c r="C766" s="9">
        <v>1925</v>
      </c>
      <c r="D766" s="10">
        <v>45715</v>
      </c>
      <c r="E766" s="11" t="str">
        <f>+HYPERLINK("http://trademark.i-assist.jp/data/china/image_1925th/82089640.pdf","82089640")</f>
        <v>82089640</v>
      </c>
      <c r="F766" s="9" t="s">
        <v>2084</v>
      </c>
      <c r="G766" s="9" t="s">
        <v>2085</v>
      </c>
      <c r="H766" s="9" t="s">
        <v>2086</v>
      </c>
      <c r="I766" s="10">
        <v>45616</v>
      </c>
    </row>
    <row r="767" spans="1:9" x14ac:dyDescent="0.15">
      <c r="A767" s="9">
        <v>766</v>
      </c>
      <c r="B767" s="9" t="s">
        <v>9</v>
      </c>
      <c r="C767" s="9">
        <v>1925</v>
      </c>
      <c r="D767" s="10">
        <v>45715</v>
      </c>
      <c r="E767" s="11" t="str">
        <f>+HYPERLINK("http://trademark.i-assist.jp/data/china/image_1925th/82089642.pdf","82089642")</f>
        <v>82089642</v>
      </c>
      <c r="F767" s="9" t="s">
        <v>2087</v>
      </c>
      <c r="G767" s="9" t="s">
        <v>1940</v>
      </c>
      <c r="H767" s="9" t="s">
        <v>2088</v>
      </c>
      <c r="I767" s="10">
        <v>45616</v>
      </c>
    </row>
    <row r="768" spans="1:9" x14ac:dyDescent="0.15">
      <c r="A768" s="9">
        <v>767</v>
      </c>
      <c r="B768" s="9" t="s">
        <v>9</v>
      </c>
      <c r="C768" s="9">
        <v>1925</v>
      </c>
      <c r="D768" s="10">
        <v>45715</v>
      </c>
      <c r="E768" s="11" t="str">
        <f>+HYPERLINK("http://trademark.i-assist.jp/data/china/image_1925th/82089980.pdf","82089980")</f>
        <v>82089980</v>
      </c>
      <c r="F768" s="12" t="s">
        <v>2089</v>
      </c>
      <c r="G768" s="12" t="s">
        <v>2090</v>
      </c>
      <c r="H768" s="9" t="s">
        <v>2091</v>
      </c>
      <c r="I768" s="10">
        <v>45616</v>
      </c>
    </row>
    <row r="769" spans="1:9" x14ac:dyDescent="0.15">
      <c r="A769" s="9">
        <v>768</v>
      </c>
      <c r="B769" s="9" t="s">
        <v>9</v>
      </c>
      <c r="C769" s="9">
        <v>1925</v>
      </c>
      <c r="D769" s="10">
        <v>45715</v>
      </c>
      <c r="E769" s="11" t="str">
        <f>+HYPERLINK("http://trademark.i-assist.jp/data/china/image_1925th/82090067.pdf","82090067")</f>
        <v>82090067</v>
      </c>
      <c r="F769" s="9" t="s">
        <v>2092</v>
      </c>
      <c r="G769" s="9" t="s">
        <v>2093</v>
      </c>
      <c r="H769" s="9" t="s">
        <v>2094</v>
      </c>
      <c r="I769" s="10">
        <v>45616</v>
      </c>
    </row>
    <row r="770" spans="1:9" x14ac:dyDescent="0.15">
      <c r="A770" s="9">
        <v>769</v>
      </c>
      <c r="B770" s="9" t="s">
        <v>9</v>
      </c>
      <c r="C770" s="9">
        <v>1925</v>
      </c>
      <c r="D770" s="10">
        <v>45715</v>
      </c>
      <c r="E770" s="11" t="str">
        <f>+HYPERLINK("http://trademark.i-assist.jp/data/china/image_1925th/82090096.pdf","82090096")</f>
        <v>82090096</v>
      </c>
      <c r="F770" s="9" t="s">
        <v>2095</v>
      </c>
      <c r="G770" s="9" t="s">
        <v>2096</v>
      </c>
      <c r="H770" s="9" t="s">
        <v>2097</v>
      </c>
      <c r="I770" s="10">
        <v>45616</v>
      </c>
    </row>
    <row r="771" spans="1:9" x14ac:dyDescent="0.15">
      <c r="A771" s="9">
        <v>770</v>
      </c>
      <c r="B771" s="9" t="s">
        <v>9</v>
      </c>
      <c r="C771" s="9">
        <v>1925</v>
      </c>
      <c r="D771" s="10">
        <v>45715</v>
      </c>
      <c r="E771" s="11" t="str">
        <f>+HYPERLINK("http://trademark.i-assist.jp/data/china/image_1925th/82090177.pdf","82090177")</f>
        <v>82090177</v>
      </c>
      <c r="F771" s="9" t="s">
        <v>2098</v>
      </c>
      <c r="G771" s="9" t="s">
        <v>1981</v>
      </c>
      <c r="H771" s="9" t="s">
        <v>2099</v>
      </c>
      <c r="I771" s="10">
        <v>45616</v>
      </c>
    </row>
    <row r="772" spans="1:9" x14ac:dyDescent="0.15">
      <c r="A772" s="9">
        <v>771</v>
      </c>
      <c r="B772" s="9" t="s">
        <v>9</v>
      </c>
      <c r="C772" s="9">
        <v>1925</v>
      </c>
      <c r="D772" s="10">
        <v>45715</v>
      </c>
      <c r="E772" s="11" t="str">
        <f>+HYPERLINK("http://trademark.i-assist.jp/data/china/image_1925th/82090676.pdf","82090676")</f>
        <v>82090676</v>
      </c>
      <c r="F772" s="9" t="s">
        <v>2100</v>
      </c>
      <c r="G772" s="9" t="s">
        <v>2101</v>
      </c>
      <c r="H772" s="9" t="s">
        <v>2102</v>
      </c>
      <c r="I772" s="10">
        <v>45616</v>
      </c>
    </row>
    <row r="773" spans="1:9" x14ac:dyDescent="0.15">
      <c r="A773" s="9">
        <v>772</v>
      </c>
      <c r="B773" s="9" t="s">
        <v>9</v>
      </c>
      <c r="C773" s="9">
        <v>1925</v>
      </c>
      <c r="D773" s="10">
        <v>45715</v>
      </c>
      <c r="E773" s="11" t="str">
        <f>+HYPERLINK("http://trademark.i-assist.jp/data/china/image_1925th/82090852.pdf","82090852")</f>
        <v>82090852</v>
      </c>
      <c r="F773" s="9" t="s">
        <v>2103</v>
      </c>
      <c r="G773" s="12" t="s">
        <v>2104</v>
      </c>
      <c r="H773" s="9" t="s">
        <v>2105</v>
      </c>
      <c r="I773" s="10">
        <v>45616</v>
      </c>
    </row>
    <row r="774" spans="1:9" x14ac:dyDescent="0.15">
      <c r="A774" s="9">
        <v>773</v>
      </c>
      <c r="B774" s="9" t="s">
        <v>9</v>
      </c>
      <c r="C774" s="9">
        <v>1925</v>
      </c>
      <c r="D774" s="10">
        <v>45715</v>
      </c>
      <c r="E774" s="11" t="str">
        <f>+HYPERLINK("http://trademark.i-assist.jp/data/china/image_1925th/82091728.pdf","82091728")</f>
        <v>82091728</v>
      </c>
      <c r="F774" s="9" t="s">
        <v>2106</v>
      </c>
      <c r="G774" s="9" t="s">
        <v>2107</v>
      </c>
      <c r="H774" s="9" t="s">
        <v>2108</v>
      </c>
      <c r="I774" s="10">
        <v>45617</v>
      </c>
    </row>
    <row r="775" spans="1:9" x14ac:dyDescent="0.15">
      <c r="A775" s="9">
        <v>774</v>
      </c>
      <c r="B775" s="9" t="s">
        <v>9</v>
      </c>
      <c r="C775" s="9">
        <v>1925</v>
      </c>
      <c r="D775" s="10">
        <v>45715</v>
      </c>
      <c r="E775" s="11" t="str">
        <f>+HYPERLINK("http://trademark.i-assist.jp/data/china/image_1925th/82091982.pdf","82091982")</f>
        <v>82091982</v>
      </c>
      <c r="F775" s="9" t="s">
        <v>2109</v>
      </c>
      <c r="G775" s="9" t="s">
        <v>2110</v>
      </c>
      <c r="H775" s="9" t="s">
        <v>2111</v>
      </c>
      <c r="I775" s="10">
        <v>45617</v>
      </c>
    </row>
    <row r="776" spans="1:9" x14ac:dyDescent="0.15">
      <c r="A776" s="9">
        <v>775</v>
      </c>
      <c r="B776" s="9" t="s">
        <v>9</v>
      </c>
      <c r="C776" s="9">
        <v>1925</v>
      </c>
      <c r="D776" s="10">
        <v>45715</v>
      </c>
      <c r="E776" s="11" t="str">
        <f>+HYPERLINK("http://trademark.i-assist.jp/data/china/image_1925th/82092059.pdf","82092059")</f>
        <v>82092059</v>
      </c>
      <c r="F776" s="9" t="s">
        <v>2112</v>
      </c>
      <c r="G776" s="9" t="s">
        <v>2113</v>
      </c>
      <c r="H776" s="9" t="s">
        <v>2114</v>
      </c>
      <c r="I776" s="10">
        <v>45617</v>
      </c>
    </row>
    <row r="777" spans="1:9" x14ac:dyDescent="0.15">
      <c r="A777" s="9">
        <v>776</v>
      </c>
      <c r="B777" s="9" t="s">
        <v>9</v>
      </c>
      <c r="C777" s="9">
        <v>1925</v>
      </c>
      <c r="D777" s="10">
        <v>45715</v>
      </c>
      <c r="E777" s="11" t="str">
        <f>+HYPERLINK("http://trademark.i-assist.jp/data/china/image_1925th/82092239.pdf","82092239")</f>
        <v>82092239</v>
      </c>
      <c r="F777" s="9" t="s">
        <v>2115</v>
      </c>
      <c r="G777" s="9" t="s">
        <v>2116</v>
      </c>
      <c r="H777" s="9" t="s">
        <v>2117</v>
      </c>
      <c r="I777" s="10">
        <v>45617</v>
      </c>
    </row>
    <row r="778" spans="1:9" x14ac:dyDescent="0.15">
      <c r="A778" s="9">
        <v>777</v>
      </c>
      <c r="B778" s="9" t="s">
        <v>9</v>
      </c>
      <c r="C778" s="9">
        <v>1925</v>
      </c>
      <c r="D778" s="10">
        <v>45715</v>
      </c>
      <c r="E778" s="11" t="str">
        <f>+HYPERLINK("http://trademark.i-assist.jp/data/china/image_1925th/82092937.pdf","82092937")</f>
        <v>82092937</v>
      </c>
      <c r="F778" s="12" t="s">
        <v>57</v>
      </c>
      <c r="G778" s="12" t="s">
        <v>2118</v>
      </c>
      <c r="H778" s="9" t="s">
        <v>2119</v>
      </c>
      <c r="I778" s="10">
        <v>45617</v>
      </c>
    </row>
    <row r="779" spans="1:9" x14ac:dyDescent="0.15">
      <c r="A779" s="9">
        <v>778</v>
      </c>
      <c r="B779" s="9" t="s">
        <v>9</v>
      </c>
      <c r="C779" s="9">
        <v>1925</v>
      </c>
      <c r="D779" s="10">
        <v>45715</v>
      </c>
      <c r="E779" s="11" t="str">
        <f>+HYPERLINK("http://trademark.i-assist.jp/data/china/image_1925th/82093025.pdf","82093025")</f>
        <v>82093025</v>
      </c>
      <c r="F779" s="9" t="s">
        <v>2120</v>
      </c>
      <c r="G779" s="9" t="s">
        <v>2121</v>
      </c>
      <c r="H779" s="9" t="s">
        <v>2122</v>
      </c>
      <c r="I779" s="10">
        <v>45617</v>
      </c>
    </row>
    <row r="780" spans="1:9" x14ac:dyDescent="0.15">
      <c r="A780" s="9">
        <v>779</v>
      </c>
      <c r="B780" s="9" t="s">
        <v>9</v>
      </c>
      <c r="C780" s="9">
        <v>1925</v>
      </c>
      <c r="D780" s="10">
        <v>45715</v>
      </c>
      <c r="E780" s="11" t="str">
        <f>+HYPERLINK("http://trademark.i-assist.jp/data/china/image_1925th/82093690.pdf","82093690")</f>
        <v>82093690</v>
      </c>
      <c r="F780" s="9" t="s">
        <v>2123</v>
      </c>
      <c r="G780" s="9" t="s">
        <v>2124</v>
      </c>
      <c r="H780" s="9" t="s">
        <v>2125</v>
      </c>
      <c r="I780" s="10">
        <v>45617</v>
      </c>
    </row>
    <row r="781" spans="1:9" x14ac:dyDescent="0.15">
      <c r="A781" s="9">
        <v>780</v>
      </c>
      <c r="B781" s="9" t="s">
        <v>9</v>
      </c>
      <c r="C781" s="9">
        <v>1925</v>
      </c>
      <c r="D781" s="10">
        <v>45715</v>
      </c>
      <c r="E781" s="11" t="str">
        <f>+HYPERLINK("http://trademark.i-assist.jp/data/china/image_1925th/82093764.pdf","82093764")</f>
        <v>82093764</v>
      </c>
      <c r="F781" s="12" t="s">
        <v>2126</v>
      </c>
      <c r="G781" s="9" t="s">
        <v>857</v>
      </c>
      <c r="H781" s="9" t="s">
        <v>2127</v>
      </c>
      <c r="I781" s="10">
        <v>45617</v>
      </c>
    </row>
    <row r="782" spans="1:9" x14ac:dyDescent="0.15">
      <c r="A782" s="9">
        <v>781</v>
      </c>
      <c r="B782" s="9" t="s">
        <v>9</v>
      </c>
      <c r="C782" s="9">
        <v>1925</v>
      </c>
      <c r="D782" s="10">
        <v>45715</v>
      </c>
      <c r="E782" s="11" t="str">
        <f>+HYPERLINK("http://trademark.i-assist.jp/data/china/image_1925th/82094186.pdf","82094186")</f>
        <v>82094186</v>
      </c>
      <c r="F782" s="12" t="s">
        <v>2128</v>
      </c>
      <c r="G782" s="12" t="s">
        <v>2129</v>
      </c>
      <c r="H782" s="9" t="s">
        <v>2130</v>
      </c>
      <c r="I782" s="10">
        <v>45617</v>
      </c>
    </row>
    <row r="783" spans="1:9" x14ac:dyDescent="0.15">
      <c r="A783" s="9">
        <v>782</v>
      </c>
      <c r="B783" s="9" t="s">
        <v>9</v>
      </c>
      <c r="C783" s="9">
        <v>1925</v>
      </c>
      <c r="D783" s="10">
        <v>45715</v>
      </c>
      <c r="E783" s="11" t="str">
        <f>+HYPERLINK("http://trademark.i-assist.jp/data/china/image_1925th/82094515.pdf","82094515")</f>
        <v>82094515</v>
      </c>
      <c r="F783" s="12" t="s">
        <v>2131</v>
      </c>
      <c r="G783" s="9" t="s">
        <v>2132</v>
      </c>
      <c r="H783" s="9" t="s">
        <v>2133</v>
      </c>
      <c r="I783" s="10">
        <v>45617</v>
      </c>
    </row>
    <row r="784" spans="1:9" x14ac:dyDescent="0.15">
      <c r="A784" s="9">
        <v>783</v>
      </c>
      <c r="B784" s="9" t="s">
        <v>9</v>
      </c>
      <c r="C784" s="9">
        <v>1925</v>
      </c>
      <c r="D784" s="10">
        <v>45715</v>
      </c>
      <c r="E784" s="11" t="str">
        <f>+HYPERLINK("http://trademark.i-assist.jp/data/china/image_1925th/82094571.pdf","82094571")</f>
        <v>82094571</v>
      </c>
      <c r="F784" s="12" t="s">
        <v>57</v>
      </c>
      <c r="G784" s="12" t="s">
        <v>2134</v>
      </c>
      <c r="H784" s="9" t="s">
        <v>2135</v>
      </c>
      <c r="I784" s="10">
        <v>45617</v>
      </c>
    </row>
    <row r="785" spans="1:9" x14ac:dyDescent="0.15">
      <c r="A785" s="9">
        <v>784</v>
      </c>
      <c r="B785" s="9" t="s">
        <v>9</v>
      </c>
      <c r="C785" s="9">
        <v>1925</v>
      </c>
      <c r="D785" s="10">
        <v>45715</v>
      </c>
      <c r="E785" s="11" t="str">
        <f>+HYPERLINK("http://trademark.i-assist.jp/data/china/image_1925th/82094813.pdf","82094813")</f>
        <v>82094813</v>
      </c>
      <c r="F785" s="12" t="s">
        <v>2136</v>
      </c>
      <c r="G785" s="9" t="s">
        <v>2137</v>
      </c>
      <c r="H785" s="9" t="s">
        <v>2138</v>
      </c>
      <c r="I785" s="10">
        <v>45617</v>
      </c>
    </row>
    <row r="786" spans="1:9" x14ac:dyDescent="0.15">
      <c r="A786" s="9">
        <v>785</v>
      </c>
      <c r="B786" s="9" t="s">
        <v>9</v>
      </c>
      <c r="C786" s="9">
        <v>1925</v>
      </c>
      <c r="D786" s="10">
        <v>45715</v>
      </c>
      <c r="E786" s="11" t="str">
        <f>+HYPERLINK("http://trademark.i-assist.jp/data/china/image_1925th/82094966.pdf","82094966")</f>
        <v>82094966</v>
      </c>
      <c r="F786" s="9" t="s">
        <v>2139</v>
      </c>
      <c r="G786" s="12" t="s">
        <v>2140</v>
      </c>
      <c r="H786" s="9" t="s">
        <v>2141</v>
      </c>
      <c r="I786" s="10">
        <v>45617</v>
      </c>
    </row>
    <row r="787" spans="1:9" x14ac:dyDescent="0.15">
      <c r="A787" s="9">
        <v>786</v>
      </c>
      <c r="B787" s="9" t="s">
        <v>9</v>
      </c>
      <c r="C787" s="9">
        <v>1925</v>
      </c>
      <c r="D787" s="10">
        <v>45715</v>
      </c>
      <c r="E787" s="11" t="str">
        <f>+HYPERLINK("http://trademark.i-assist.jp/data/china/image_1925th/82095705.pdf","82095705")</f>
        <v>82095705</v>
      </c>
      <c r="F787" s="9" t="s">
        <v>2142</v>
      </c>
      <c r="G787" s="9" t="s">
        <v>2143</v>
      </c>
      <c r="H787" s="9" t="s">
        <v>2144</v>
      </c>
      <c r="I787" s="10">
        <v>45617</v>
      </c>
    </row>
    <row r="788" spans="1:9" x14ac:dyDescent="0.15">
      <c r="A788" s="9">
        <v>787</v>
      </c>
      <c r="B788" s="9" t="s">
        <v>9</v>
      </c>
      <c r="C788" s="9">
        <v>1925</v>
      </c>
      <c r="D788" s="10">
        <v>45715</v>
      </c>
      <c r="E788" s="11" t="str">
        <f>+HYPERLINK("http://trademark.i-assist.jp/data/china/image_1925th/82095711.pdf","82095711")</f>
        <v>82095711</v>
      </c>
      <c r="F788" s="9" t="s">
        <v>2145</v>
      </c>
      <c r="G788" s="12" t="s">
        <v>2146</v>
      </c>
      <c r="H788" s="9" t="s">
        <v>2147</v>
      </c>
      <c r="I788" s="10">
        <v>45617</v>
      </c>
    </row>
    <row r="789" spans="1:9" x14ac:dyDescent="0.15">
      <c r="A789" s="9">
        <v>788</v>
      </c>
      <c r="B789" s="9" t="s">
        <v>9</v>
      </c>
      <c r="C789" s="9">
        <v>1925</v>
      </c>
      <c r="D789" s="10">
        <v>45715</v>
      </c>
      <c r="E789" s="11" t="str">
        <f>+HYPERLINK("http://trademark.i-assist.jp/data/china/image_1925th/82095793.pdf","82095793")</f>
        <v>82095793</v>
      </c>
      <c r="F789" s="12" t="s">
        <v>2148</v>
      </c>
      <c r="G789" s="12" t="s">
        <v>2149</v>
      </c>
      <c r="H789" s="9" t="s">
        <v>2150</v>
      </c>
      <c r="I789" s="10">
        <v>45617</v>
      </c>
    </row>
    <row r="790" spans="1:9" x14ac:dyDescent="0.15">
      <c r="A790" s="9">
        <v>789</v>
      </c>
      <c r="B790" s="9" t="s">
        <v>9</v>
      </c>
      <c r="C790" s="9">
        <v>1925</v>
      </c>
      <c r="D790" s="10">
        <v>45715</v>
      </c>
      <c r="E790" s="11" t="str">
        <f>+HYPERLINK("http://trademark.i-assist.jp/data/china/image_1925th/82096224.pdf","82096224")</f>
        <v>82096224</v>
      </c>
      <c r="F790" s="9" t="s">
        <v>2151</v>
      </c>
      <c r="G790" s="9" t="s">
        <v>2152</v>
      </c>
      <c r="H790" s="12" t="s">
        <v>2153</v>
      </c>
      <c r="I790" s="10">
        <v>45617</v>
      </c>
    </row>
    <row r="791" spans="1:9" x14ac:dyDescent="0.15">
      <c r="A791" s="9">
        <v>790</v>
      </c>
      <c r="B791" s="9" t="s">
        <v>9</v>
      </c>
      <c r="C791" s="9">
        <v>1925</v>
      </c>
      <c r="D791" s="10">
        <v>45715</v>
      </c>
      <c r="E791" s="11" t="str">
        <f>+HYPERLINK("http://trademark.i-assist.jp/data/china/image_1925th/82096268.pdf","82096268")</f>
        <v>82096268</v>
      </c>
      <c r="F791" s="9" t="s">
        <v>2154</v>
      </c>
      <c r="G791" s="9" t="s">
        <v>2155</v>
      </c>
      <c r="H791" s="9" t="s">
        <v>2156</v>
      </c>
      <c r="I791" s="10">
        <v>45617</v>
      </c>
    </row>
    <row r="792" spans="1:9" x14ac:dyDescent="0.15">
      <c r="A792" s="9">
        <v>791</v>
      </c>
      <c r="B792" s="9" t="s">
        <v>9</v>
      </c>
      <c r="C792" s="9">
        <v>1925</v>
      </c>
      <c r="D792" s="10">
        <v>45715</v>
      </c>
      <c r="E792" s="11" t="str">
        <f>+HYPERLINK("http://trademark.i-assist.jp/data/china/image_1925th/82096520.pdf","82096520")</f>
        <v>82096520</v>
      </c>
      <c r="F792" s="12" t="s">
        <v>2157</v>
      </c>
      <c r="G792" s="9" t="s">
        <v>2158</v>
      </c>
      <c r="H792" s="9" t="s">
        <v>2159</v>
      </c>
      <c r="I792" s="10">
        <v>45617</v>
      </c>
    </row>
    <row r="793" spans="1:9" x14ac:dyDescent="0.15">
      <c r="A793" s="9">
        <v>792</v>
      </c>
      <c r="B793" s="9" t="s">
        <v>9</v>
      </c>
      <c r="C793" s="9">
        <v>1925</v>
      </c>
      <c r="D793" s="10">
        <v>45715</v>
      </c>
      <c r="E793" s="11" t="str">
        <f>+HYPERLINK("http://trademark.i-assist.jp/data/china/image_1925th/82096544.pdf","82096544")</f>
        <v>82096544</v>
      </c>
      <c r="F793" s="9" t="s">
        <v>2160</v>
      </c>
      <c r="G793" s="12" t="s">
        <v>2161</v>
      </c>
      <c r="H793" s="9" t="s">
        <v>2162</v>
      </c>
      <c r="I793" s="10">
        <v>45617</v>
      </c>
    </row>
    <row r="794" spans="1:9" x14ac:dyDescent="0.15">
      <c r="A794" s="9">
        <v>793</v>
      </c>
      <c r="B794" s="9" t="s">
        <v>9</v>
      </c>
      <c r="C794" s="9">
        <v>1925</v>
      </c>
      <c r="D794" s="10">
        <v>45715</v>
      </c>
      <c r="E794" s="11" t="str">
        <f>+HYPERLINK("http://trademark.i-assist.jp/data/china/image_1925th/82096641.pdf","82096641")</f>
        <v>82096641</v>
      </c>
      <c r="F794" s="9" t="s">
        <v>2163</v>
      </c>
      <c r="G794" s="9" t="s">
        <v>2164</v>
      </c>
      <c r="H794" s="9" t="s">
        <v>2165</v>
      </c>
      <c r="I794" s="10">
        <v>45617</v>
      </c>
    </row>
    <row r="795" spans="1:9" x14ac:dyDescent="0.15">
      <c r="A795" s="9">
        <v>794</v>
      </c>
      <c r="B795" s="9" t="s">
        <v>9</v>
      </c>
      <c r="C795" s="9">
        <v>1925</v>
      </c>
      <c r="D795" s="10">
        <v>45715</v>
      </c>
      <c r="E795" s="11" t="str">
        <f>+HYPERLINK("http://trademark.i-assist.jp/data/china/image_1925th/82096777.pdf","82096777")</f>
        <v>82096777</v>
      </c>
      <c r="F795" s="9" t="s">
        <v>2166</v>
      </c>
      <c r="G795" s="9" t="s">
        <v>2167</v>
      </c>
      <c r="H795" s="12" t="s">
        <v>2168</v>
      </c>
      <c r="I795" s="10">
        <v>45617</v>
      </c>
    </row>
    <row r="796" spans="1:9" x14ac:dyDescent="0.15">
      <c r="A796" s="9">
        <v>795</v>
      </c>
      <c r="B796" s="9" t="s">
        <v>9</v>
      </c>
      <c r="C796" s="9">
        <v>1925</v>
      </c>
      <c r="D796" s="10">
        <v>45715</v>
      </c>
      <c r="E796" s="11" t="str">
        <f>+HYPERLINK("http://trademark.i-assist.jp/data/china/image_1925th/82096861.pdf","82096861")</f>
        <v>82096861</v>
      </c>
      <c r="F796" s="9" t="s">
        <v>2169</v>
      </c>
      <c r="G796" s="9" t="s">
        <v>2170</v>
      </c>
      <c r="H796" s="9" t="s">
        <v>2171</v>
      </c>
      <c r="I796" s="10">
        <v>45617</v>
      </c>
    </row>
    <row r="797" spans="1:9" x14ac:dyDescent="0.15">
      <c r="A797" s="9">
        <v>796</v>
      </c>
      <c r="B797" s="9" t="s">
        <v>9</v>
      </c>
      <c r="C797" s="9">
        <v>1925</v>
      </c>
      <c r="D797" s="10">
        <v>45715</v>
      </c>
      <c r="E797" s="11" t="str">
        <f>+HYPERLINK("http://trademark.i-assist.jp/data/china/image_1925th/82097520.pdf","82097520")</f>
        <v>82097520</v>
      </c>
      <c r="F797" s="9" t="s">
        <v>2172</v>
      </c>
      <c r="G797" s="9" t="s">
        <v>2173</v>
      </c>
      <c r="H797" s="9" t="s">
        <v>2174</v>
      </c>
      <c r="I797" s="10">
        <v>45617</v>
      </c>
    </row>
    <row r="798" spans="1:9" x14ac:dyDescent="0.15">
      <c r="A798" s="9">
        <v>797</v>
      </c>
      <c r="B798" s="9" t="s">
        <v>9</v>
      </c>
      <c r="C798" s="9">
        <v>1925</v>
      </c>
      <c r="D798" s="10">
        <v>45715</v>
      </c>
      <c r="E798" s="11" t="str">
        <f>+HYPERLINK("http://trademark.i-assist.jp/data/china/image_1925th/82097586.pdf","82097586")</f>
        <v>82097586</v>
      </c>
      <c r="F798" s="9" t="s">
        <v>2175</v>
      </c>
      <c r="G798" s="12" t="s">
        <v>2176</v>
      </c>
      <c r="H798" s="9" t="s">
        <v>2177</v>
      </c>
      <c r="I798" s="10">
        <v>45617</v>
      </c>
    </row>
    <row r="799" spans="1:9" x14ac:dyDescent="0.15">
      <c r="A799" s="9">
        <v>798</v>
      </c>
      <c r="B799" s="9" t="s">
        <v>9</v>
      </c>
      <c r="C799" s="9">
        <v>1925</v>
      </c>
      <c r="D799" s="10">
        <v>45715</v>
      </c>
      <c r="E799" s="11" t="str">
        <f>+HYPERLINK("http://trademark.i-assist.jp/data/china/image_1925th/82097798.pdf","82097798")</f>
        <v>82097798</v>
      </c>
      <c r="F799" s="12" t="s">
        <v>57</v>
      </c>
      <c r="G799" s="9" t="s">
        <v>2178</v>
      </c>
      <c r="H799" s="9" t="s">
        <v>2179</v>
      </c>
      <c r="I799" s="10">
        <v>45617</v>
      </c>
    </row>
    <row r="800" spans="1:9" x14ac:dyDescent="0.15">
      <c r="A800" s="9">
        <v>799</v>
      </c>
      <c r="B800" s="9" t="s">
        <v>9</v>
      </c>
      <c r="C800" s="9">
        <v>1925</v>
      </c>
      <c r="D800" s="10">
        <v>45715</v>
      </c>
      <c r="E800" s="11" t="str">
        <f>+HYPERLINK("http://trademark.i-assist.jp/data/china/image_1925th/82097978.pdf","82097978")</f>
        <v>82097978</v>
      </c>
      <c r="F800" s="9" t="s">
        <v>2180</v>
      </c>
      <c r="G800" s="9" t="s">
        <v>2181</v>
      </c>
      <c r="H800" s="9" t="s">
        <v>2182</v>
      </c>
      <c r="I800" s="10">
        <v>45617</v>
      </c>
    </row>
    <row r="801" spans="1:9" x14ac:dyDescent="0.15">
      <c r="A801" s="9">
        <v>800</v>
      </c>
      <c r="B801" s="9" t="s">
        <v>9</v>
      </c>
      <c r="C801" s="9">
        <v>1925</v>
      </c>
      <c r="D801" s="10">
        <v>45715</v>
      </c>
      <c r="E801" s="11" t="str">
        <f>+HYPERLINK("http://trademark.i-assist.jp/data/china/image_1925th/82098377.pdf","82098377")</f>
        <v>82098377</v>
      </c>
      <c r="F801" s="9" t="s">
        <v>2183</v>
      </c>
      <c r="G801" s="9" t="s">
        <v>2184</v>
      </c>
      <c r="H801" s="9" t="s">
        <v>2185</v>
      </c>
      <c r="I801" s="10">
        <v>45617</v>
      </c>
    </row>
    <row r="802" spans="1:9" x14ac:dyDescent="0.15">
      <c r="A802" s="9">
        <v>801</v>
      </c>
      <c r="B802" s="9" t="s">
        <v>9</v>
      </c>
      <c r="C802" s="9">
        <v>1925</v>
      </c>
      <c r="D802" s="10">
        <v>45715</v>
      </c>
      <c r="E802" s="11" t="str">
        <f>+HYPERLINK("http://trademark.i-assist.jp/data/china/image_1925th/82098395.pdf","82098395")</f>
        <v>82098395</v>
      </c>
      <c r="F802" s="9" t="s">
        <v>2186</v>
      </c>
      <c r="G802" s="12" t="s">
        <v>2187</v>
      </c>
      <c r="H802" s="9" t="s">
        <v>2188</v>
      </c>
      <c r="I802" s="10">
        <v>45617</v>
      </c>
    </row>
    <row r="803" spans="1:9" x14ac:dyDescent="0.15">
      <c r="A803" s="9">
        <v>802</v>
      </c>
      <c r="B803" s="9" t="s">
        <v>9</v>
      </c>
      <c r="C803" s="9">
        <v>1925</v>
      </c>
      <c r="D803" s="10">
        <v>45715</v>
      </c>
      <c r="E803" s="11" t="str">
        <f>+HYPERLINK("http://trademark.i-assist.jp/data/china/image_1925th/82098733.pdf","82098733")</f>
        <v>82098733</v>
      </c>
      <c r="F803" s="9" t="s">
        <v>2189</v>
      </c>
      <c r="G803" s="9" t="s">
        <v>2190</v>
      </c>
      <c r="H803" s="9" t="s">
        <v>2191</v>
      </c>
      <c r="I803" s="10">
        <v>45617</v>
      </c>
    </row>
    <row r="804" spans="1:9" x14ac:dyDescent="0.15">
      <c r="A804" s="9">
        <v>803</v>
      </c>
      <c r="B804" s="9" t="s">
        <v>9</v>
      </c>
      <c r="C804" s="9">
        <v>1925</v>
      </c>
      <c r="D804" s="10">
        <v>45715</v>
      </c>
      <c r="E804" s="11" t="str">
        <f>+HYPERLINK("http://trademark.i-assist.jp/data/china/image_1925th/82099144.pdf","82099144")</f>
        <v>82099144</v>
      </c>
      <c r="F804" s="9" t="s">
        <v>2192</v>
      </c>
      <c r="G804" s="12" t="s">
        <v>2193</v>
      </c>
      <c r="H804" s="9" t="s">
        <v>2194</v>
      </c>
      <c r="I804" s="10">
        <v>45617</v>
      </c>
    </row>
    <row r="805" spans="1:9" x14ac:dyDescent="0.15">
      <c r="A805" s="9">
        <v>804</v>
      </c>
      <c r="B805" s="9" t="s">
        <v>9</v>
      </c>
      <c r="C805" s="9">
        <v>1925</v>
      </c>
      <c r="D805" s="10">
        <v>45715</v>
      </c>
      <c r="E805" s="11" t="str">
        <f>+HYPERLINK("http://trademark.i-assist.jp/data/china/image_1925th/82099310.pdf","82099310")</f>
        <v>82099310</v>
      </c>
      <c r="F805" s="9" t="s">
        <v>2195</v>
      </c>
      <c r="G805" s="9" t="s">
        <v>2196</v>
      </c>
      <c r="H805" s="9" t="s">
        <v>2197</v>
      </c>
      <c r="I805" s="10">
        <v>45617</v>
      </c>
    </row>
    <row r="806" spans="1:9" x14ac:dyDescent="0.15">
      <c r="A806" s="9">
        <v>805</v>
      </c>
      <c r="B806" s="9" t="s">
        <v>9</v>
      </c>
      <c r="C806" s="9">
        <v>1925</v>
      </c>
      <c r="D806" s="10">
        <v>45715</v>
      </c>
      <c r="E806" s="11" t="str">
        <f>+HYPERLINK("http://trademark.i-assist.jp/data/china/image_1925th/82099544.pdf","82099544")</f>
        <v>82099544</v>
      </c>
      <c r="F806" s="9" t="s">
        <v>2198</v>
      </c>
      <c r="G806" s="9" t="s">
        <v>2199</v>
      </c>
      <c r="H806" s="9" t="s">
        <v>2200</v>
      </c>
      <c r="I806" s="10">
        <v>45617</v>
      </c>
    </row>
    <row r="807" spans="1:9" x14ac:dyDescent="0.15">
      <c r="A807" s="9">
        <v>806</v>
      </c>
      <c r="B807" s="9" t="s">
        <v>9</v>
      </c>
      <c r="C807" s="9">
        <v>1925</v>
      </c>
      <c r="D807" s="10">
        <v>45715</v>
      </c>
      <c r="E807" s="11" t="str">
        <f>+HYPERLINK("http://trademark.i-assist.jp/data/china/image_1925th/82099568.pdf","82099568")</f>
        <v>82099568</v>
      </c>
      <c r="F807" s="9" t="s">
        <v>2201</v>
      </c>
      <c r="G807" s="12" t="s">
        <v>2202</v>
      </c>
      <c r="H807" s="9" t="s">
        <v>2203</v>
      </c>
      <c r="I807" s="10">
        <v>45617</v>
      </c>
    </row>
    <row r="808" spans="1:9" x14ac:dyDescent="0.15">
      <c r="A808" s="9">
        <v>807</v>
      </c>
      <c r="B808" s="9" t="s">
        <v>9</v>
      </c>
      <c r="C808" s="9">
        <v>1925</v>
      </c>
      <c r="D808" s="10">
        <v>45715</v>
      </c>
      <c r="E808" s="11" t="str">
        <f>+HYPERLINK("http://trademark.i-assist.jp/data/china/image_1925th/82099760.pdf","82099760")</f>
        <v>82099760</v>
      </c>
      <c r="F808" s="9" t="s">
        <v>2204</v>
      </c>
      <c r="G808" s="9" t="s">
        <v>2205</v>
      </c>
      <c r="H808" s="9" t="s">
        <v>2206</v>
      </c>
      <c r="I808" s="10">
        <v>45617</v>
      </c>
    </row>
    <row r="809" spans="1:9" x14ac:dyDescent="0.15">
      <c r="A809" s="9">
        <v>808</v>
      </c>
      <c r="B809" s="9" t="s">
        <v>9</v>
      </c>
      <c r="C809" s="9">
        <v>1925</v>
      </c>
      <c r="D809" s="10">
        <v>45715</v>
      </c>
      <c r="E809" s="11" t="str">
        <f>+HYPERLINK("http://trademark.i-assist.jp/data/china/image_1925th/82100223.pdf","82100223")</f>
        <v>82100223</v>
      </c>
      <c r="F809" s="9" t="s">
        <v>2207</v>
      </c>
      <c r="G809" s="9" t="s">
        <v>2208</v>
      </c>
      <c r="H809" s="9" t="s">
        <v>2209</v>
      </c>
      <c r="I809" s="10">
        <v>45617</v>
      </c>
    </row>
    <row r="810" spans="1:9" x14ac:dyDescent="0.15">
      <c r="A810" s="9">
        <v>809</v>
      </c>
      <c r="B810" s="9" t="s">
        <v>9</v>
      </c>
      <c r="C810" s="9">
        <v>1925</v>
      </c>
      <c r="D810" s="10">
        <v>45715</v>
      </c>
      <c r="E810" s="11" t="str">
        <f>+HYPERLINK("http://trademark.i-assist.jp/data/china/image_1925th/82100402.pdf","82100402")</f>
        <v>82100402</v>
      </c>
      <c r="F810" s="9" t="s">
        <v>2210</v>
      </c>
      <c r="G810" s="9" t="s">
        <v>2211</v>
      </c>
      <c r="H810" s="9" t="s">
        <v>2212</v>
      </c>
      <c r="I810" s="10">
        <v>45617</v>
      </c>
    </row>
    <row r="811" spans="1:9" x14ac:dyDescent="0.15">
      <c r="A811" s="9">
        <v>810</v>
      </c>
      <c r="B811" s="9" t="s">
        <v>9</v>
      </c>
      <c r="C811" s="9">
        <v>1925</v>
      </c>
      <c r="D811" s="10">
        <v>45715</v>
      </c>
      <c r="E811" s="11" t="str">
        <f>+HYPERLINK("http://trademark.i-assist.jp/data/china/image_1925th/82100504.pdf","82100504")</f>
        <v>82100504</v>
      </c>
      <c r="F811" s="9" t="s">
        <v>2213</v>
      </c>
      <c r="G811" s="12" t="s">
        <v>2214</v>
      </c>
      <c r="H811" s="9" t="s">
        <v>2215</v>
      </c>
      <c r="I811" s="10">
        <v>45617</v>
      </c>
    </row>
    <row r="812" spans="1:9" x14ac:dyDescent="0.15">
      <c r="A812" s="9">
        <v>811</v>
      </c>
      <c r="B812" s="9" t="s">
        <v>9</v>
      </c>
      <c r="C812" s="9">
        <v>1925</v>
      </c>
      <c r="D812" s="10">
        <v>45715</v>
      </c>
      <c r="E812" s="11" t="str">
        <f>+HYPERLINK("http://trademark.i-assist.jp/data/china/image_1925th/82100551.pdf","82100551")</f>
        <v>82100551</v>
      </c>
      <c r="F812" s="9" t="s">
        <v>2216</v>
      </c>
      <c r="G812" s="9" t="s">
        <v>2217</v>
      </c>
      <c r="H812" s="9" t="s">
        <v>2218</v>
      </c>
      <c r="I812" s="10">
        <v>45617</v>
      </c>
    </row>
    <row r="813" spans="1:9" x14ac:dyDescent="0.15">
      <c r="A813" s="9">
        <v>812</v>
      </c>
      <c r="B813" s="9" t="s">
        <v>9</v>
      </c>
      <c r="C813" s="9">
        <v>1925</v>
      </c>
      <c r="D813" s="10">
        <v>45715</v>
      </c>
      <c r="E813" s="11" t="str">
        <f>+HYPERLINK("http://trademark.i-assist.jp/data/china/image_1925th/82100667.pdf","82100667")</f>
        <v>82100667</v>
      </c>
      <c r="F813" s="9" t="s">
        <v>2219</v>
      </c>
      <c r="G813" s="9" t="s">
        <v>2155</v>
      </c>
      <c r="H813" s="9" t="s">
        <v>2220</v>
      </c>
      <c r="I813" s="10">
        <v>45617</v>
      </c>
    </row>
    <row r="814" spans="1:9" x14ac:dyDescent="0.15">
      <c r="A814" s="9">
        <v>813</v>
      </c>
      <c r="B814" s="9" t="s">
        <v>9</v>
      </c>
      <c r="C814" s="9">
        <v>1925</v>
      </c>
      <c r="D814" s="10">
        <v>45715</v>
      </c>
      <c r="E814" s="11" t="str">
        <f>+HYPERLINK("http://trademark.i-assist.jp/data/china/image_1925th/82100862.pdf","82100862")</f>
        <v>82100862</v>
      </c>
      <c r="F814" s="9" t="s">
        <v>2221</v>
      </c>
      <c r="G814" s="12" t="s">
        <v>2222</v>
      </c>
      <c r="H814" s="9" t="s">
        <v>2223</v>
      </c>
      <c r="I814" s="10">
        <v>45617</v>
      </c>
    </row>
    <row r="815" spans="1:9" x14ac:dyDescent="0.15">
      <c r="A815" s="9">
        <v>814</v>
      </c>
      <c r="B815" s="9" t="s">
        <v>9</v>
      </c>
      <c r="C815" s="9">
        <v>1925</v>
      </c>
      <c r="D815" s="10">
        <v>45715</v>
      </c>
      <c r="E815" s="11" t="str">
        <f>+HYPERLINK("http://trademark.i-assist.jp/data/china/image_1925th/82101098.pdf","82101098")</f>
        <v>82101098</v>
      </c>
      <c r="F815" s="9" t="s">
        <v>2224</v>
      </c>
      <c r="G815" s="9" t="s">
        <v>2225</v>
      </c>
      <c r="H815" s="9" t="s">
        <v>2226</v>
      </c>
      <c r="I815" s="10">
        <v>45617</v>
      </c>
    </row>
    <row r="816" spans="1:9" x14ac:dyDescent="0.15">
      <c r="A816" s="9">
        <v>815</v>
      </c>
      <c r="B816" s="9" t="s">
        <v>9</v>
      </c>
      <c r="C816" s="9">
        <v>1925</v>
      </c>
      <c r="D816" s="10">
        <v>45715</v>
      </c>
      <c r="E816" s="11" t="str">
        <f>+HYPERLINK("http://trademark.i-assist.jp/data/china/image_1925th/82101370.pdf","82101370")</f>
        <v>82101370</v>
      </c>
      <c r="F816" s="12" t="s">
        <v>2227</v>
      </c>
      <c r="G816" s="9" t="s">
        <v>2228</v>
      </c>
      <c r="H816" s="9" t="s">
        <v>2229</v>
      </c>
      <c r="I816" s="10">
        <v>45617</v>
      </c>
    </row>
    <row r="817" spans="1:9" x14ac:dyDescent="0.15">
      <c r="A817" s="9">
        <v>816</v>
      </c>
      <c r="B817" s="9" t="s">
        <v>9</v>
      </c>
      <c r="C817" s="9">
        <v>1925</v>
      </c>
      <c r="D817" s="10">
        <v>45715</v>
      </c>
      <c r="E817" s="11" t="str">
        <f>+HYPERLINK("http://trademark.i-assist.jp/data/china/image_1925th/82101638.pdf","82101638")</f>
        <v>82101638</v>
      </c>
      <c r="F817" s="9" t="s">
        <v>2230</v>
      </c>
      <c r="G817" s="9" t="s">
        <v>2231</v>
      </c>
      <c r="H817" s="9" t="s">
        <v>2232</v>
      </c>
      <c r="I817" s="10">
        <v>45617</v>
      </c>
    </row>
    <row r="818" spans="1:9" x14ac:dyDescent="0.15">
      <c r="A818" s="9">
        <v>817</v>
      </c>
      <c r="B818" s="9" t="s">
        <v>9</v>
      </c>
      <c r="C818" s="9">
        <v>1925</v>
      </c>
      <c r="D818" s="10">
        <v>45715</v>
      </c>
      <c r="E818" s="11" t="str">
        <f>+HYPERLINK("http://trademark.i-assist.jp/data/china/image_1925th/82101948.pdf","82101948")</f>
        <v>82101948</v>
      </c>
      <c r="F818" s="9" t="s">
        <v>2233</v>
      </c>
      <c r="G818" s="12" t="s">
        <v>2234</v>
      </c>
      <c r="H818" s="9" t="s">
        <v>2235</v>
      </c>
      <c r="I818" s="10">
        <v>45617</v>
      </c>
    </row>
    <row r="819" spans="1:9" x14ac:dyDescent="0.15">
      <c r="A819" s="9">
        <v>818</v>
      </c>
      <c r="B819" s="9" t="s">
        <v>9</v>
      </c>
      <c r="C819" s="9">
        <v>1925</v>
      </c>
      <c r="D819" s="10">
        <v>45715</v>
      </c>
      <c r="E819" s="11" t="str">
        <f>+HYPERLINK("http://trademark.i-assist.jp/data/china/image_1925th/82102049.pdf","82102049")</f>
        <v>82102049</v>
      </c>
      <c r="F819" s="12" t="s">
        <v>2236</v>
      </c>
      <c r="G819" s="9" t="s">
        <v>2237</v>
      </c>
      <c r="H819" s="9" t="s">
        <v>2238</v>
      </c>
      <c r="I819" s="10">
        <v>45617</v>
      </c>
    </row>
    <row r="820" spans="1:9" x14ac:dyDescent="0.15">
      <c r="A820" s="9">
        <v>819</v>
      </c>
      <c r="B820" s="9" t="s">
        <v>9</v>
      </c>
      <c r="C820" s="9">
        <v>1925</v>
      </c>
      <c r="D820" s="10">
        <v>45715</v>
      </c>
      <c r="E820" s="11" t="str">
        <f>+HYPERLINK("http://trademark.i-assist.jp/data/china/image_1925th/82102300.pdf","82102300")</f>
        <v>82102300</v>
      </c>
      <c r="F820" s="9" t="s">
        <v>2239</v>
      </c>
      <c r="G820" s="12" t="s">
        <v>2240</v>
      </c>
      <c r="H820" s="9" t="s">
        <v>2241</v>
      </c>
      <c r="I820" s="10">
        <v>45617</v>
      </c>
    </row>
    <row r="821" spans="1:9" x14ac:dyDescent="0.15">
      <c r="A821" s="9">
        <v>820</v>
      </c>
      <c r="B821" s="9" t="s">
        <v>9</v>
      </c>
      <c r="C821" s="9">
        <v>1925</v>
      </c>
      <c r="D821" s="10">
        <v>45715</v>
      </c>
      <c r="E821" s="11" t="str">
        <f>+HYPERLINK("http://trademark.i-assist.jp/data/china/image_1925th/82103160.pdf","82103160")</f>
        <v>82103160</v>
      </c>
      <c r="F821" s="9" t="s">
        <v>2242</v>
      </c>
      <c r="G821" s="12" t="s">
        <v>2243</v>
      </c>
      <c r="H821" s="9" t="s">
        <v>2244</v>
      </c>
      <c r="I821" s="10">
        <v>45617</v>
      </c>
    </row>
    <row r="822" spans="1:9" x14ac:dyDescent="0.15">
      <c r="A822" s="9">
        <v>821</v>
      </c>
      <c r="B822" s="9" t="s">
        <v>9</v>
      </c>
      <c r="C822" s="9">
        <v>1925</v>
      </c>
      <c r="D822" s="10">
        <v>45715</v>
      </c>
      <c r="E822" s="11" t="str">
        <f>+HYPERLINK("http://trademark.i-assist.jp/data/china/image_1925th/82103267.pdf","82103267")</f>
        <v>82103267</v>
      </c>
      <c r="F822" s="12" t="s">
        <v>2245</v>
      </c>
      <c r="G822" s="9" t="s">
        <v>2246</v>
      </c>
      <c r="H822" s="12" t="s">
        <v>2247</v>
      </c>
      <c r="I822" s="10">
        <v>45617</v>
      </c>
    </row>
    <row r="823" spans="1:9" x14ac:dyDescent="0.15">
      <c r="A823" s="9">
        <v>822</v>
      </c>
      <c r="B823" s="9" t="s">
        <v>9</v>
      </c>
      <c r="C823" s="9">
        <v>1925</v>
      </c>
      <c r="D823" s="10">
        <v>45715</v>
      </c>
      <c r="E823" s="11" t="str">
        <f>+HYPERLINK("http://trademark.i-assist.jp/data/china/image_1925th/82104268.pdf","82104268")</f>
        <v>82104268</v>
      </c>
      <c r="F823" s="9" t="s">
        <v>2248</v>
      </c>
      <c r="G823" s="9" t="s">
        <v>2249</v>
      </c>
      <c r="H823" s="9" t="s">
        <v>2250</v>
      </c>
      <c r="I823" s="10">
        <v>45617</v>
      </c>
    </row>
    <row r="824" spans="1:9" x14ac:dyDescent="0.15">
      <c r="A824" s="9">
        <v>823</v>
      </c>
      <c r="B824" s="9" t="s">
        <v>9</v>
      </c>
      <c r="C824" s="9">
        <v>1925</v>
      </c>
      <c r="D824" s="10">
        <v>45715</v>
      </c>
      <c r="E824" s="11" t="str">
        <f>+HYPERLINK("http://trademark.i-assist.jp/data/china/image_1925th/82104377.pdf","82104377")</f>
        <v>82104377</v>
      </c>
      <c r="F824" s="9" t="s">
        <v>2251</v>
      </c>
      <c r="G824" s="9" t="s">
        <v>2252</v>
      </c>
      <c r="H824" s="9" t="s">
        <v>2253</v>
      </c>
      <c r="I824" s="10">
        <v>45617</v>
      </c>
    </row>
    <row r="825" spans="1:9" x14ac:dyDescent="0.15">
      <c r="A825" s="9">
        <v>824</v>
      </c>
      <c r="B825" s="9" t="s">
        <v>9</v>
      </c>
      <c r="C825" s="9">
        <v>1925</v>
      </c>
      <c r="D825" s="10">
        <v>45715</v>
      </c>
      <c r="E825" s="11" t="str">
        <f>+HYPERLINK("http://trademark.i-assist.jp/data/china/image_1925th/82104385.pdf","82104385")</f>
        <v>82104385</v>
      </c>
      <c r="F825" s="12" t="s">
        <v>2254</v>
      </c>
      <c r="G825" s="12" t="s">
        <v>2255</v>
      </c>
      <c r="H825" s="9" t="s">
        <v>2256</v>
      </c>
      <c r="I825" s="10">
        <v>45617</v>
      </c>
    </row>
    <row r="826" spans="1:9" x14ac:dyDescent="0.15">
      <c r="A826" s="9">
        <v>825</v>
      </c>
      <c r="B826" s="9" t="s">
        <v>9</v>
      </c>
      <c r="C826" s="9">
        <v>1925</v>
      </c>
      <c r="D826" s="10">
        <v>45715</v>
      </c>
      <c r="E826" s="11" t="str">
        <f>+HYPERLINK("http://trademark.i-assist.jp/data/china/image_1925th/82104879.pdf","82104879")</f>
        <v>82104879</v>
      </c>
      <c r="F826" s="12" t="s">
        <v>57</v>
      </c>
      <c r="G826" s="12" t="s">
        <v>2187</v>
      </c>
      <c r="H826" s="9" t="s">
        <v>2257</v>
      </c>
      <c r="I826" s="10">
        <v>45617</v>
      </c>
    </row>
    <row r="827" spans="1:9" x14ac:dyDescent="0.15">
      <c r="A827" s="9">
        <v>826</v>
      </c>
      <c r="B827" s="9" t="s">
        <v>9</v>
      </c>
      <c r="C827" s="9">
        <v>1925</v>
      </c>
      <c r="D827" s="10">
        <v>45715</v>
      </c>
      <c r="E827" s="11" t="str">
        <f>+HYPERLINK("http://trademark.i-assist.jp/data/china/image_1925th/82104888.pdf","82104888")</f>
        <v>82104888</v>
      </c>
      <c r="F827" s="9" t="s">
        <v>2258</v>
      </c>
      <c r="G827" s="9" t="s">
        <v>2259</v>
      </c>
      <c r="H827" s="9" t="s">
        <v>2260</v>
      </c>
      <c r="I827" s="10">
        <v>45617</v>
      </c>
    </row>
    <row r="828" spans="1:9" x14ac:dyDescent="0.15">
      <c r="A828" s="9">
        <v>827</v>
      </c>
      <c r="B828" s="9" t="s">
        <v>9</v>
      </c>
      <c r="C828" s="9">
        <v>1925</v>
      </c>
      <c r="D828" s="10">
        <v>45715</v>
      </c>
      <c r="E828" s="11" t="str">
        <f>+HYPERLINK("http://trademark.i-assist.jp/data/china/image_1925th/82105157.pdf","82105157")</f>
        <v>82105157</v>
      </c>
      <c r="F828" s="9" t="s">
        <v>2261</v>
      </c>
      <c r="G828" s="9" t="s">
        <v>2262</v>
      </c>
      <c r="H828" s="9" t="s">
        <v>2263</v>
      </c>
      <c r="I828" s="10">
        <v>45617</v>
      </c>
    </row>
    <row r="829" spans="1:9" x14ac:dyDescent="0.15">
      <c r="A829" s="9">
        <v>828</v>
      </c>
      <c r="B829" s="9" t="s">
        <v>9</v>
      </c>
      <c r="C829" s="9">
        <v>1925</v>
      </c>
      <c r="D829" s="10">
        <v>45715</v>
      </c>
      <c r="E829" s="11" t="str">
        <f>+HYPERLINK("http://trademark.i-assist.jp/data/china/image_1925th/82105201.pdf","82105201")</f>
        <v>82105201</v>
      </c>
      <c r="F829" s="12" t="s">
        <v>2264</v>
      </c>
      <c r="G829" s="12" t="s">
        <v>2265</v>
      </c>
      <c r="H829" s="9" t="s">
        <v>2266</v>
      </c>
      <c r="I829" s="10">
        <v>45617</v>
      </c>
    </row>
    <row r="830" spans="1:9" x14ac:dyDescent="0.15">
      <c r="A830" s="9">
        <v>829</v>
      </c>
      <c r="B830" s="9" t="s">
        <v>9</v>
      </c>
      <c r="C830" s="9">
        <v>1925</v>
      </c>
      <c r="D830" s="10">
        <v>45715</v>
      </c>
      <c r="E830" s="11" t="str">
        <f>+HYPERLINK("http://trademark.i-assist.jp/data/china/image_1925th/82105513.pdf","82105513")</f>
        <v>82105513</v>
      </c>
      <c r="F830" s="12" t="s">
        <v>2267</v>
      </c>
      <c r="G830" s="12" t="s">
        <v>2268</v>
      </c>
      <c r="H830" s="9" t="s">
        <v>2269</v>
      </c>
      <c r="I830" s="10">
        <v>45617</v>
      </c>
    </row>
    <row r="831" spans="1:9" x14ac:dyDescent="0.15">
      <c r="A831" s="9">
        <v>830</v>
      </c>
      <c r="B831" s="9" t="s">
        <v>9</v>
      </c>
      <c r="C831" s="9">
        <v>1925</v>
      </c>
      <c r="D831" s="10">
        <v>45715</v>
      </c>
      <c r="E831" s="11" t="str">
        <f>+HYPERLINK("http://trademark.i-assist.jp/data/china/image_1925th/82105689.pdf","82105689")</f>
        <v>82105689</v>
      </c>
      <c r="F831" s="12" t="s">
        <v>2270</v>
      </c>
      <c r="G831" s="9" t="s">
        <v>2237</v>
      </c>
      <c r="H831" s="9" t="s">
        <v>2271</v>
      </c>
      <c r="I831" s="10">
        <v>45617</v>
      </c>
    </row>
    <row r="832" spans="1:9" x14ac:dyDescent="0.15">
      <c r="A832" s="9">
        <v>831</v>
      </c>
      <c r="B832" s="9" t="s">
        <v>9</v>
      </c>
      <c r="C832" s="9">
        <v>1925</v>
      </c>
      <c r="D832" s="10">
        <v>45715</v>
      </c>
      <c r="E832" s="11" t="str">
        <f>+HYPERLINK("http://trademark.i-assist.jp/data/china/image_1925th/82105759.pdf","82105759")</f>
        <v>82105759</v>
      </c>
      <c r="F832" s="9" t="s">
        <v>2272</v>
      </c>
      <c r="G832" s="9" t="s">
        <v>2273</v>
      </c>
      <c r="H832" s="9" t="s">
        <v>2274</v>
      </c>
      <c r="I832" s="10">
        <v>45617</v>
      </c>
    </row>
    <row r="833" spans="1:9" x14ac:dyDescent="0.15">
      <c r="A833" s="9">
        <v>832</v>
      </c>
      <c r="B833" s="9" t="s">
        <v>9</v>
      </c>
      <c r="C833" s="9">
        <v>1925</v>
      </c>
      <c r="D833" s="10">
        <v>45715</v>
      </c>
      <c r="E833" s="11" t="str">
        <f>+HYPERLINK("http://trademark.i-assist.jp/data/china/image_1925th/82106019.pdf","82106019")</f>
        <v>82106019</v>
      </c>
      <c r="F833" s="9" t="s">
        <v>2275</v>
      </c>
      <c r="G833" s="9" t="s">
        <v>2276</v>
      </c>
      <c r="H833" s="9" t="s">
        <v>2277</v>
      </c>
      <c r="I833" s="10">
        <v>45617</v>
      </c>
    </row>
    <row r="834" spans="1:9" x14ac:dyDescent="0.15">
      <c r="A834" s="9">
        <v>833</v>
      </c>
      <c r="B834" s="9" t="s">
        <v>9</v>
      </c>
      <c r="C834" s="9">
        <v>1925</v>
      </c>
      <c r="D834" s="10">
        <v>45715</v>
      </c>
      <c r="E834" s="11" t="str">
        <f>+HYPERLINK("http://trademark.i-assist.jp/data/china/image_1925th/82106144.pdf","82106144")</f>
        <v>82106144</v>
      </c>
      <c r="F834" s="9" t="s">
        <v>2278</v>
      </c>
      <c r="G834" s="9" t="s">
        <v>2279</v>
      </c>
      <c r="H834" s="9" t="s">
        <v>1765</v>
      </c>
      <c r="I834" s="10">
        <v>45617</v>
      </c>
    </row>
    <row r="835" spans="1:9" x14ac:dyDescent="0.15">
      <c r="A835" s="9">
        <v>834</v>
      </c>
      <c r="B835" s="9" t="s">
        <v>9</v>
      </c>
      <c r="C835" s="9">
        <v>1925</v>
      </c>
      <c r="D835" s="10">
        <v>45715</v>
      </c>
      <c r="E835" s="11" t="str">
        <f>+HYPERLINK("http://trademark.i-assist.jp/data/china/image_1925th/82106402.pdf","82106402")</f>
        <v>82106402</v>
      </c>
      <c r="F835" s="9" t="s">
        <v>2280</v>
      </c>
      <c r="G835" s="12" t="s">
        <v>2281</v>
      </c>
      <c r="H835" s="9" t="s">
        <v>2282</v>
      </c>
      <c r="I835" s="10">
        <v>45617</v>
      </c>
    </row>
    <row r="836" spans="1:9" x14ac:dyDescent="0.15">
      <c r="A836" s="9">
        <v>835</v>
      </c>
      <c r="B836" s="9" t="s">
        <v>9</v>
      </c>
      <c r="C836" s="9">
        <v>1925</v>
      </c>
      <c r="D836" s="10">
        <v>45715</v>
      </c>
      <c r="E836" s="11" t="str">
        <f>+HYPERLINK("http://trademark.i-assist.jp/data/china/image_1925th/82106924.pdf","82106924")</f>
        <v>82106924</v>
      </c>
      <c r="F836" s="12" t="s">
        <v>2283</v>
      </c>
      <c r="G836" s="12" t="s">
        <v>2284</v>
      </c>
      <c r="H836" s="9" t="s">
        <v>2285</v>
      </c>
      <c r="I836" s="10">
        <v>45617</v>
      </c>
    </row>
    <row r="837" spans="1:9" x14ac:dyDescent="0.15">
      <c r="A837" s="9">
        <v>836</v>
      </c>
      <c r="B837" s="9" t="s">
        <v>9</v>
      </c>
      <c r="C837" s="9">
        <v>1925</v>
      </c>
      <c r="D837" s="10">
        <v>45715</v>
      </c>
      <c r="E837" s="11" t="str">
        <f>+HYPERLINK("http://trademark.i-assist.jp/data/china/image_1925th/82107263.pdf","82107263")</f>
        <v>82107263</v>
      </c>
      <c r="F837" s="9" t="s">
        <v>2286</v>
      </c>
      <c r="G837" s="12" t="s">
        <v>2255</v>
      </c>
      <c r="H837" s="9" t="s">
        <v>2287</v>
      </c>
      <c r="I837" s="10">
        <v>45617</v>
      </c>
    </row>
    <row r="838" spans="1:9" x14ac:dyDescent="0.15">
      <c r="A838" s="9">
        <v>837</v>
      </c>
      <c r="B838" s="9" t="s">
        <v>9</v>
      </c>
      <c r="C838" s="9">
        <v>1925</v>
      </c>
      <c r="D838" s="10">
        <v>45715</v>
      </c>
      <c r="E838" s="11" t="str">
        <f>+HYPERLINK("http://trademark.i-assist.jp/data/china/image_1925th/82107283.pdf","82107283")</f>
        <v>82107283</v>
      </c>
      <c r="F838" s="9" t="s">
        <v>2288</v>
      </c>
      <c r="G838" s="9" t="s">
        <v>2289</v>
      </c>
      <c r="H838" s="9" t="s">
        <v>2290</v>
      </c>
      <c r="I838" s="10">
        <v>45617</v>
      </c>
    </row>
    <row r="839" spans="1:9" x14ac:dyDescent="0.15">
      <c r="A839" s="9">
        <v>838</v>
      </c>
      <c r="B839" s="9" t="s">
        <v>9</v>
      </c>
      <c r="C839" s="9">
        <v>1925</v>
      </c>
      <c r="D839" s="10">
        <v>45715</v>
      </c>
      <c r="E839" s="11" t="str">
        <f>+HYPERLINK("http://trademark.i-assist.jp/data/china/image_1925th/82107390.pdf","82107390")</f>
        <v>82107390</v>
      </c>
      <c r="F839" s="12" t="s">
        <v>2291</v>
      </c>
      <c r="G839" s="9" t="s">
        <v>2228</v>
      </c>
      <c r="H839" s="9" t="s">
        <v>2292</v>
      </c>
      <c r="I839" s="10">
        <v>45617</v>
      </c>
    </row>
    <row r="840" spans="1:9" x14ac:dyDescent="0.15">
      <c r="A840" s="9">
        <v>839</v>
      </c>
      <c r="B840" s="9" t="s">
        <v>9</v>
      </c>
      <c r="C840" s="9">
        <v>1925</v>
      </c>
      <c r="D840" s="10">
        <v>45715</v>
      </c>
      <c r="E840" s="11" t="str">
        <f>+HYPERLINK("http://trademark.i-assist.jp/data/china/image_1925th/82107656.pdf","82107656")</f>
        <v>82107656</v>
      </c>
      <c r="F840" s="9" t="s">
        <v>2293</v>
      </c>
      <c r="G840" s="12" t="s">
        <v>2294</v>
      </c>
      <c r="H840" s="9" t="s">
        <v>2295</v>
      </c>
      <c r="I840" s="10">
        <v>45617</v>
      </c>
    </row>
    <row r="841" spans="1:9" x14ac:dyDescent="0.15">
      <c r="A841" s="9">
        <v>840</v>
      </c>
      <c r="B841" s="9" t="s">
        <v>9</v>
      </c>
      <c r="C841" s="9">
        <v>1925</v>
      </c>
      <c r="D841" s="10">
        <v>45715</v>
      </c>
      <c r="E841" s="11" t="str">
        <f>+HYPERLINK("http://trademark.i-assist.jp/data/china/image_1925th/82107721.pdf","82107721")</f>
        <v>82107721</v>
      </c>
      <c r="F841" s="9" t="s">
        <v>2296</v>
      </c>
      <c r="G841" s="9" t="s">
        <v>2297</v>
      </c>
      <c r="H841" s="9" t="s">
        <v>2298</v>
      </c>
      <c r="I841" s="10">
        <v>45617</v>
      </c>
    </row>
    <row r="842" spans="1:9" x14ac:dyDescent="0.15">
      <c r="A842" s="9">
        <v>841</v>
      </c>
      <c r="B842" s="9" t="s">
        <v>9</v>
      </c>
      <c r="C842" s="9">
        <v>1925</v>
      </c>
      <c r="D842" s="10">
        <v>45715</v>
      </c>
      <c r="E842" s="11" t="str">
        <f>+HYPERLINK("http://trademark.i-assist.jp/data/china/image_1925th/82107838.pdf","82107838")</f>
        <v>82107838</v>
      </c>
      <c r="F842" s="9" t="s">
        <v>2299</v>
      </c>
      <c r="G842" s="9" t="s">
        <v>2300</v>
      </c>
      <c r="H842" s="9" t="s">
        <v>2301</v>
      </c>
      <c r="I842" s="10">
        <v>45617</v>
      </c>
    </row>
    <row r="843" spans="1:9" x14ac:dyDescent="0.15">
      <c r="A843" s="9">
        <v>842</v>
      </c>
      <c r="B843" s="9" t="s">
        <v>9</v>
      </c>
      <c r="C843" s="9">
        <v>1925</v>
      </c>
      <c r="D843" s="10">
        <v>45715</v>
      </c>
      <c r="E843" s="11" t="str">
        <f>+HYPERLINK("http://trademark.i-assist.jp/data/china/image_1925th/82107928.pdf","82107928")</f>
        <v>82107928</v>
      </c>
      <c r="F843" s="9" t="s">
        <v>2302</v>
      </c>
      <c r="G843" s="9" t="s">
        <v>2303</v>
      </c>
      <c r="H843" s="9" t="s">
        <v>2304</v>
      </c>
      <c r="I843" s="10">
        <v>45617</v>
      </c>
    </row>
    <row r="844" spans="1:9" x14ac:dyDescent="0.15">
      <c r="A844" s="9">
        <v>843</v>
      </c>
      <c r="B844" s="9" t="s">
        <v>9</v>
      </c>
      <c r="C844" s="9">
        <v>1925</v>
      </c>
      <c r="D844" s="10">
        <v>45715</v>
      </c>
      <c r="E844" s="11" t="str">
        <f>+HYPERLINK("http://trademark.i-assist.jp/data/china/image_1925th/82108751.pdf","82108751")</f>
        <v>82108751</v>
      </c>
      <c r="F844" s="9" t="s">
        <v>2305</v>
      </c>
      <c r="G844" s="9" t="s">
        <v>2306</v>
      </c>
      <c r="H844" s="9" t="s">
        <v>2307</v>
      </c>
      <c r="I844" s="10">
        <v>45617</v>
      </c>
    </row>
    <row r="845" spans="1:9" x14ac:dyDescent="0.15">
      <c r="A845" s="9">
        <v>844</v>
      </c>
      <c r="B845" s="9" t="s">
        <v>9</v>
      </c>
      <c r="C845" s="9">
        <v>1925</v>
      </c>
      <c r="D845" s="10">
        <v>45715</v>
      </c>
      <c r="E845" s="11" t="str">
        <f>+HYPERLINK("http://trademark.i-assist.jp/data/china/image_1925th/82109256.pdf","82109256")</f>
        <v>82109256</v>
      </c>
      <c r="F845" s="9" t="s">
        <v>2308</v>
      </c>
      <c r="G845" s="9" t="s">
        <v>2110</v>
      </c>
      <c r="H845" s="9" t="s">
        <v>2309</v>
      </c>
      <c r="I845" s="10">
        <v>45617</v>
      </c>
    </row>
    <row r="846" spans="1:9" x14ac:dyDescent="0.15">
      <c r="A846" s="9">
        <v>845</v>
      </c>
      <c r="B846" s="9" t="s">
        <v>9</v>
      </c>
      <c r="C846" s="9">
        <v>1925</v>
      </c>
      <c r="D846" s="10">
        <v>45715</v>
      </c>
      <c r="E846" s="11" t="str">
        <f>+HYPERLINK("http://trademark.i-assist.jp/data/china/image_1925th/82109782.pdf","82109782")</f>
        <v>82109782</v>
      </c>
      <c r="F846" s="9" t="s">
        <v>2310</v>
      </c>
      <c r="G846" s="12" t="s">
        <v>2311</v>
      </c>
      <c r="H846" s="9" t="s">
        <v>2312</v>
      </c>
      <c r="I846" s="10">
        <v>45617</v>
      </c>
    </row>
    <row r="847" spans="1:9" x14ac:dyDescent="0.15">
      <c r="A847" s="9">
        <v>846</v>
      </c>
      <c r="B847" s="9" t="s">
        <v>9</v>
      </c>
      <c r="C847" s="9">
        <v>1925</v>
      </c>
      <c r="D847" s="10">
        <v>45715</v>
      </c>
      <c r="E847" s="11" t="str">
        <f>+HYPERLINK("http://trademark.i-assist.jp/data/china/image_1925th/82110295.pdf","82110295")</f>
        <v>82110295</v>
      </c>
      <c r="F847" s="9" t="s">
        <v>2313</v>
      </c>
      <c r="G847" s="9" t="s">
        <v>2314</v>
      </c>
      <c r="H847" s="9" t="s">
        <v>2315</v>
      </c>
      <c r="I847" s="10">
        <v>45617</v>
      </c>
    </row>
    <row r="848" spans="1:9" x14ac:dyDescent="0.15">
      <c r="A848" s="9">
        <v>847</v>
      </c>
      <c r="B848" s="9" t="s">
        <v>9</v>
      </c>
      <c r="C848" s="9">
        <v>1925</v>
      </c>
      <c r="D848" s="10">
        <v>45715</v>
      </c>
      <c r="E848" s="11" t="str">
        <f>+HYPERLINK("http://trademark.i-assist.jp/data/china/image_1925th/82110663.pdf","82110663")</f>
        <v>82110663</v>
      </c>
      <c r="F848" s="9" t="s">
        <v>2316</v>
      </c>
      <c r="G848" s="9" t="s">
        <v>2317</v>
      </c>
      <c r="H848" s="12" t="s">
        <v>2318</v>
      </c>
      <c r="I848" s="10">
        <v>45617</v>
      </c>
    </row>
    <row r="849" spans="1:9" x14ac:dyDescent="0.15">
      <c r="A849" s="9">
        <v>848</v>
      </c>
      <c r="B849" s="9" t="s">
        <v>9</v>
      </c>
      <c r="C849" s="9">
        <v>1925</v>
      </c>
      <c r="D849" s="10">
        <v>45715</v>
      </c>
      <c r="E849" s="11" t="str">
        <f>+HYPERLINK("http://trademark.i-assist.jp/data/china/image_1925th/82110895.pdf","82110895")</f>
        <v>82110895</v>
      </c>
      <c r="F849" s="12" t="s">
        <v>2319</v>
      </c>
      <c r="G849" s="9" t="s">
        <v>2320</v>
      </c>
      <c r="H849" s="9" t="s">
        <v>2321</v>
      </c>
      <c r="I849" s="10">
        <v>45617</v>
      </c>
    </row>
    <row r="850" spans="1:9" x14ac:dyDescent="0.15">
      <c r="A850" s="9">
        <v>849</v>
      </c>
      <c r="B850" s="9" t="s">
        <v>9</v>
      </c>
      <c r="C850" s="9">
        <v>1925</v>
      </c>
      <c r="D850" s="10">
        <v>45715</v>
      </c>
      <c r="E850" s="11" t="str">
        <f>+HYPERLINK("http://trademark.i-assist.jp/data/china/image_1925th/82111054.pdf","82111054")</f>
        <v>82111054</v>
      </c>
      <c r="F850" s="9" t="s">
        <v>2322</v>
      </c>
      <c r="G850" s="12" t="s">
        <v>2323</v>
      </c>
      <c r="H850" s="9" t="s">
        <v>2324</v>
      </c>
      <c r="I850" s="10">
        <v>45617</v>
      </c>
    </row>
    <row r="851" spans="1:9" x14ac:dyDescent="0.15">
      <c r="A851" s="9">
        <v>850</v>
      </c>
      <c r="B851" s="9" t="s">
        <v>9</v>
      </c>
      <c r="C851" s="9">
        <v>1925</v>
      </c>
      <c r="D851" s="10">
        <v>45715</v>
      </c>
      <c r="E851" s="11" t="str">
        <f>+HYPERLINK("http://trademark.i-assist.jp/data/china/image_1925th/82111269.pdf","82111269")</f>
        <v>82111269</v>
      </c>
      <c r="F851" s="12" t="s">
        <v>57</v>
      </c>
      <c r="G851" s="9" t="s">
        <v>2325</v>
      </c>
      <c r="H851" s="9" t="s">
        <v>2326</v>
      </c>
      <c r="I851" s="10">
        <v>45617</v>
      </c>
    </row>
    <row r="852" spans="1:9" x14ac:dyDescent="0.15">
      <c r="A852" s="9">
        <v>851</v>
      </c>
      <c r="B852" s="9" t="s">
        <v>9</v>
      </c>
      <c r="C852" s="9">
        <v>1925</v>
      </c>
      <c r="D852" s="10">
        <v>45715</v>
      </c>
      <c r="E852" s="11" t="str">
        <f>+HYPERLINK("http://trademark.i-assist.jp/data/china/image_1925th/82111549.pdf","82111549")</f>
        <v>82111549</v>
      </c>
      <c r="F852" s="12" t="s">
        <v>2327</v>
      </c>
      <c r="G852" s="9" t="s">
        <v>2158</v>
      </c>
      <c r="H852" s="9" t="s">
        <v>2328</v>
      </c>
      <c r="I852" s="10">
        <v>45617</v>
      </c>
    </row>
    <row r="853" spans="1:9" x14ac:dyDescent="0.15">
      <c r="A853" s="9">
        <v>852</v>
      </c>
      <c r="B853" s="9" t="s">
        <v>9</v>
      </c>
      <c r="C853" s="9">
        <v>1925</v>
      </c>
      <c r="D853" s="10">
        <v>45715</v>
      </c>
      <c r="E853" s="11" t="str">
        <f>+HYPERLINK("http://trademark.i-assist.jp/data/china/image_1925th/82111889.pdf","82111889")</f>
        <v>82111889</v>
      </c>
      <c r="F853" s="9" t="s">
        <v>2329</v>
      </c>
      <c r="G853" s="12" t="s">
        <v>2330</v>
      </c>
      <c r="H853" s="9" t="s">
        <v>2331</v>
      </c>
      <c r="I853" s="10">
        <v>45617</v>
      </c>
    </row>
    <row r="854" spans="1:9" x14ac:dyDescent="0.15">
      <c r="A854" s="9">
        <v>853</v>
      </c>
      <c r="B854" s="9" t="s">
        <v>9</v>
      </c>
      <c r="C854" s="9">
        <v>1925</v>
      </c>
      <c r="D854" s="10">
        <v>45715</v>
      </c>
      <c r="E854" s="11" t="str">
        <f>+HYPERLINK("http://trademark.i-assist.jp/data/china/image_1925th/82111922.pdf","82111922")</f>
        <v>82111922</v>
      </c>
      <c r="F854" s="12" t="s">
        <v>2332</v>
      </c>
      <c r="G854" s="9" t="s">
        <v>2137</v>
      </c>
      <c r="H854" s="9" t="s">
        <v>2333</v>
      </c>
      <c r="I854" s="10">
        <v>45617</v>
      </c>
    </row>
    <row r="855" spans="1:9" x14ac:dyDescent="0.15">
      <c r="A855" s="9">
        <v>854</v>
      </c>
      <c r="B855" s="9" t="s">
        <v>9</v>
      </c>
      <c r="C855" s="9">
        <v>1925</v>
      </c>
      <c r="D855" s="10">
        <v>45715</v>
      </c>
      <c r="E855" s="11" t="str">
        <f>+HYPERLINK("http://trademark.i-assist.jp/data/china/image_1925th/82112107.pdf","82112107")</f>
        <v>82112107</v>
      </c>
      <c r="F855" s="9" t="s">
        <v>2334</v>
      </c>
      <c r="G855" s="9" t="s">
        <v>2335</v>
      </c>
      <c r="H855" s="9" t="s">
        <v>2336</v>
      </c>
      <c r="I855" s="10">
        <v>45617</v>
      </c>
    </row>
    <row r="856" spans="1:9" x14ac:dyDescent="0.15">
      <c r="A856" s="9">
        <v>855</v>
      </c>
      <c r="B856" s="9" t="s">
        <v>9</v>
      </c>
      <c r="C856" s="9">
        <v>1925</v>
      </c>
      <c r="D856" s="10">
        <v>45715</v>
      </c>
      <c r="E856" s="11" t="str">
        <f>+HYPERLINK("http://trademark.i-assist.jp/data/china/image_1925th/82112371.pdf","82112371")</f>
        <v>82112371</v>
      </c>
      <c r="F856" s="9" t="s">
        <v>2337</v>
      </c>
      <c r="G856" s="9" t="s">
        <v>2338</v>
      </c>
      <c r="H856" s="9" t="s">
        <v>2339</v>
      </c>
      <c r="I856" s="10">
        <v>45617</v>
      </c>
    </row>
    <row r="857" spans="1:9" x14ac:dyDescent="0.15">
      <c r="A857" s="9">
        <v>856</v>
      </c>
      <c r="B857" s="9" t="s">
        <v>9</v>
      </c>
      <c r="C857" s="9">
        <v>1925</v>
      </c>
      <c r="D857" s="10">
        <v>45715</v>
      </c>
      <c r="E857" s="11" t="str">
        <f>+HYPERLINK("http://trademark.i-assist.jp/data/china/image_1925th/82112590.pdf","82112590")</f>
        <v>82112590</v>
      </c>
      <c r="F857" s="9" t="s">
        <v>2340</v>
      </c>
      <c r="G857" s="9" t="s">
        <v>2341</v>
      </c>
      <c r="H857" s="9" t="s">
        <v>2342</v>
      </c>
      <c r="I857" s="10">
        <v>45617</v>
      </c>
    </row>
    <row r="858" spans="1:9" x14ac:dyDescent="0.15">
      <c r="A858" s="9">
        <v>857</v>
      </c>
      <c r="B858" s="9" t="s">
        <v>9</v>
      </c>
      <c r="C858" s="9">
        <v>1925</v>
      </c>
      <c r="D858" s="10">
        <v>45715</v>
      </c>
      <c r="E858" s="11" t="str">
        <f>+HYPERLINK("http://trademark.i-assist.jp/data/china/image_1925th/82112706.pdf","82112706")</f>
        <v>82112706</v>
      </c>
      <c r="F858" s="9" t="s">
        <v>2343</v>
      </c>
      <c r="G858" s="9" t="s">
        <v>2110</v>
      </c>
      <c r="H858" s="9" t="s">
        <v>2344</v>
      </c>
      <c r="I858" s="10">
        <v>45617</v>
      </c>
    </row>
    <row r="859" spans="1:9" x14ac:dyDescent="0.15">
      <c r="A859" s="9">
        <v>858</v>
      </c>
      <c r="B859" s="9" t="s">
        <v>9</v>
      </c>
      <c r="C859" s="9">
        <v>1925</v>
      </c>
      <c r="D859" s="10">
        <v>45715</v>
      </c>
      <c r="E859" s="11" t="str">
        <f>+HYPERLINK("http://trademark.i-assist.jp/data/china/image_1925th/82112789.pdf","82112789")</f>
        <v>82112789</v>
      </c>
      <c r="F859" s="12" t="s">
        <v>2345</v>
      </c>
      <c r="G859" s="9" t="s">
        <v>2173</v>
      </c>
      <c r="H859" s="9" t="s">
        <v>2346</v>
      </c>
      <c r="I859" s="10">
        <v>45617</v>
      </c>
    </row>
    <row r="860" spans="1:9" x14ac:dyDescent="0.15">
      <c r="A860" s="9">
        <v>859</v>
      </c>
      <c r="B860" s="9" t="s">
        <v>9</v>
      </c>
      <c r="C860" s="9">
        <v>1925</v>
      </c>
      <c r="D860" s="10">
        <v>45715</v>
      </c>
      <c r="E860" s="11" t="str">
        <f>+HYPERLINK("http://trademark.i-assist.jp/data/china/image_1925th/82113038.pdf","82113038")</f>
        <v>82113038</v>
      </c>
      <c r="F860" s="9" t="s">
        <v>2347</v>
      </c>
      <c r="G860" s="9" t="s">
        <v>2110</v>
      </c>
      <c r="H860" s="9" t="s">
        <v>2348</v>
      </c>
      <c r="I860" s="10">
        <v>45617</v>
      </c>
    </row>
    <row r="861" spans="1:9" x14ac:dyDescent="0.15">
      <c r="A861" s="9">
        <v>860</v>
      </c>
      <c r="B861" s="9" t="s">
        <v>9</v>
      </c>
      <c r="C861" s="9">
        <v>1925</v>
      </c>
      <c r="D861" s="10">
        <v>45715</v>
      </c>
      <c r="E861" s="11" t="str">
        <f>+HYPERLINK("http://trademark.i-assist.jp/data/china/image_1925th/82113313.pdf","82113313")</f>
        <v>82113313</v>
      </c>
      <c r="F861" s="9" t="s">
        <v>2349</v>
      </c>
      <c r="G861" s="9" t="s">
        <v>27</v>
      </c>
      <c r="H861" s="9" t="s">
        <v>2350</v>
      </c>
      <c r="I861" s="10">
        <v>45617</v>
      </c>
    </row>
    <row r="862" spans="1:9" x14ac:dyDescent="0.15">
      <c r="A862" s="9">
        <v>861</v>
      </c>
      <c r="B862" s="9" t="s">
        <v>9</v>
      </c>
      <c r="C862" s="9">
        <v>1925</v>
      </c>
      <c r="D862" s="10">
        <v>45715</v>
      </c>
      <c r="E862" s="11" t="str">
        <f>+HYPERLINK("http://trademark.i-assist.jp/data/china/image_1925th/82113600.pdf","82113600")</f>
        <v>82113600</v>
      </c>
      <c r="F862" s="9" t="s">
        <v>2351</v>
      </c>
      <c r="G862" s="9" t="s">
        <v>2352</v>
      </c>
      <c r="H862" s="9" t="s">
        <v>2353</v>
      </c>
      <c r="I862" s="10">
        <v>45617</v>
      </c>
    </row>
    <row r="863" spans="1:9" x14ac:dyDescent="0.15">
      <c r="A863" s="9">
        <v>862</v>
      </c>
      <c r="B863" s="9" t="s">
        <v>9</v>
      </c>
      <c r="C863" s="9">
        <v>1925</v>
      </c>
      <c r="D863" s="10">
        <v>45715</v>
      </c>
      <c r="E863" s="11" t="str">
        <f>+HYPERLINK("http://trademark.i-assist.jp/data/china/image_1925th/82113813.pdf","82113813")</f>
        <v>82113813</v>
      </c>
      <c r="F863" s="9" t="s">
        <v>2354</v>
      </c>
      <c r="G863" s="9" t="s">
        <v>2355</v>
      </c>
      <c r="H863" s="9" t="s">
        <v>2356</v>
      </c>
      <c r="I863" s="10">
        <v>45617</v>
      </c>
    </row>
    <row r="864" spans="1:9" x14ac:dyDescent="0.15">
      <c r="A864" s="9">
        <v>863</v>
      </c>
      <c r="B864" s="9" t="s">
        <v>9</v>
      </c>
      <c r="C864" s="9">
        <v>1925</v>
      </c>
      <c r="D864" s="10">
        <v>45715</v>
      </c>
      <c r="E864" s="11" t="str">
        <f>+HYPERLINK("http://trademark.i-assist.jp/data/china/image_1925th/82114139.pdf","82114139")</f>
        <v>82114139</v>
      </c>
      <c r="F864" s="9" t="s">
        <v>2357</v>
      </c>
      <c r="G864" s="9" t="s">
        <v>2358</v>
      </c>
      <c r="H864" s="9" t="s">
        <v>2359</v>
      </c>
      <c r="I864" s="10">
        <v>45617</v>
      </c>
    </row>
    <row r="865" spans="1:9" x14ac:dyDescent="0.15">
      <c r="A865" s="9">
        <v>864</v>
      </c>
      <c r="B865" s="9" t="s">
        <v>9</v>
      </c>
      <c r="C865" s="9">
        <v>1925</v>
      </c>
      <c r="D865" s="10">
        <v>45715</v>
      </c>
      <c r="E865" s="11" t="str">
        <f>+HYPERLINK("http://trademark.i-assist.jp/data/china/image_1925th/82114443.pdf","82114443")</f>
        <v>82114443</v>
      </c>
      <c r="F865" s="9" t="s">
        <v>2360</v>
      </c>
      <c r="G865" s="12" t="s">
        <v>2361</v>
      </c>
      <c r="H865" s="12" t="s">
        <v>2362</v>
      </c>
      <c r="I865" s="10">
        <v>45617</v>
      </c>
    </row>
    <row r="866" spans="1:9" x14ac:dyDescent="0.15">
      <c r="A866" s="9">
        <v>865</v>
      </c>
      <c r="B866" s="9" t="s">
        <v>9</v>
      </c>
      <c r="C866" s="9">
        <v>1925</v>
      </c>
      <c r="D866" s="10">
        <v>45715</v>
      </c>
      <c r="E866" s="11" t="str">
        <f>+HYPERLINK("http://trademark.i-assist.jp/data/china/image_1925th/82114963.pdf","82114963")</f>
        <v>82114963</v>
      </c>
      <c r="F866" s="12" t="s">
        <v>2363</v>
      </c>
      <c r="G866" s="9" t="s">
        <v>2364</v>
      </c>
      <c r="H866" s="9" t="s">
        <v>2365</v>
      </c>
      <c r="I866" s="10">
        <v>45617</v>
      </c>
    </row>
    <row r="867" spans="1:9" x14ac:dyDescent="0.15">
      <c r="A867" s="9">
        <v>866</v>
      </c>
      <c r="B867" s="9" t="s">
        <v>9</v>
      </c>
      <c r="C867" s="9">
        <v>1925</v>
      </c>
      <c r="D867" s="10">
        <v>45715</v>
      </c>
      <c r="E867" s="11" t="str">
        <f>+HYPERLINK("http://trademark.i-assist.jp/data/china/image_1925th/82114979.pdf","82114979")</f>
        <v>82114979</v>
      </c>
      <c r="F867" s="9" t="s">
        <v>2366</v>
      </c>
      <c r="G867" s="9" t="s">
        <v>2367</v>
      </c>
      <c r="H867" s="12" t="s">
        <v>2368</v>
      </c>
      <c r="I867" s="10">
        <v>45617</v>
      </c>
    </row>
    <row r="868" spans="1:9" x14ac:dyDescent="0.15">
      <c r="A868" s="9">
        <v>867</v>
      </c>
      <c r="B868" s="9" t="s">
        <v>9</v>
      </c>
      <c r="C868" s="9">
        <v>1925</v>
      </c>
      <c r="D868" s="10">
        <v>45715</v>
      </c>
      <c r="E868" s="11" t="str">
        <f>+HYPERLINK("http://trademark.i-assist.jp/data/china/image_1925th/82115347.pdf","82115347")</f>
        <v>82115347</v>
      </c>
      <c r="F868" s="12" t="s">
        <v>2369</v>
      </c>
      <c r="G868" s="9" t="s">
        <v>2158</v>
      </c>
      <c r="H868" s="9" t="s">
        <v>2370</v>
      </c>
      <c r="I868" s="10">
        <v>45617</v>
      </c>
    </row>
    <row r="869" spans="1:9" x14ac:dyDescent="0.15">
      <c r="A869" s="9">
        <v>868</v>
      </c>
      <c r="B869" s="9" t="s">
        <v>9</v>
      </c>
      <c r="C869" s="9">
        <v>1925</v>
      </c>
      <c r="D869" s="10">
        <v>45715</v>
      </c>
      <c r="E869" s="11" t="str">
        <f>+HYPERLINK("http://trademark.i-assist.jp/data/china/image_1925th/82115932.pdf","82115932")</f>
        <v>82115932</v>
      </c>
      <c r="F869" s="12" t="s">
        <v>2371</v>
      </c>
      <c r="G869" s="9" t="s">
        <v>2372</v>
      </c>
      <c r="H869" s="9" t="s">
        <v>2373</v>
      </c>
      <c r="I869" s="10">
        <v>45617</v>
      </c>
    </row>
    <row r="870" spans="1:9" x14ac:dyDescent="0.15">
      <c r="A870" s="9">
        <v>869</v>
      </c>
      <c r="B870" s="9" t="s">
        <v>9</v>
      </c>
      <c r="C870" s="9">
        <v>1925</v>
      </c>
      <c r="D870" s="10">
        <v>45715</v>
      </c>
      <c r="E870" s="11" t="str">
        <f>+HYPERLINK("http://trademark.i-assist.jp/data/china/image_1925th/82116014.pdf","82116014")</f>
        <v>82116014</v>
      </c>
      <c r="F870" s="9" t="s">
        <v>2374</v>
      </c>
      <c r="G870" s="12" t="s">
        <v>2375</v>
      </c>
      <c r="H870" s="12" t="s">
        <v>2376</v>
      </c>
      <c r="I870" s="10">
        <v>45617</v>
      </c>
    </row>
    <row r="871" spans="1:9" x14ac:dyDescent="0.15">
      <c r="A871" s="9">
        <v>870</v>
      </c>
      <c r="B871" s="9" t="s">
        <v>9</v>
      </c>
      <c r="C871" s="9">
        <v>1925</v>
      </c>
      <c r="D871" s="10">
        <v>45715</v>
      </c>
      <c r="E871" s="11" t="str">
        <f>+HYPERLINK("http://trademark.i-assist.jp/data/china/image_1925th/82116236.pdf","82116236")</f>
        <v>82116236</v>
      </c>
      <c r="F871" s="9" t="s">
        <v>2377</v>
      </c>
      <c r="G871" s="9" t="s">
        <v>2110</v>
      </c>
      <c r="H871" s="9" t="s">
        <v>2378</v>
      </c>
      <c r="I871" s="10">
        <v>45617</v>
      </c>
    </row>
    <row r="872" spans="1:9" x14ac:dyDescent="0.15">
      <c r="A872" s="9">
        <v>871</v>
      </c>
      <c r="B872" s="9" t="s">
        <v>9</v>
      </c>
      <c r="C872" s="9">
        <v>1925</v>
      </c>
      <c r="D872" s="10">
        <v>45715</v>
      </c>
      <c r="E872" s="11" t="str">
        <f>+HYPERLINK("http://trademark.i-assist.jp/data/china/image_1925th/82116246.pdf","82116246")</f>
        <v>82116246</v>
      </c>
      <c r="F872" s="9" t="s">
        <v>2379</v>
      </c>
      <c r="G872" s="9" t="s">
        <v>2110</v>
      </c>
      <c r="H872" s="12" t="s">
        <v>2380</v>
      </c>
      <c r="I872" s="10">
        <v>45617</v>
      </c>
    </row>
    <row r="873" spans="1:9" x14ac:dyDescent="0.15">
      <c r="A873" s="9">
        <v>872</v>
      </c>
      <c r="B873" s="9" t="s">
        <v>9</v>
      </c>
      <c r="C873" s="9">
        <v>1925</v>
      </c>
      <c r="D873" s="10">
        <v>45715</v>
      </c>
      <c r="E873" s="11" t="str">
        <f>+HYPERLINK("http://trademark.i-assist.jp/data/china/image_1925th/82116634.pdf","82116634")</f>
        <v>82116634</v>
      </c>
      <c r="F873" s="9" t="s">
        <v>2381</v>
      </c>
      <c r="G873" s="12" t="s">
        <v>2146</v>
      </c>
      <c r="H873" s="12" t="s">
        <v>2382</v>
      </c>
      <c r="I873" s="10">
        <v>45617</v>
      </c>
    </row>
    <row r="874" spans="1:9" x14ac:dyDescent="0.15">
      <c r="A874" s="9">
        <v>873</v>
      </c>
      <c r="B874" s="9" t="s">
        <v>9</v>
      </c>
      <c r="C874" s="9">
        <v>1925</v>
      </c>
      <c r="D874" s="10">
        <v>45715</v>
      </c>
      <c r="E874" s="11" t="str">
        <f>+HYPERLINK("http://trademark.i-assist.jp/data/china/image_1925th/82117102.pdf","82117102")</f>
        <v>82117102</v>
      </c>
      <c r="F874" s="9" t="s">
        <v>2383</v>
      </c>
      <c r="G874" s="12" t="s">
        <v>2384</v>
      </c>
      <c r="H874" s="9" t="s">
        <v>2385</v>
      </c>
      <c r="I874" s="10">
        <v>45618</v>
      </c>
    </row>
    <row r="875" spans="1:9" x14ac:dyDescent="0.15">
      <c r="A875" s="9">
        <v>874</v>
      </c>
      <c r="B875" s="9" t="s">
        <v>9</v>
      </c>
      <c r="C875" s="9">
        <v>1925</v>
      </c>
      <c r="D875" s="10">
        <v>45715</v>
      </c>
      <c r="E875" s="11" t="str">
        <f>+HYPERLINK("http://trademark.i-assist.jp/data/china/image_1925th/82117201.pdf","82117201")</f>
        <v>82117201</v>
      </c>
      <c r="F875" s="12" t="s">
        <v>2386</v>
      </c>
      <c r="G875" s="12" t="s">
        <v>2387</v>
      </c>
      <c r="H875" s="12" t="s">
        <v>2388</v>
      </c>
      <c r="I875" s="10">
        <v>45618</v>
      </c>
    </row>
    <row r="876" spans="1:9" x14ac:dyDescent="0.15">
      <c r="A876" s="9">
        <v>875</v>
      </c>
      <c r="B876" s="9" t="s">
        <v>9</v>
      </c>
      <c r="C876" s="9">
        <v>1925</v>
      </c>
      <c r="D876" s="10">
        <v>45715</v>
      </c>
      <c r="E876" s="11" t="str">
        <f>+HYPERLINK("http://trademark.i-assist.jp/data/china/image_1925th/82118096.pdf","82118096")</f>
        <v>82118096</v>
      </c>
      <c r="F876" s="9" t="s">
        <v>2389</v>
      </c>
      <c r="G876" s="12" t="s">
        <v>2390</v>
      </c>
      <c r="H876" s="9" t="s">
        <v>2391</v>
      </c>
      <c r="I876" s="10">
        <v>45618</v>
      </c>
    </row>
    <row r="877" spans="1:9" x14ac:dyDescent="0.15">
      <c r="A877" s="9">
        <v>876</v>
      </c>
      <c r="B877" s="9" t="s">
        <v>9</v>
      </c>
      <c r="C877" s="9">
        <v>1925</v>
      </c>
      <c r="D877" s="10">
        <v>45715</v>
      </c>
      <c r="E877" s="11" t="str">
        <f>+HYPERLINK("http://trademark.i-assist.jp/data/china/image_1925th/82118134.pdf","82118134")</f>
        <v>82118134</v>
      </c>
      <c r="F877" s="9" t="s">
        <v>2392</v>
      </c>
      <c r="G877" s="9" t="s">
        <v>2393</v>
      </c>
      <c r="H877" s="9" t="s">
        <v>2394</v>
      </c>
      <c r="I877" s="10">
        <v>45618</v>
      </c>
    </row>
    <row r="878" spans="1:9" x14ac:dyDescent="0.15">
      <c r="A878" s="9">
        <v>877</v>
      </c>
      <c r="B878" s="9" t="s">
        <v>9</v>
      </c>
      <c r="C878" s="9">
        <v>1925</v>
      </c>
      <c r="D878" s="10">
        <v>45715</v>
      </c>
      <c r="E878" s="11" t="str">
        <f>+HYPERLINK("http://trademark.i-assist.jp/data/china/image_1925th/82118187.pdf","82118187")</f>
        <v>82118187</v>
      </c>
      <c r="F878" s="12" t="s">
        <v>2395</v>
      </c>
      <c r="G878" s="9" t="s">
        <v>2396</v>
      </c>
      <c r="H878" s="9" t="s">
        <v>2397</v>
      </c>
      <c r="I878" s="10">
        <v>45618</v>
      </c>
    </row>
    <row r="879" spans="1:9" x14ac:dyDescent="0.15">
      <c r="A879" s="9">
        <v>878</v>
      </c>
      <c r="B879" s="9" t="s">
        <v>9</v>
      </c>
      <c r="C879" s="9">
        <v>1925</v>
      </c>
      <c r="D879" s="10">
        <v>45715</v>
      </c>
      <c r="E879" s="11" t="str">
        <f>+HYPERLINK("http://trademark.i-assist.jp/data/china/image_1925th/82118296.pdf","82118296")</f>
        <v>82118296</v>
      </c>
      <c r="F879" s="9" t="s">
        <v>2398</v>
      </c>
      <c r="G879" s="9" t="s">
        <v>2399</v>
      </c>
      <c r="H879" s="9" t="s">
        <v>2400</v>
      </c>
      <c r="I879" s="10">
        <v>45618</v>
      </c>
    </row>
    <row r="880" spans="1:9" x14ac:dyDescent="0.15">
      <c r="A880" s="9">
        <v>879</v>
      </c>
      <c r="B880" s="9" t="s">
        <v>9</v>
      </c>
      <c r="C880" s="9">
        <v>1925</v>
      </c>
      <c r="D880" s="10">
        <v>45715</v>
      </c>
      <c r="E880" s="11" t="str">
        <f>+HYPERLINK("http://trademark.i-assist.jp/data/china/image_1925th/82118508.pdf","82118508")</f>
        <v>82118508</v>
      </c>
      <c r="F880" s="9" t="s">
        <v>2401</v>
      </c>
      <c r="G880" s="12" t="s">
        <v>2402</v>
      </c>
      <c r="H880" s="12" t="s">
        <v>2403</v>
      </c>
      <c r="I880" s="10">
        <v>45618</v>
      </c>
    </row>
    <row r="881" spans="1:9" x14ac:dyDescent="0.15">
      <c r="A881" s="9">
        <v>880</v>
      </c>
      <c r="B881" s="9" t="s">
        <v>9</v>
      </c>
      <c r="C881" s="9">
        <v>1925</v>
      </c>
      <c r="D881" s="10">
        <v>45715</v>
      </c>
      <c r="E881" s="11" t="str">
        <f>+HYPERLINK("http://trademark.i-assist.jp/data/china/image_1925th/82118602.pdf","82118602")</f>
        <v>82118602</v>
      </c>
      <c r="F881" s="9" t="s">
        <v>2404</v>
      </c>
      <c r="G881" s="12" t="s">
        <v>2405</v>
      </c>
      <c r="H881" s="9" t="s">
        <v>2406</v>
      </c>
      <c r="I881" s="10">
        <v>45618</v>
      </c>
    </row>
    <row r="882" spans="1:9" x14ac:dyDescent="0.15">
      <c r="A882" s="9">
        <v>881</v>
      </c>
      <c r="B882" s="9" t="s">
        <v>9</v>
      </c>
      <c r="C882" s="9">
        <v>1925</v>
      </c>
      <c r="D882" s="10">
        <v>45715</v>
      </c>
      <c r="E882" s="11" t="str">
        <f>+HYPERLINK("http://trademark.i-assist.jp/data/china/image_1925th/82118835.pdf","82118835")</f>
        <v>82118835</v>
      </c>
      <c r="F882" s="9" t="s">
        <v>2407</v>
      </c>
      <c r="G882" s="9" t="s">
        <v>2408</v>
      </c>
      <c r="H882" s="9" t="s">
        <v>2409</v>
      </c>
      <c r="I882" s="10">
        <v>45618</v>
      </c>
    </row>
    <row r="883" spans="1:9" x14ac:dyDescent="0.15">
      <c r="A883" s="9">
        <v>882</v>
      </c>
      <c r="B883" s="9" t="s">
        <v>9</v>
      </c>
      <c r="C883" s="9">
        <v>1925</v>
      </c>
      <c r="D883" s="10">
        <v>45715</v>
      </c>
      <c r="E883" s="11" t="str">
        <f>+HYPERLINK("http://trademark.i-assist.jp/data/china/image_1925th/82118851.pdf","82118851")</f>
        <v>82118851</v>
      </c>
      <c r="F883" s="9" t="s">
        <v>2410</v>
      </c>
      <c r="G883" s="9" t="s">
        <v>2411</v>
      </c>
      <c r="H883" s="9" t="s">
        <v>2412</v>
      </c>
      <c r="I883" s="10">
        <v>45618</v>
      </c>
    </row>
    <row r="884" spans="1:9" x14ac:dyDescent="0.15">
      <c r="A884" s="9">
        <v>883</v>
      </c>
      <c r="B884" s="9" t="s">
        <v>9</v>
      </c>
      <c r="C884" s="9">
        <v>1925</v>
      </c>
      <c r="D884" s="10">
        <v>45715</v>
      </c>
      <c r="E884" s="11" t="str">
        <f>+HYPERLINK("http://trademark.i-assist.jp/data/china/image_1925th/82119000.pdf","82119000")</f>
        <v>82119000</v>
      </c>
      <c r="F884" s="9" t="s">
        <v>2413</v>
      </c>
      <c r="G884" s="9" t="s">
        <v>2414</v>
      </c>
      <c r="H884" s="9" t="s">
        <v>2415</v>
      </c>
      <c r="I884" s="10">
        <v>45618</v>
      </c>
    </row>
    <row r="885" spans="1:9" x14ac:dyDescent="0.15">
      <c r="A885" s="9">
        <v>884</v>
      </c>
      <c r="B885" s="9" t="s">
        <v>9</v>
      </c>
      <c r="C885" s="9">
        <v>1925</v>
      </c>
      <c r="D885" s="10">
        <v>45715</v>
      </c>
      <c r="E885" s="11" t="str">
        <f>+HYPERLINK("http://trademark.i-assist.jp/data/china/image_1925th/82119089.pdf","82119089")</f>
        <v>82119089</v>
      </c>
      <c r="F885" s="9" t="s">
        <v>2416</v>
      </c>
      <c r="G885" s="9" t="s">
        <v>2417</v>
      </c>
      <c r="H885" s="9" t="s">
        <v>2418</v>
      </c>
      <c r="I885" s="10">
        <v>45618</v>
      </c>
    </row>
    <row r="886" spans="1:9" x14ac:dyDescent="0.15">
      <c r="A886" s="9">
        <v>885</v>
      </c>
      <c r="B886" s="9" t="s">
        <v>9</v>
      </c>
      <c r="C886" s="9">
        <v>1925</v>
      </c>
      <c r="D886" s="10">
        <v>45715</v>
      </c>
      <c r="E886" s="11" t="str">
        <f>+HYPERLINK("http://trademark.i-assist.jp/data/china/image_1925th/82119177.pdf","82119177")</f>
        <v>82119177</v>
      </c>
      <c r="F886" s="9" t="s">
        <v>2419</v>
      </c>
      <c r="G886" s="9" t="s">
        <v>2420</v>
      </c>
      <c r="H886" s="9" t="s">
        <v>2421</v>
      </c>
      <c r="I886" s="10">
        <v>45618</v>
      </c>
    </row>
    <row r="887" spans="1:9" x14ac:dyDescent="0.15">
      <c r="A887" s="9">
        <v>886</v>
      </c>
      <c r="B887" s="9" t="s">
        <v>9</v>
      </c>
      <c r="C887" s="9">
        <v>1925</v>
      </c>
      <c r="D887" s="10">
        <v>45715</v>
      </c>
      <c r="E887" s="11" t="str">
        <f>+HYPERLINK("http://trademark.i-assist.jp/data/china/image_1925th/82119396.pdf","82119396")</f>
        <v>82119396</v>
      </c>
      <c r="F887" s="9" t="s">
        <v>2422</v>
      </c>
      <c r="G887" s="9" t="s">
        <v>2423</v>
      </c>
      <c r="H887" s="9" t="s">
        <v>2424</v>
      </c>
      <c r="I887" s="10">
        <v>45618</v>
      </c>
    </row>
    <row r="888" spans="1:9" x14ac:dyDescent="0.15">
      <c r="A888" s="9">
        <v>887</v>
      </c>
      <c r="B888" s="9" t="s">
        <v>9</v>
      </c>
      <c r="C888" s="9">
        <v>1925</v>
      </c>
      <c r="D888" s="10">
        <v>45715</v>
      </c>
      <c r="E888" s="11" t="str">
        <f>+HYPERLINK("http://trademark.i-assist.jp/data/china/image_1925th/82119588.pdf","82119588")</f>
        <v>82119588</v>
      </c>
      <c r="F888" s="9" t="s">
        <v>2425</v>
      </c>
      <c r="G888" s="9" t="s">
        <v>2426</v>
      </c>
      <c r="H888" s="9" t="s">
        <v>2427</v>
      </c>
      <c r="I888" s="10">
        <v>45618</v>
      </c>
    </row>
    <row r="889" spans="1:9" x14ac:dyDescent="0.15">
      <c r="A889" s="9">
        <v>888</v>
      </c>
      <c r="B889" s="9" t="s">
        <v>9</v>
      </c>
      <c r="C889" s="9">
        <v>1925</v>
      </c>
      <c r="D889" s="10">
        <v>45715</v>
      </c>
      <c r="E889" s="11" t="str">
        <f>+HYPERLINK("http://trademark.i-assist.jp/data/china/image_1925th/82119604.pdf","82119604")</f>
        <v>82119604</v>
      </c>
      <c r="F889" s="9" t="s">
        <v>2428</v>
      </c>
      <c r="G889" s="9" t="s">
        <v>2429</v>
      </c>
      <c r="H889" s="12" t="s">
        <v>2430</v>
      </c>
      <c r="I889" s="10">
        <v>45618</v>
      </c>
    </row>
    <row r="890" spans="1:9" x14ac:dyDescent="0.15">
      <c r="A890" s="9">
        <v>889</v>
      </c>
      <c r="B890" s="9" t="s">
        <v>9</v>
      </c>
      <c r="C890" s="9">
        <v>1925</v>
      </c>
      <c r="D890" s="10">
        <v>45715</v>
      </c>
      <c r="E890" s="11" t="str">
        <f>+HYPERLINK("http://trademark.i-assist.jp/data/china/image_1925th/82120364.pdf","82120364")</f>
        <v>82120364</v>
      </c>
      <c r="F890" s="9" t="s">
        <v>2431</v>
      </c>
      <c r="G890" s="9" t="s">
        <v>2429</v>
      </c>
      <c r="H890" s="9" t="s">
        <v>2432</v>
      </c>
      <c r="I890" s="10">
        <v>45618</v>
      </c>
    </row>
    <row r="891" spans="1:9" x14ac:dyDescent="0.15">
      <c r="A891" s="9">
        <v>890</v>
      </c>
      <c r="B891" s="9" t="s">
        <v>9</v>
      </c>
      <c r="C891" s="9">
        <v>1925</v>
      </c>
      <c r="D891" s="10">
        <v>45715</v>
      </c>
      <c r="E891" s="11" t="str">
        <f>+HYPERLINK("http://trademark.i-assist.jp/data/china/image_1925th/82120403.pdf","82120403")</f>
        <v>82120403</v>
      </c>
      <c r="F891" s="9" t="s">
        <v>2433</v>
      </c>
      <c r="G891" s="9" t="s">
        <v>2429</v>
      </c>
      <c r="H891" s="9" t="s">
        <v>2434</v>
      </c>
      <c r="I891" s="10">
        <v>45618</v>
      </c>
    </row>
    <row r="892" spans="1:9" x14ac:dyDescent="0.15">
      <c r="A892" s="9">
        <v>891</v>
      </c>
      <c r="B892" s="9" t="s">
        <v>9</v>
      </c>
      <c r="C892" s="9">
        <v>1925</v>
      </c>
      <c r="D892" s="10">
        <v>45715</v>
      </c>
      <c r="E892" s="11" t="str">
        <f>+HYPERLINK("http://trademark.i-assist.jp/data/china/image_1925th/82120739.pdf","82120739")</f>
        <v>82120739</v>
      </c>
      <c r="F892" s="9" t="s">
        <v>2435</v>
      </c>
      <c r="G892" s="12" t="s">
        <v>2436</v>
      </c>
      <c r="H892" s="9" t="s">
        <v>2437</v>
      </c>
      <c r="I892" s="10">
        <v>45618</v>
      </c>
    </row>
    <row r="893" spans="1:9" x14ac:dyDescent="0.15">
      <c r="A893" s="9">
        <v>892</v>
      </c>
      <c r="B893" s="9" t="s">
        <v>9</v>
      </c>
      <c r="C893" s="9">
        <v>1925</v>
      </c>
      <c r="D893" s="10">
        <v>45715</v>
      </c>
      <c r="E893" s="11" t="str">
        <f>+HYPERLINK("http://trademark.i-assist.jp/data/china/image_1925th/82120745.pdf","82120745")</f>
        <v>82120745</v>
      </c>
      <c r="F893" s="12" t="s">
        <v>2438</v>
      </c>
      <c r="G893" s="12" t="s">
        <v>2439</v>
      </c>
      <c r="H893" s="9" t="s">
        <v>2440</v>
      </c>
      <c r="I893" s="10">
        <v>45618</v>
      </c>
    </row>
    <row r="894" spans="1:9" x14ac:dyDescent="0.15">
      <c r="A894" s="9">
        <v>893</v>
      </c>
      <c r="B894" s="9" t="s">
        <v>9</v>
      </c>
      <c r="C894" s="9">
        <v>1925</v>
      </c>
      <c r="D894" s="10">
        <v>45715</v>
      </c>
      <c r="E894" s="11" t="str">
        <f>+HYPERLINK("http://trademark.i-assist.jp/data/china/image_1925th/82120746.pdf","82120746")</f>
        <v>82120746</v>
      </c>
      <c r="F894" s="12" t="s">
        <v>2441</v>
      </c>
      <c r="G894" s="12" t="s">
        <v>2442</v>
      </c>
      <c r="H894" s="9" t="s">
        <v>2443</v>
      </c>
      <c r="I894" s="10">
        <v>45618</v>
      </c>
    </row>
    <row r="895" spans="1:9" x14ac:dyDescent="0.15">
      <c r="A895" s="9">
        <v>894</v>
      </c>
      <c r="B895" s="9" t="s">
        <v>9</v>
      </c>
      <c r="C895" s="9">
        <v>1925</v>
      </c>
      <c r="D895" s="10">
        <v>45715</v>
      </c>
      <c r="E895" s="11" t="str">
        <f>+HYPERLINK("http://trademark.i-assist.jp/data/china/image_1925th/82121324.pdf","82121324")</f>
        <v>82121324</v>
      </c>
      <c r="F895" s="12" t="s">
        <v>57</v>
      </c>
      <c r="G895" s="12" t="s">
        <v>2444</v>
      </c>
      <c r="H895" s="12" t="s">
        <v>2445</v>
      </c>
      <c r="I895" s="10">
        <v>45618</v>
      </c>
    </row>
    <row r="896" spans="1:9" x14ac:dyDescent="0.15">
      <c r="A896" s="9">
        <v>895</v>
      </c>
      <c r="B896" s="9" t="s">
        <v>9</v>
      </c>
      <c r="C896" s="9">
        <v>1925</v>
      </c>
      <c r="D896" s="10">
        <v>45715</v>
      </c>
      <c r="E896" s="11" t="str">
        <f>+HYPERLINK("http://trademark.i-assist.jp/data/china/image_1925th/82121657.pdf","82121657")</f>
        <v>82121657</v>
      </c>
      <c r="F896" s="9" t="s">
        <v>2446</v>
      </c>
      <c r="G896" s="9" t="s">
        <v>2447</v>
      </c>
      <c r="H896" s="12" t="s">
        <v>2448</v>
      </c>
      <c r="I896" s="10">
        <v>45618</v>
      </c>
    </row>
    <row r="897" spans="1:9" x14ac:dyDescent="0.15">
      <c r="A897" s="9">
        <v>896</v>
      </c>
      <c r="B897" s="9" t="s">
        <v>9</v>
      </c>
      <c r="C897" s="9">
        <v>1925</v>
      </c>
      <c r="D897" s="10">
        <v>45715</v>
      </c>
      <c r="E897" s="11" t="str">
        <f>+HYPERLINK("http://trademark.i-assist.jp/data/china/image_1925th/82121744.pdf","82121744")</f>
        <v>82121744</v>
      </c>
      <c r="F897" s="9" t="s">
        <v>2449</v>
      </c>
      <c r="G897" s="12" t="s">
        <v>2450</v>
      </c>
      <c r="H897" s="9" t="s">
        <v>2451</v>
      </c>
      <c r="I897" s="10">
        <v>45618</v>
      </c>
    </row>
    <row r="898" spans="1:9" x14ac:dyDescent="0.15">
      <c r="A898" s="9">
        <v>897</v>
      </c>
      <c r="B898" s="9" t="s">
        <v>9</v>
      </c>
      <c r="C898" s="9">
        <v>1925</v>
      </c>
      <c r="D898" s="10">
        <v>45715</v>
      </c>
      <c r="E898" s="11" t="str">
        <f>+HYPERLINK("http://trademark.i-assist.jp/data/china/image_1925th/82122370.pdf","82122370")</f>
        <v>82122370</v>
      </c>
      <c r="F898" s="9" t="s">
        <v>2452</v>
      </c>
      <c r="G898" s="9" t="s">
        <v>26</v>
      </c>
      <c r="H898" s="9" t="s">
        <v>2453</v>
      </c>
      <c r="I898" s="10">
        <v>45618</v>
      </c>
    </row>
    <row r="899" spans="1:9" x14ac:dyDescent="0.15">
      <c r="A899" s="9">
        <v>898</v>
      </c>
      <c r="B899" s="9" t="s">
        <v>9</v>
      </c>
      <c r="C899" s="9">
        <v>1925</v>
      </c>
      <c r="D899" s="10">
        <v>45715</v>
      </c>
      <c r="E899" s="11" t="str">
        <f>+HYPERLINK("http://trademark.i-assist.jp/data/china/image_1925th/82122395.pdf","82122395")</f>
        <v>82122395</v>
      </c>
      <c r="F899" s="9" t="s">
        <v>2454</v>
      </c>
      <c r="G899" s="9" t="s">
        <v>2455</v>
      </c>
      <c r="H899" s="9" t="s">
        <v>2456</v>
      </c>
      <c r="I899" s="10">
        <v>45618</v>
      </c>
    </row>
    <row r="900" spans="1:9" x14ac:dyDescent="0.15">
      <c r="A900" s="9">
        <v>899</v>
      </c>
      <c r="B900" s="9" t="s">
        <v>9</v>
      </c>
      <c r="C900" s="9">
        <v>1925</v>
      </c>
      <c r="D900" s="10">
        <v>45715</v>
      </c>
      <c r="E900" s="11" t="str">
        <f>+HYPERLINK("http://trademark.i-assist.jp/data/china/image_1925th/82122463.pdf","82122463")</f>
        <v>82122463</v>
      </c>
      <c r="F900" s="9" t="s">
        <v>2457</v>
      </c>
      <c r="G900" s="9" t="s">
        <v>2429</v>
      </c>
      <c r="H900" s="9" t="s">
        <v>2458</v>
      </c>
      <c r="I900" s="10">
        <v>45618</v>
      </c>
    </row>
    <row r="901" spans="1:9" x14ac:dyDescent="0.15">
      <c r="A901" s="9">
        <v>900</v>
      </c>
      <c r="B901" s="9" t="s">
        <v>9</v>
      </c>
      <c r="C901" s="9">
        <v>1925</v>
      </c>
      <c r="D901" s="10">
        <v>45715</v>
      </c>
      <c r="E901" s="11" t="str">
        <f>+HYPERLINK("http://trademark.i-assist.jp/data/china/image_1925th/82122905.pdf","82122905")</f>
        <v>82122905</v>
      </c>
      <c r="F901" s="9" t="s">
        <v>2459</v>
      </c>
      <c r="G901" s="12" t="s">
        <v>2460</v>
      </c>
      <c r="H901" s="9" t="s">
        <v>2461</v>
      </c>
      <c r="I901" s="10">
        <v>45618</v>
      </c>
    </row>
    <row r="902" spans="1:9" x14ac:dyDescent="0.15">
      <c r="A902" s="9">
        <v>901</v>
      </c>
      <c r="B902" s="9" t="s">
        <v>9</v>
      </c>
      <c r="C902" s="9">
        <v>1925</v>
      </c>
      <c r="D902" s="10">
        <v>45715</v>
      </c>
      <c r="E902" s="11" t="str">
        <f>+HYPERLINK("http://trademark.i-assist.jp/data/china/image_1925th/82123483.pdf","82123483")</f>
        <v>82123483</v>
      </c>
      <c r="F902" s="9" t="s">
        <v>2462</v>
      </c>
      <c r="G902" s="9" t="s">
        <v>2463</v>
      </c>
      <c r="H902" s="9" t="s">
        <v>2464</v>
      </c>
      <c r="I902" s="10">
        <v>45618</v>
      </c>
    </row>
    <row r="903" spans="1:9" x14ac:dyDescent="0.15">
      <c r="A903" s="9">
        <v>902</v>
      </c>
      <c r="B903" s="9" t="s">
        <v>9</v>
      </c>
      <c r="C903" s="9">
        <v>1925</v>
      </c>
      <c r="D903" s="10">
        <v>45715</v>
      </c>
      <c r="E903" s="11" t="str">
        <f>+HYPERLINK("http://trademark.i-assist.jp/data/china/image_1925th/82123874.pdf","82123874")</f>
        <v>82123874</v>
      </c>
      <c r="F903" s="12" t="s">
        <v>2465</v>
      </c>
      <c r="G903" s="9" t="s">
        <v>2466</v>
      </c>
      <c r="H903" s="9" t="s">
        <v>2467</v>
      </c>
      <c r="I903" s="10">
        <v>45618</v>
      </c>
    </row>
    <row r="904" spans="1:9" x14ac:dyDescent="0.15">
      <c r="A904" s="9">
        <v>903</v>
      </c>
      <c r="B904" s="9" t="s">
        <v>9</v>
      </c>
      <c r="C904" s="9">
        <v>1925</v>
      </c>
      <c r="D904" s="10">
        <v>45715</v>
      </c>
      <c r="E904" s="11" t="str">
        <f>+HYPERLINK("http://trademark.i-assist.jp/data/china/image_1925th/82124187.pdf","82124187")</f>
        <v>82124187</v>
      </c>
      <c r="F904" s="9" t="s">
        <v>2468</v>
      </c>
      <c r="G904" s="12" t="s">
        <v>2469</v>
      </c>
      <c r="H904" s="9" t="s">
        <v>2470</v>
      </c>
      <c r="I904" s="10">
        <v>45618</v>
      </c>
    </row>
    <row r="905" spans="1:9" x14ac:dyDescent="0.15">
      <c r="A905" s="9">
        <v>904</v>
      </c>
      <c r="B905" s="9" t="s">
        <v>9</v>
      </c>
      <c r="C905" s="9">
        <v>1925</v>
      </c>
      <c r="D905" s="10">
        <v>45715</v>
      </c>
      <c r="E905" s="11" t="str">
        <f>+HYPERLINK("http://trademark.i-assist.jp/data/china/image_1925th/82125041.pdf","82125041")</f>
        <v>82125041</v>
      </c>
      <c r="F905" s="9" t="s">
        <v>2471</v>
      </c>
      <c r="G905" s="9" t="s">
        <v>2472</v>
      </c>
      <c r="H905" s="9" t="s">
        <v>2473</v>
      </c>
      <c r="I905" s="10">
        <v>45618</v>
      </c>
    </row>
    <row r="906" spans="1:9" x14ac:dyDescent="0.15">
      <c r="A906" s="9">
        <v>905</v>
      </c>
      <c r="B906" s="9" t="s">
        <v>9</v>
      </c>
      <c r="C906" s="9">
        <v>1925</v>
      </c>
      <c r="D906" s="10">
        <v>45715</v>
      </c>
      <c r="E906" s="11" t="str">
        <f>+HYPERLINK("http://trademark.i-assist.jp/data/china/image_1925th/82125279.pdf","82125279")</f>
        <v>82125279</v>
      </c>
      <c r="F906" s="9" t="s">
        <v>2474</v>
      </c>
      <c r="G906" s="12" t="s">
        <v>2475</v>
      </c>
      <c r="H906" s="9" t="s">
        <v>2476</v>
      </c>
      <c r="I906" s="10">
        <v>45618</v>
      </c>
    </row>
    <row r="907" spans="1:9" x14ac:dyDescent="0.15">
      <c r="A907" s="9">
        <v>906</v>
      </c>
      <c r="B907" s="9" t="s">
        <v>9</v>
      </c>
      <c r="C907" s="9">
        <v>1925</v>
      </c>
      <c r="D907" s="10">
        <v>45715</v>
      </c>
      <c r="E907" s="11" t="str">
        <f>+HYPERLINK("http://trademark.i-assist.jp/data/china/image_1925th/82125499.pdf","82125499")</f>
        <v>82125499</v>
      </c>
      <c r="F907" s="13" t="s">
        <v>2477</v>
      </c>
      <c r="G907" s="9" t="s">
        <v>2478</v>
      </c>
      <c r="H907" s="9" t="s">
        <v>2479</v>
      </c>
      <c r="I907" s="10">
        <v>45618</v>
      </c>
    </row>
    <row r="908" spans="1:9" x14ac:dyDescent="0.15">
      <c r="A908" s="9">
        <v>907</v>
      </c>
      <c r="B908" s="9" t="s">
        <v>9</v>
      </c>
      <c r="C908" s="9">
        <v>1925</v>
      </c>
      <c r="D908" s="10">
        <v>45715</v>
      </c>
      <c r="E908" s="11" t="str">
        <f>+HYPERLINK("http://trademark.i-assist.jp/data/china/image_1925th/82125648.pdf","82125648")</f>
        <v>82125648</v>
      </c>
      <c r="F908" s="9" t="s">
        <v>2480</v>
      </c>
      <c r="G908" s="9" t="s">
        <v>2481</v>
      </c>
      <c r="H908" s="9" t="s">
        <v>2482</v>
      </c>
      <c r="I908" s="10">
        <v>45618</v>
      </c>
    </row>
    <row r="909" spans="1:9" x14ac:dyDescent="0.15">
      <c r="A909" s="9">
        <v>908</v>
      </c>
      <c r="B909" s="9" t="s">
        <v>9</v>
      </c>
      <c r="C909" s="9">
        <v>1925</v>
      </c>
      <c r="D909" s="10">
        <v>45715</v>
      </c>
      <c r="E909" s="11" t="str">
        <f>+HYPERLINK("http://trademark.i-assist.jp/data/china/image_1925th/82125846.pdf","82125846")</f>
        <v>82125846</v>
      </c>
      <c r="F909" s="9" t="s">
        <v>2483</v>
      </c>
      <c r="G909" s="12" t="s">
        <v>2484</v>
      </c>
      <c r="H909" s="9" t="s">
        <v>2485</v>
      </c>
      <c r="I909" s="10">
        <v>45618</v>
      </c>
    </row>
    <row r="910" spans="1:9" x14ac:dyDescent="0.15">
      <c r="A910" s="9">
        <v>909</v>
      </c>
      <c r="B910" s="9" t="s">
        <v>9</v>
      </c>
      <c r="C910" s="9">
        <v>1925</v>
      </c>
      <c r="D910" s="10">
        <v>45715</v>
      </c>
      <c r="E910" s="11" t="str">
        <f>+HYPERLINK("http://trademark.i-assist.jp/data/china/image_1925th/82125921.pdf","82125921")</f>
        <v>82125921</v>
      </c>
      <c r="F910" s="9" t="s">
        <v>2486</v>
      </c>
      <c r="G910" s="9" t="s">
        <v>1767</v>
      </c>
      <c r="H910" s="9" t="s">
        <v>2487</v>
      </c>
      <c r="I910" s="10">
        <v>45618</v>
      </c>
    </row>
    <row r="911" spans="1:9" x14ac:dyDescent="0.15">
      <c r="A911" s="9">
        <v>910</v>
      </c>
      <c r="B911" s="9" t="s">
        <v>9</v>
      </c>
      <c r="C911" s="9">
        <v>1925</v>
      </c>
      <c r="D911" s="10">
        <v>45715</v>
      </c>
      <c r="E911" s="11" t="str">
        <f>+HYPERLINK("http://trademark.i-assist.jp/data/china/image_1925th/82126085.pdf","82126085")</f>
        <v>82126085</v>
      </c>
      <c r="F911" s="12" t="s">
        <v>2488</v>
      </c>
      <c r="G911" s="9" t="s">
        <v>2489</v>
      </c>
      <c r="H911" s="9" t="s">
        <v>2490</v>
      </c>
      <c r="I911" s="10">
        <v>45618</v>
      </c>
    </row>
    <row r="912" spans="1:9" x14ac:dyDescent="0.15">
      <c r="A912" s="9">
        <v>911</v>
      </c>
      <c r="B912" s="9" t="s">
        <v>9</v>
      </c>
      <c r="C912" s="9">
        <v>1925</v>
      </c>
      <c r="D912" s="10">
        <v>45715</v>
      </c>
      <c r="E912" s="11" t="str">
        <f>+HYPERLINK("http://trademark.i-assist.jp/data/china/image_1925th/82126345.pdf","82126345")</f>
        <v>82126345</v>
      </c>
      <c r="F912" s="9" t="s">
        <v>2491</v>
      </c>
      <c r="G912" s="9" t="s">
        <v>2429</v>
      </c>
      <c r="H912" s="12" t="s">
        <v>2492</v>
      </c>
      <c r="I912" s="10">
        <v>45618</v>
      </c>
    </row>
    <row r="913" spans="1:9" x14ac:dyDescent="0.15">
      <c r="A913" s="9">
        <v>912</v>
      </c>
      <c r="B913" s="9" t="s">
        <v>9</v>
      </c>
      <c r="C913" s="9">
        <v>1925</v>
      </c>
      <c r="D913" s="10">
        <v>45715</v>
      </c>
      <c r="E913" s="11" t="str">
        <f>+HYPERLINK("http://trademark.i-assist.jp/data/china/image_1925th/82126598.pdf","82126598")</f>
        <v>82126598</v>
      </c>
      <c r="F913" s="9" t="s">
        <v>2493</v>
      </c>
      <c r="G913" s="9" t="s">
        <v>2494</v>
      </c>
      <c r="H913" s="9" t="s">
        <v>2495</v>
      </c>
      <c r="I913" s="10">
        <v>45618</v>
      </c>
    </row>
    <row r="914" spans="1:9" x14ac:dyDescent="0.15">
      <c r="A914" s="9">
        <v>913</v>
      </c>
      <c r="B914" s="9" t="s">
        <v>9</v>
      </c>
      <c r="C914" s="9">
        <v>1925</v>
      </c>
      <c r="D914" s="10">
        <v>45715</v>
      </c>
      <c r="E914" s="11" t="str">
        <f>+HYPERLINK("http://trademark.i-assist.jp/data/china/image_1925th/82127096.pdf","82127096")</f>
        <v>82127096</v>
      </c>
      <c r="F914" s="9" t="s">
        <v>2496</v>
      </c>
      <c r="G914" s="9" t="s">
        <v>16</v>
      </c>
      <c r="H914" s="9" t="s">
        <v>2497</v>
      </c>
      <c r="I914" s="10">
        <v>45618</v>
      </c>
    </row>
    <row r="915" spans="1:9" x14ac:dyDescent="0.15">
      <c r="A915" s="9">
        <v>914</v>
      </c>
      <c r="B915" s="9" t="s">
        <v>9</v>
      </c>
      <c r="C915" s="9">
        <v>1925</v>
      </c>
      <c r="D915" s="10">
        <v>45715</v>
      </c>
      <c r="E915" s="11" t="str">
        <f>+HYPERLINK("http://trademark.i-assist.jp/data/china/image_1925th/82127223.pdf","82127223")</f>
        <v>82127223</v>
      </c>
      <c r="F915" s="9" t="s">
        <v>2498</v>
      </c>
      <c r="G915" s="9" t="s">
        <v>2499</v>
      </c>
      <c r="H915" s="12" t="s">
        <v>2500</v>
      </c>
      <c r="I915" s="10">
        <v>45618</v>
      </c>
    </row>
    <row r="916" spans="1:9" x14ac:dyDescent="0.15">
      <c r="A916" s="9">
        <v>915</v>
      </c>
      <c r="B916" s="9" t="s">
        <v>9</v>
      </c>
      <c r="C916" s="9">
        <v>1925</v>
      </c>
      <c r="D916" s="10">
        <v>45715</v>
      </c>
      <c r="E916" s="11" t="str">
        <f>+HYPERLINK("http://trademark.i-assist.jp/data/china/image_1925th/82127477.pdf","82127477")</f>
        <v>82127477</v>
      </c>
      <c r="F916" s="9" t="s">
        <v>2501</v>
      </c>
      <c r="G916" s="9" t="s">
        <v>2399</v>
      </c>
      <c r="H916" s="9" t="s">
        <v>2502</v>
      </c>
      <c r="I916" s="10">
        <v>45618</v>
      </c>
    </row>
    <row r="917" spans="1:9" x14ac:dyDescent="0.15">
      <c r="A917" s="9">
        <v>916</v>
      </c>
      <c r="B917" s="9" t="s">
        <v>9</v>
      </c>
      <c r="C917" s="9">
        <v>1925</v>
      </c>
      <c r="D917" s="10">
        <v>45715</v>
      </c>
      <c r="E917" s="11" t="str">
        <f>+HYPERLINK("http://trademark.i-assist.jp/data/china/image_1925th/82128066.pdf","82128066")</f>
        <v>82128066</v>
      </c>
      <c r="F917" s="9" t="s">
        <v>2503</v>
      </c>
      <c r="G917" s="12" t="s">
        <v>2475</v>
      </c>
      <c r="H917" s="9" t="s">
        <v>2504</v>
      </c>
      <c r="I917" s="10">
        <v>45618</v>
      </c>
    </row>
    <row r="918" spans="1:9" x14ac:dyDescent="0.15">
      <c r="A918" s="9">
        <v>917</v>
      </c>
      <c r="B918" s="9" t="s">
        <v>9</v>
      </c>
      <c r="C918" s="9">
        <v>1925</v>
      </c>
      <c r="D918" s="10">
        <v>45715</v>
      </c>
      <c r="E918" s="11" t="str">
        <f>+HYPERLINK("http://trademark.i-assist.jp/data/china/image_1925th/82128073.pdf","82128073")</f>
        <v>82128073</v>
      </c>
      <c r="F918" s="9" t="s">
        <v>2505</v>
      </c>
      <c r="G918" s="12" t="s">
        <v>2475</v>
      </c>
      <c r="H918" s="9" t="s">
        <v>2506</v>
      </c>
      <c r="I918" s="10">
        <v>45618</v>
      </c>
    </row>
    <row r="919" spans="1:9" x14ac:dyDescent="0.15">
      <c r="A919" s="9">
        <v>918</v>
      </c>
      <c r="B919" s="9" t="s">
        <v>9</v>
      </c>
      <c r="C919" s="9">
        <v>1925</v>
      </c>
      <c r="D919" s="10">
        <v>45715</v>
      </c>
      <c r="E919" s="11" t="str">
        <f>+HYPERLINK("http://trademark.i-assist.jp/data/china/image_1925th/82128631.pdf","82128631")</f>
        <v>82128631</v>
      </c>
      <c r="F919" s="9" t="s">
        <v>2507</v>
      </c>
      <c r="G919" s="9" t="s">
        <v>2508</v>
      </c>
      <c r="H919" s="9" t="s">
        <v>2509</v>
      </c>
      <c r="I919" s="10">
        <v>45618</v>
      </c>
    </row>
    <row r="920" spans="1:9" x14ac:dyDescent="0.15">
      <c r="A920" s="9">
        <v>919</v>
      </c>
      <c r="B920" s="9" t="s">
        <v>9</v>
      </c>
      <c r="C920" s="9">
        <v>1925</v>
      </c>
      <c r="D920" s="10">
        <v>45715</v>
      </c>
      <c r="E920" s="11" t="str">
        <f>+HYPERLINK("http://trademark.i-assist.jp/data/china/image_1925th/82128974.pdf","82128974")</f>
        <v>82128974</v>
      </c>
      <c r="F920" s="9" t="s">
        <v>2510</v>
      </c>
      <c r="G920" s="13" t="s">
        <v>2511</v>
      </c>
      <c r="H920" s="9" t="s">
        <v>2512</v>
      </c>
      <c r="I920" s="10">
        <v>45618</v>
      </c>
    </row>
    <row r="921" spans="1:9" x14ac:dyDescent="0.15">
      <c r="A921" s="9">
        <v>920</v>
      </c>
      <c r="B921" s="9" t="s">
        <v>9</v>
      </c>
      <c r="C921" s="9">
        <v>1925</v>
      </c>
      <c r="D921" s="10">
        <v>45715</v>
      </c>
      <c r="E921" s="11" t="str">
        <f>+HYPERLINK("http://trademark.i-assist.jp/data/china/image_1925th/82129022.pdf","82129022")</f>
        <v>82129022</v>
      </c>
      <c r="F921" s="9" t="s">
        <v>2513</v>
      </c>
      <c r="G921" s="12" t="s">
        <v>2469</v>
      </c>
      <c r="H921" s="12" t="s">
        <v>2514</v>
      </c>
      <c r="I921" s="10">
        <v>45618</v>
      </c>
    </row>
    <row r="922" spans="1:9" x14ac:dyDescent="0.15">
      <c r="A922" s="9">
        <v>921</v>
      </c>
      <c r="B922" s="9" t="s">
        <v>9</v>
      </c>
      <c r="C922" s="9">
        <v>1925</v>
      </c>
      <c r="D922" s="10">
        <v>45715</v>
      </c>
      <c r="E922" s="11" t="str">
        <f>+HYPERLINK("http://trademark.i-assist.jp/data/china/image_1925th/82129052.pdf","82129052")</f>
        <v>82129052</v>
      </c>
      <c r="F922" s="9" t="s">
        <v>2515</v>
      </c>
      <c r="G922" s="9" t="s">
        <v>2516</v>
      </c>
      <c r="H922" s="9" t="s">
        <v>2517</v>
      </c>
      <c r="I922" s="10">
        <v>45618</v>
      </c>
    </row>
    <row r="923" spans="1:9" x14ac:dyDescent="0.15">
      <c r="A923" s="9">
        <v>922</v>
      </c>
      <c r="B923" s="9" t="s">
        <v>9</v>
      </c>
      <c r="C923" s="9">
        <v>1925</v>
      </c>
      <c r="D923" s="10">
        <v>45715</v>
      </c>
      <c r="E923" s="11" t="str">
        <f>+HYPERLINK("http://trademark.i-assist.jp/data/china/image_1925th/82129322.pdf","82129322")</f>
        <v>82129322</v>
      </c>
      <c r="F923" s="9" t="s">
        <v>2518</v>
      </c>
      <c r="G923" s="9" t="s">
        <v>2429</v>
      </c>
      <c r="H923" s="12" t="s">
        <v>2519</v>
      </c>
      <c r="I923" s="10">
        <v>45618</v>
      </c>
    </row>
    <row r="924" spans="1:9" x14ac:dyDescent="0.15">
      <c r="A924" s="9">
        <v>923</v>
      </c>
      <c r="B924" s="9" t="s">
        <v>9</v>
      </c>
      <c r="C924" s="9">
        <v>1925</v>
      </c>
      <c r="D924" s="10">
        <v>45715</v>
      </c>
      <c r="E924" s="11" t="str">
        <f>+HYPERLINK("http://trademark.i-assist.jp/data/china/image_1925th/82129684.pdf","82129684")</f>
        <v>82129684</v>
      </c>
      <c r="F924" s="9" t="s">
        <v>2520</v>
      </c>
      <c r="G924" s="9" t="s">
        <v>2521</v>
      </c>
      <c r="H924" s="9" t="s">
        <v>2522</v>
      </c>
      <c r="I924" s="10">
        <v>45618</v>
      </c>
    </row>
    <row r="925" spans="1:9" x14ac:dyDescent="0.15">
      <c r="A925" s="9">
        <v>924</v>
      </c>
      <c r="B925" s="9" t="s">
        <v>9</v>
      </c>
      <c r="C925" s="9">
        <v>1925</v>
      </c>
      <c r="D925" s="10">
        <v>45715</v>
      </c>
      <c r="E925" s="11" t="str">
        <f>+HYPERLINK("http://trademark.i-assist.jp/data/china/image_1925th/82129986.pdf","82129986")</f>
        <v>82129986</v>
      </c>
      <c r="F925" s="9" t="s">
        <v>2523</v>
      </c>
      <c r="G925" s="9" t="s">
        <v>2524</v>
      </c>
      <c r="H925" s="9" t="s">
        <v>2525</v>
      </c>
      <c r="I925" s="10">
        <v>45618</v>
      </c>
    </row>
    <row r="926" spans="1:9" x14ac:dyDescent="0.15">
      <c r="A926" s="9">
        <v>925</v>
      </c>
      <c r="B926" s="9" t="s">
        <v>9</v>
      </c>
      <c r="C926" s="9">
        <v>1925</v>
      </c>
      <c r="D926" s="10">
        <v>45715</v>
      </c>
      <c r="E926" s="11" t="str">
        <f>+HYPERLINK("http://trademark.i-assist.jp/data/china/image_1925th/82130167.pdf","82130167")</f>
        <v>82130167</v>
      </c>
      <c r="F926" s="9" t="s">
        <v>2526</v>
      </c>
      <c r="G926" s="12" t="s">
        <v>2527</v>
      </c>
      <c r="H926" s="9" t="s">
        <v>2528</v>
      </c>
      <c r="I926" s="10">
        <v>45618</v>
      </c>
    </row>
    <row r="927" spans="1:9" x14ac:dyDescent="0.15">
      <c r="A927" s="9">
        <v>926</v>
      </c>
      <c r="B927" s="9" t="s">
        <v>9</v>
      </c>
      <c r="C927" s="9">
        <v>1925</v>
      </c>
      <c r="D927" s="10">
        <v>45715</v>
      </c>
      <c r="E927" s="11" t="str">
        <f>+HYPERLINK("http://trademark.i-assist.jp/data/china/image_1925th/82130584.pdf","82130584")</f>
        <v>82130584</v>
      </c>
      <c r="F927" s="9" t="s">
        <v>2529</v>
      </c>
      <c r="G927" s="9" t="s">
        <v>2429</v>
      </c>
      <c r="H927" s="9" t="s">
        <v>2530</v>
      </c>
      <c r="I927" s="10">
        <v>45618</v>
      </c>
    </row>
    <row r="928" spans="1:9" x14ac:dyDescent="0.15">
      <c r="A928" s="9">
        <v>927</v>
      </c>
      <c r="B928" s="9" t="s">
        <v>9</v>
      </c>
      <c r="C928" s="9">
        <v>1925</v>
      </c>
      <c r="D928" s="10">
        <v>45715</v>
      </c>
      <c r="E928" s="11" t="str">
        <f>+HYPERLINK("http://trademark.i-assist.jp/data/china/image_1925th/82130739.pdf","82130739")</f>
        <v>82130739</v>
      </c>
      <c r="F928" s="9" t="s">
        <v>2531</v>
      </c>
      <c r="G928" s="9" t="s">
        <v>2532</v>
      </c>
      <c r="H928" s="9" t="s">
        <v>2533</v>
      </c>
      <c r="I928" s="10">
        <v>45618</v>
      </c>
    </row>
    <row r="929" spans="1:9" x14ac:dyDescent="0.15">
      <c r="A929" s="9">
        <v>928</v>
      </c>
      <c r="B929" s="9" t="s">
        <v>9</v>
      </c>
      <c r="C929" s="9">
        <v>1925</v>
      </c>
      <c r="D929" s="10">
        <v>45715</v>
      </c>
      <c r="E929" s="11" t="str">
        <f>+HYPERLINK("http://trademark.i-assist.jp/data/china/image_1925th/82131232.pdf","82131232")</f>
        <v>82131232</v>
      </c>
      <c r="F929" s="9" t="s">
        <v>2534</v>
      </c>
      <c r="G929" s="12" t="s">
        <v>2535</v>
      </c>
      <c r="H929" s="9" t="s">
        <v>2536</v>
      </c>
      <c r="I929" s="10">
        <v>45618</v>
      </c>
    </row>
    <row r="930" spans="1:9" x14ac:dyDescent="0.15">
      <c r="A930" s="9">
        <v>929</v>
      </c>
      <c r="B930" s="9" t="s">
        <v>9</v>
      </c>
      <c r="C930" s="9">
        <v>1925</v>
      </c>
      <c r="D930" s="10">
        <v>45715</v>
      </c>
      <c r="E930" s="11" t="str">
        <f>+HYPERLINK("http://trademark.i-assist.jp/data/china/image_1925th/82131424.pdf","82131424")</f>
        <v>82131424</v>
      </c>
      <c r="F930" s="9" t="s">
        <v>2537</v>
      </c>
      <c r="G930" s="12" t="s">
        <v>2384</v>
      </c>
      <c r="H930" s="12" t="s">
        <v>2538</v>
      </c>
      <c r="I930" s="10">
        <v>45618</v>
      </c>
    </row>
    <row r="931" spans="1:9" x14ac:dyDescent="0.15">
      <c r="A931" s="9">
        <v>930</v>
      </c>
      <c r="B931" s="9" t="s">
        <v>9</v>
      </c>
      <c r="C931" s="9">
        <v>1925</v>
      </c>
      <c r="D931" s="10">
        <v>45715</v>
      </c>
      <c r="E931" s="11" t="str">
        <f>+HYPERLINK("http://trademark.i-assist.jp/data/china/image_1925th/82132104.pdf","82132104")</f>
        <v>82132104</v>
      </c>
      <c r="F931" s="9" t="s">
        <v>2539</v>
      </c>
      <c r="G931" s="9" t="s">
        <v>2540</v>
      </c>
      <c r="H931" s="9" t="s">
        <v>2541</v>
      </c>
      <c r="I931" s="10">
        <v>45618</v>
      </c>
    </row>
    <row r="932" spans="1:9" x14ac:dyDescent="0.15">
      <c r="A932" s="9">
        <v>931</v>
      </c>
      <c r="B932" s="9" t="s">
        <v>9</v>
      </c>
      <c r="C932" s="9">
        <v>1925</v>
      </c>
      <c r="D932" s="10">
        <v>45715</v>
      </c>
      <c r="E932" s="11" t="str">
        <f>+HYPERLINK("http://trademark.i-assist.jp/data/china/image_1925th/82132450.pdf","82132450")</f>
        <v>82132450</v>
      </c>
      <c r="F932" s="9" t="s">
        <v>2542</v>
      </c>
      <c r="G932" s="9" t="s">
        <v>2543</v>
      </c>
      <c r="H932" s="9" t="s">
        <v>2544</v>
      </c>
      <c r="I932" s="10">
        <v>45618</v>
      </c>
    </row>
    <row r="933" spans="1:9" x14ac:dyDescent="0.15">
      <c r="A933" s="9">
        <v>932</v>
      </c>
      <c r="B933" s="9" t="s">
        <v>9</v>
      </c>
      <c r="C933" s="9">
        <v>1925</v>
      </c>
      <c r="D933" s="10">
        <v>45715</v>
      </c>
      <c r="E933" s="11" t="str">
        <f>+HYPERLINK("http://trademark.i-assist.jp/data/china/image_1925th/82132610.pdf","82132610")</f>
        <v>82132610</v>
      </c>
      <c r="F933" s="9" t="s">
        <v>2545</v>
      </c>
      <c r="G933" s="9" t="s">
        <v>2546</v>
      </c>
      <c r="H933" s="9" t="s">
        <v>2547</v>
      </c>
      <c r="I933" s="10">
        <v>45618</v>
      </c>
    </row>
    <row r="934" spans="1:9" x14ac:dyDescent="0.15">
      <c r="A934" s="9">
        <v>933</v>
      </c>
      <c r="B934" s="9" t="s">
        <v>9</v>
      </c>
      <c r="C934" s="9">
        <v>1925</v>
      </c>
      <c r="D934" s="10">
        <v>45715</v>
      </c>
      <c r="E934" s="11" t="str">
        <f>+HYPERLINK("http://trademark.i-assist.jp/data/china/image_1925th/82132769.pdf","82132769")</f>
        <v>82132769</v>
      </c>
      <c r="F934" s="9" t="s">
        <v>2548</v>
      </c>
      <c r="G934" s="9" t="s">
        <v>2549</v>
      </c>
      <c r="H934" s="9" t="s">
        <v>2550</v>
      </c>
      <c r="I934" s="10">
        <v>45618</v>
      </c>
    </row>
    <row r="935" spans="1:9" x14ac:dyDescent="0.15">
      <c r="A935" s="9">
        <v>934</v>
      </c>
      <c r="B935" s="9" t="s">
        <v>9</v>
      </c>
      <c r="C935" s="9">
        <v>1925</v>
      </c>
      <c r="D935" s="10">
        <v>45715</v>
      </c>
      <c r="E935" s="11" t="str">
        <f>+HYPERLINK("http://trademark.i-assist.jp/data/china/image_1925th/82132871.pdf","82132871")</f>
        <v>82132871</v>
      </c>
      <c r="F935" s="9" t="s">
        <v>2551</v>
      </c>
      <c r="G935" s="12" t="s">
        <v>2552</v>
      </c>
      <c r="H935" s="9" t="s">
        <v>2553</v>
      </c>
      <c r="I935" s="10">
        <v>45618</v>
      </c>
    </row>
    <row r="936" spans="1:9" x14ac:dyDescent="0.15">
      <c r="A936" s="9">
        <v>935</v>
      </c>
      <c r="B936" s="9" t="s">
        <v>9</v>
      </c>
      <c r="C936" s="9">
        <v>1925</v>
      </c>
      <c r="D936" s="10">
        <v>45715</v>
      </c>
      <c r="E936" s="11" t="str">
        <f>+HYPERLINK("http://trademark.i-assist.jp/data/china/image_1925th/82133318.pdf","82133318")</f>
        <v>82133318</v>
      </c>
      <c r="F936" s="9" t="s">
        <v>2554</v>
      </c>
      <c r="G936" s="9" t="s">
        <v>2555</v>
      </c>
      <c r="H936" s="9" t="s">
        <v>2556</v>
      </c>
      <c r="I936" s="10">
        <v>45618</v>
      </c>
    </row>
    <row r="937" spans="1:9" x14ac:dyDescent="0.15">
      <c r="A937" s="9">
        <v>936</v>
      </c>
      <c r="B937" s="9" t="s">
        <v>9</v>
      </c>
      <c r="C937" s="9">
        <v>1925</v>
      </c>
      <c r="D937" s="10">
        <v>45715</v>
      </c>
      <c r="E937" s="11" t="str">
        <f>+HYPERLINK("http://trademark.i-assist.jp/data/china/image_1925th/82133320.pdf","82133320")</f>
        <v>82133320</v>
      </c>
      <c r="F937" s="9" t="s">
        <v>2557</v>
      </c>
      <c r="G937" s="9" t="s">
        <v>2557</v>
      </c>
      <c r="H937" s="9" t="s">
        <v>2558</v>
      </c>
      <c r="I937" s="10">
        <v>45618</v>
      </c>
    </row>
    <row r="938" spans="1:9" x14ac:dyDescent="0.15">
      <c r="A938" s="9">
        <v>937</v>
      </c>
      <c r="B938" s="9" t="s">
        <v>9</v>
      </c>
      <c r="C938" s="9">
        <v>1925</v>
      </c>
      <c r="D938" s="10">
        <v>45715</v>
      </c>
      <c r="E938" s="11" t="str">
        <f>+HYPERLINK("http://trademark.i-assist.jp/data/china/image_1925th/82133566.pdf","82133566")</f>
        <v>82133566</v>
      </c>
      <c r="F938" s="9" t="s">
        <v>2559</v>
      </c>
      <c r="G938" s="12" t="s">
        <v>2560</v>
      </c>
      <c r="H938" s="9" t="s">
        <v>2561</v>
      </c>
      <c r="I938" s="10">
        <v>45618</v>
      </c>
    </row>
    <row r="939" spans="1:9" x14ac:dyDescent="0.15">
      <c r="A939" s="9">
        <v>938</v>
      </c>
      <c r="B939" s="9" t="s">
        <v>9</v>
      </c>
      <c r="C939" s="9">
        <v>1925</v>
      </c>
      <c r="D939" s="10">
        <v>45715</v>
      </c>
      <c r="E939" s="11" t="str">
        <f>+HYPERLINK("http://trademark.i-assist.jp/data/china/image_1925th/82133695.pdf","82133695")</f>
        <v>82133695</v>
      </c>
      <c r="F939" s="9" t="s">
        <v>2562</v>
      </c>
      <c r="G939" s="9" t="s">
        <v>2563</v>
      </c>
      <c r="H939" s="9" t="s">
        <v>2564</v>
      </c>
      <c r="I939" s="10">
        <v>45618</v>
      </c>
    </row>
    <row r="940" spans="1:9" x14ac:dyDescent="0.15">
      <c r="A940" s="9">
        <v>939</v>
      </c>
      <c r="B940" s="9" t="s">
        <v>9</v>
      </c>
      <c r="C940" s="9">
        <v>1925</v>
      </c>
      <c r="D940" s="10">
        <v>45715</v>
      </c>
      <c r="E940" s="11" t="str">
        <f>+HYPERLINK("http://trademark.i-assist.jp/data/china/image_1925th/82134269.pdf","82134269")</f>
        <v>82134269</v>
      </c>
      <c r="F940" s="9" t="s">
        <v>2565</v>
      </c>
      <c r="G940" s="9" t="s">
        <v>2566</v>
      </c>
      <c r="H940" s="9" t="s">
        <v>2567</v>
      </c>
      <c r="I940" s="10">
        <v>45618</v>
      </c>
    </row>
    <row r="941" spans="1:9" x14ac:dyDescent="0.15">
      <c r="A941" s="9">
        <v>940</v>
      </c>
      <c r="B941" s="9" t="s">
        <v>9</v>
      </c>
      <c r="C941" s="9">
        <v>1925</v>
      </c>
      <c r="D941" s="10">
        <v>45715</v>
      </c>
      <c r="E941" s="11" t="str">
        <f>+HYPERLINK("http://trademark.i-assist.jp/data/china/image_1925th/82134342.pdf","82134342")</f>
        <v>82134342</v>
      </c>
      <c r="F941" s="12" t="s">
        <v>2568</v>
      </c>
      <c r="G941" s="9" t="s">
        <v>2569</v>
      </c>
      <c r="H941" s="9" t="s">
        <v>2570</v>
      </c>
      <c r="I941" s="10">
        <v>45618</v>
      </c>
    </row>
    <row r="942" spans="1:9" x14ac:dyDescent="0.15">
      <c r="A942" s="9">
        <v>941</v>
      </c>
      <c r="B942" s="9" t="s">
        <v>9</v>
      </c>
      <c r="C942" s="9">
        <v>1925</v>
      </c>
      <c r="D942" s="10">
        <v>45715</v>
      </c>
      <c r="E942" s="11" t="str">
        <f>+HYPERLINK("http://trademark.i-assist.jp/data/china/image_1925th/82134505.pdf","82134505")</f>
        <v>82134505</v>
      </c>
      <c r="F942" s="12" t="s">
        <v>57</v>
      </c>
      <c r="G942" s="9" t="s">
        <v>2571</v>
      </c>
      <c r="H942" s="9" t="s">
        <v>2572</v>
      </c>
      <c r="I942" s="10">
        <v>45618</v>
      </c>
    </row>
    <row r="943" spans="1:9" x14ac:dyDescent="0.15">
      <c r="A943" s="9">
        <v>942</v>
      </c>
      <c r="B943" s="9" t="s">
        <v>9</v>
      </c>
      <c r="C943" s="9">
        <v>1925</v>
      </c>
      <c r="D943" s="10">
        <v>45715</v>
      </c>
      <c r="E943" s="11" t="str">
        <f>+HYPERLINK("http://trademark.i-assist.jp/data/china/image_1925th/82134572.pdf","82134572")</f>
        <v>82134572</v>
      </c>
      <c r="F943" s="9" t="s">
        <v>2573</v>
      </c>
      <c r="G943" s="9" t="s">
        <v>2574</v>
      </c>
      <c r="H943" s="9" t="s">
        <v>2575</v>
      </c>
      <c r="I943" s="10">
        <v>45618</v>
      </c>
    </row>
    <row r="944" spans="1:9" x14ac:dyDescent="0.15">
      <c r="A944" s="9">
        <v>943</v>
      </c>
      <c r="B944" s="9" t="s">
        <v>9</v>
      </c>
      <c r="C944" s="9">
        <v>1925</v>
      </c>
      <c r="D944" s="10">
        <v>45715</v>
      </c>
      <c r="E944" s="11" t="str">
        <f>+HYPERLINK("http://trademark.i-assist.jp/data/china/image_1925th/82134670.pdf","82134670")</f>
        <v>82134670</v>
      </c>
      <c r="F944" s="9" t="s">
        <v>2576</v>
      </c>
      <c r="G944" s="9" t="s">
        <v>2429</v>
      </c>
      <c r="H944" s="9" t="s">
        <v>2577</v>
      </c>
      <c r="I944" s="10">
        <v>45618</v>
      </c>
    </row>
    <row r="945" spans="1:9" x14ac:dyDescent="0.15">
      <c r="A945" s="9">
        <v>944</v>
      </c>
      <c r="B945" s="9" t="s">
        <v>9</v>
      </c>
      <c r="C945" s="9">
        <v>1925</v>
      </c>
      <c r="D945" s="10">
        <v>45715</v>
      </c>
      <c r="E945" s="11" t="str">
        <f>+HYPERLINK("http://trademark.i-assist.jp/data/china/image_1925th/82134703.pdf","82134703")</f>
        <v>82134703</v>
      </c>
      <c r="F945" s="9" t="s">
        <v>2578</v>
      </c>
      <c r="G945" s="12" t="s">
        <v>2579</v>
      </c>
      <c r="H945" s="9" t="s">
        <v>2580</v>
      </c>
      <c r="I945" s="10">
        <v>45618</v>
      </c>
    </row>
    <row r="946" spans="1:9" x14ac:dyDescent="0.15">
      <c r="A946" s="9">
        <v>945</v>
      </c>
      <c r="B946" s="9" t="s">
        <v>9</v>
      </c>
      <c r="C946" s="9">
        <v>1925</v>
      </c>
      <c r="D946" s="10">
        <v>45715</v>
      </c>
      <c r="E946" s="11" t="str">
        <f>+HYPERLINK("http://trademark.i-assist.jp/data/china/image_1925th/82134792.pdf","82134792")</f>
        <v>82134792</v>
      </c>
      <c r="F946" s="9" t="s">
        <v>2581</v>
      </c>
      <c r="G946" s="9" t="s">
        <v>2582</v>
      </c>
      <c r="H946" s="9" t="s">
        <v>10</v>
      </c>
      <c r="I946" s="10">
        <v>45618</v>
      </c>
    </row>
    <row r="947" spans="1:9" x14ac:dyDescent="0.15">
      <c r="A947" s="9">
        <v>946</v>
      </c>
      <c r="B947" s="9" t="s">
        <v>9</v>
      </c>
      <c r="C947" s="9">
        <v>1925</v>
      </c>
      <c r="D947" s="10">
        <v>45715</v>
      </c>
      <c r="E947" s="11" t="str">
        <f>+HYPERLINK("http://trademark.i-assist.jp/data/china/image_1925th/82134877.pdf","82134877")</f>
        <v>82134877</v>
      </c>
      <c r="F947" s="9" t="s">
        <v>2583</v>
      </c>
      <c r="G947" s="9" t="s">
        <v>2420</v>
      </c>
      <c r="H947" s="9" t="s">
        <v>2584</v>
      </c>
      <c r="I947" s="10">
        <v>45618</v>
      </c>
    </row>
    <row r="948" spans="1:9" x14ac:dyDescent="0.15">
      <c r="A948" s="9">
        <v>947</v>
      </c>
      <c r="B948" s="9" t="s">
        <v>9</v>
      </c>
      <c r="C948" s="9">
        <v>1925</v>
      </c>
      <c r="D948" s="10">
        <v>45715</v>
      </c>
      <c r="E948" s="11" t="str">
        <f>+HYPERLINK("http://trademark.i-assist.jp/data/china/image_1925th/82134887.pdf","82134887")</f>
        <v>82134887</v>
      </c>
      <c r="F948" s="9" t="s">
        <v>2585</v>
      </c>
      <c r="G948" s="9" t="s">
        <v>2586</v>
      </c>
      <c r="H948" s="9" t="s">
        <v>2587</v>
      </c>
      <c r="I948" s="10">
        <v>45618</v>
      </c>
    </row>
    <row r="949" spans="1:9" x14ac:dyDescent="0.15">
      <c r="A949" s="9">
        <v>948</v>
      </c>
      <c r="B949" s="9" t="s">
        <v>9</v>
      </c>
      <c r="C949" s="9">
        <v>1925</v>
      </c>
      <c r="D949" s="10">
        <v>45715</v>
      </c>
      <c r="E949" s="11" t="str">
        <f>+HYPERLINK("http://trademark.i-assist.jp/data/china/image_1925th/82135060.pdf","82135060")</f>
        <v>82135060</v>
      </c>
      <c r="F949" s="9" t="s">
        <v>2588</v>
      </c>
      <c r="G949" s="9" t="s">
        <v>2589</v>
      </c>
      <c r="H949" s="9" t="s">
        <v>2590</v>
      </c>
      <c r="I949" s="10">
        <v>45618</v>
      </c>
    </row>
    <row r="950" spans="1:9" x14ac:dyDescent="0.15">
      <c r="A950" s="9">
        <v>949</v>
      </c>
      <c r="B950" s="9" t="s">
        <v>9</v>
      </c>
      <c r="C950" s="9">
        <v>1925</v>
      </c>
      <c r="D950" s="10">
        <v>45715</v>
      </c>
      <c r="E950" s="11" t="str">
        <f>+HYPERLINK("http://trademark.i-assist.jp/data/china/image_1925th/82135219.pdf","82135219")</f>
        <v>82135219</v>
      </c>
      <c r="F950" s="9" t="s">
        <v>2591</v>
      </c>
      <c r="G950" s="9" t="s">
        <v>2592</v>
      </c>
      <c r="H950" s="12" t="s">
        <v>2593</v>
      </c>
      <c r="I950" s="10">
        <v>45618</v>
      </c>
    </row>
    <row r="951" spans="1:9" x14ac:dyDescent="0.15">
      <c r="A951" s="9">
        <v>950</v>
      </c>
      <c r="B951" s="9" t="s">
        <v>9</v>
      </c>
      <c r="C951" s="9">
        <v>1925</v>
      </c>
      <c r="D951" s="10">
        <v>45715</v>
      </c>
      <c r="E951" s="11" t="str">
        <f>+HYPERLINK("http://trademark.i-assist.jp/data/china/image_1925th/82135408.pdf","82135408")</f>
        <v>82135408</v>
      </c>
      <c r="F951" s="12" t="s">
        <v>2594</v>
      </c>
      <c r="G951" s="9" t="s">
        <v>2595</v>
      </c>
      <c r="H951" s="9" t="s">
        <v>2596</v>
      </c>
      <c r="I951" s="10">
        <v>45618</v>
      </c>
    </row>
    <row r="952" spans="1:9" x14ac:dyDescent="0.15">
      <c r="A952" s="9">
        <v>951</v>
      </c>
      <c r="B952" s="9" t="s">
        <v>9</v>
      </c>
      <c r="C952" s="9">
        <v>1925</v>
      </c>
      <c r="D952" s="10">
        <v>45715</v>
      </c>
      <c r="E952" s="11" t="str">
        <f>+HYPERLINK("http://trademark.i-assist.jp/data/china/image_1925th/82135596.pdf","82135596")</f>
        <v>82135596</v>
      </c>
      <c r="F952" s="9" t="s">
        <v>2597</v>
      </c>
      <c r="G952" s="12" t="s">
        <v>2460</v>
      </c>
      <c r="H952" s="12" t="s">
        <v>2598</v>
      </c>
      <c r="I952" s="10">
        <v>45618</v>
      </c>
    </row>
    <row r="953" spans="1:9" x14ac:dyDescent="0.15">
      <c r="A953" s="9">
        <v>952</v>
      </c>
      <c r="B953" s="9" t="s">
        <v>9</v>
      </c>
      <c r="C953" s="9">
        <v>1925</v>
      </c>
      <c r="D953" s="10">
        <v>45715</v>
      </c>
      <c r="E953" s="11" t="str">
        <f>+HYPERLINK("http://trademark.i-assist.jp/data/china/image_1925th/82135764.pdf","82135764")</f>
        <v>82135764</v>
      </c>
      <c r="F953" s="9" t="s">
        <v>2599</v>
      </c>
      <c r="G953" s="12" t="s">
        <v>2600</v>
      </c>
      <c r="H953" s="12" t="s">
        <v>2601</v>
      </c>
      <c r="I953" s="10">
        <v>45618</v>
      </c>
    </row>
    <row r="954" spans="1:9" x14ac:dyDescent="0.15">
      <c r="A954" s="9">
        <v>953</v>
      </c>
      <c r="B954" s="9" t="s">
        <v>9</v>
      </c>
      <c r="C954" s="9">
        <v>1925</v>
      </c>
      <c r="D954" s="10">
        <v>45715</v>
      </c>
      <c r="E954" s="11" t="str">
        <f>+HYPERLINK("http://trademark.i-assist.jp/data/china/image_1925th/82136036.pdf","82136036")</f>
        <v>82136036</v>
      </c>
      <c r="F954" s="9" t="s">
        <v>2602</v>
      </c>
      <c r="G954" s="9" t="s">
        <v>2603</v>
      </c>
      <c r="H954" s="9" t="s">
        <v>2604</v>
      </c>
      <c r="I954" s="10">
        <v>45618</v>
      </c>
    </row>
    <row r="955" spans="1:9" x14ac:dyDescent="0.15">
      <c r="A955" s="9">
        <v>954</v>
      </c>
      <c r="B955" s="9" t="s">
        <v>9</v>
      </c>
      <c r="C955" s="9">
        <v>1925</v>
      </c>
      <c r="D955" s="10">
        <v>45715</v>
      </c>
      <c r="E955" s="11" t="str">
        <f>+HYPERLINK("http://trademark.i-assist.jp/data/china/image_1925th/82136237.pdf","82136237")</f>
        <v>82136237</v>
      </c>
      <c r="F955" s="12" t="s">
        <v>2605</v>
      </c>
      <c r="G955" s="9" t="s">
        <v>2466</v>
      </c>
      <c r="H955" s="12" t="s">
        <v>2606</v>
      </c>
      <c r="I955" s="10">
        <v>45618</v>
      </c>
    </row>
    <row r="956" spans="1:9" x14ac:dyDescent="0.15">
      <c r="A956" s="9">
        <v>955</v>
      </c>
      <c r="B956" s="9" t="s">
        <v>9</v>
      </c>
      <c r="C956" s="9">
        <v>1925</v>
      </c>
      <c r="D956" s="10">
        <v>45715</v>
      </c>
      <c r="E956" s="11" t="str">
        <f>+HYPERLINK("http://trademark.i-assist.jp/data/china/image_1925th/82136658.pdf","82136658")</f>
        <v>82136658</v>
      </c>
      <c r="F956" s="12" t="s">
        <v>57</v>
      </c>
      <c r="G956" s="9" t="s">
        <v>2607</v>
      </c>
      <c r="H956" s="9" t="s">
        <v>2608</v>
      </c>
      <c r="I956" s="10">
        <v>45618</v>
      </c>
    </row>
    <row r="957" spans="1:9" x14ac:dyDescent="0.15">
      <c r="A957" s="9">
        <v>956</v>
      </c>
      <c r="B957" s="9" t="s">
        <v>9</v>
      </c>
      <c r="C957" s="9">
        <v>1925</v>
      </c>
      <c r="D957" s="10">
        <v>45715</v>
      </c>
      <c r="E957" s="11" t="str">
        <f>+HYPERLINK("http://trademark.i-assist.jp/data/china/image_1925th/82137082.pdf","82137082")</f>
        <v>82137082</v>
      </c>
      <c r="F957" s="12" t="s">
        <v>2609</v>
      </c>
      <c r="G957" s="12" t="s">
        <v>2475</v>
      </c>
      <c r="H957" s="9" t="s">
        <v>2610</v>
      </c>
      <c r="I957" s="10">
        <v>45618</v>
      </c>
    </row>
    <row r="958" spans="1:9" x14ac:dyDescent="0.15">
      <c r="A958" s="9">
        <v>957</v>
      </c>
      <c r="B958" s="9" t="s">
        <v>9</v>
      </c>
      <c r="C958" s="9">
        <v>1925</v>
      </c>
      <c r="D958" s="10">
        <v>45715</v>
      </c>
      <c r="E958" s="11" t="str">
        <f>+HYPERLINK("http://trademark.i-assist.jp/data/china/image_1925th/82137344.pdf","82137344")</f>
        <v>82137344</v>
      </c>
      <c r="F958" s="9" t="s">
        <v>2611</v>
      </c>
      <c r="G958" s="12" t="s">
        <v>2612</v>
      </c>
      <c r="H958" s="9" t="s">
        <v>2613</v>
      </c>
      <c r="I958" s="10">
        <v>45618</v>
      </c>
    </row>
    <row r="959" spans="1:9" x14ac:dyDescent="0.15">
      <c r="A959" s="9">
        <v>958</v>
      </c>
      <c r="B959" s="9" t="s">
        <v>9</v>
      </c>
      <c r="C959" s="9">
        <v>1925</v>
      </c>
      <c r="D959" s="10">
        <v>45715</v>
      </c>
      <c r="E959" s="11" t="str">
        <f>+HYPERLINK("http://trademark.i-assist.jp/data/china/image_1925th/82137387.pdf","82137387")</f>
        <v>82137387</v>
      </c>
      <c r="F959" s="12" t="s">
        <v>2614</v>
      </c>
      <c r="G959" s="12" t="s">
        <v>2615</v>
      </c>
      <c r="H959" s="12" t="s">
        <v>2616</v>
      </c>
      <c r="I959" s="10">
        <v>45618</v>
      </c>
    </row>
    <row r="960" spans="1:9" x14ac:dyDescent="0.15">
      <c r="A960" s="9">
        <v>959</v>
      </c>
      <c r="B960" s="9" t="s">
        <v>9</v>
      </c>
      <c r="C960" s="9">
        <v>1925</v>
      </c>
      <c r="D960" s="10">
        <v>45715</v>
      </c>
      <c r="E960" s="11" t="str">
        <f>+HYPERLINK("http://trademark.i-assist.jp/data/china/image_1925th/82137641.pdf","82137641")</f>
        <v>82137641</v>
      </c>
      <c r="F960" s="9" t="s">
        <v>2617</v>
      </c>
      <c r="G960" s="9" t="s">
        <v>2618</v>
      </c>
      <c r="H960" s="9" t="s">
        <v>2619</v>
      </c>
      <c r="I960" s="10">
        <v>45618</v>
      </c>
    </row>
    <row r="961" spans="1:9" x14ac:dyDescent="0.15">
      <c r="A961" s="9">
        <v>960</v>
      </c>
      <c r="B961" s="9" t="s">
        <v>9</v>
      </c>
      <c r="C961" s="9">
        <v>1925</v>
      </c>
      <c r="D961" s="10">
        <v>45715</v>
      </c>
      <c r="E961" s="11" t="str">
        <f>+HYPERLINK("http://trademark.i-assist.jp/data/china/image_1925th/82137744.pdf","82137744")</f>
        <v>82137744</v>
      </c>
      <c r="F961" s="9" t="s">
        <v>2620</v>
      </c>
      <c r="G961" s="9" t="s">
        <v>2586</v>
      </c>
      <c r="H961" s="9" t="s">
        <v>2621</v>
      </c>
      <c r="I961" s="10">
        <v>45618</v>
      </c>
    </row>
    <row r="962" spans="1:9" x14ac:dyDescent="0.15">
      <c r="A962" s="9">
        <v>961</v>
      </c>
      <c r="B962" s="9" t="s">
        <v>9</v>
      </c>
      <c r="C962" s="9">
        <v>1925</v>
      </c>
      <c r="D962" s="10">
        <v>45715</v>
      </c>
      <c r="E962" s="11" t="str">
        <f>+HYPERLINK("http://trademark.i-assist.jp/data/china/image_1925th/82137893.pdf","82137893")</f>
        <v>82137893</v>
      </c>
      <c r="F962" s="9" t="s">
        <v>2622</v>
      </c>
      <c r="G962" s="9" t="s">
        <v>2429</v>
      </c>
      <c r="H962" s="12" t="s">
        <v>2623</v>
      </c>
      <c r="I962" s="10">
        <v>45618</v>
      </c>
    </row>
    <row r="963" spans="1:9" x14ac:dyDescent="0.15">
      <c r="A963" s="9">
        <v>962</v>
      </c>
      <c r="B963" s="9" t="s">
        <v>9</v>
      </c>
      <c r="C963" s="9">
        <v>1925</v>
      </c>
      <c r="D963" s="10">
        <v>45715</v>
      </c>
      <c r="E963" s="11" t="str">
        <f>+HYPERLINK("http://trademark.i-assist.jp/data/china/image_1925th/82137911.pdf","82137911")</f>
        <v>82137911</v>
      </c>
      <c r="F963" s="9" t="s">
        <v>2624</v>
      </c>
      <c r="G963" s="9" t="s">
        <v>2625</v>
      </c>
      <c r="H963" s="9" t="s">
        <v>2626</v>
      </c>
      <c r="I963" s="10">
        <v>45618</v>
      </c>
    </row>
    <row r="964" spans="1:9" x14ac:dyDescent="0.15">
      <c r="A964" s="9">
        <v>963</v>
      </c>
      <c r="B964" s="9" t="s">
        <v>9</v>
      </c>
      <c r="C964" s="9">
        <v>1925</v>
      </c>
      <c r="D964" s="10">
        <v>45715</v>
      </c>
      <c r="E964" s="11" t="str">
        <f>+HYPERLINK("http://trademark.i-assist.jp/data/china/image_1925th/82137956.pdf","82137956")</f>
        <v>82137956</v>
      </c>
      <c r="F964" s="9" t="s">
        <v>2627</v>
      </c>
      <c r="G964" s="9" t="s">
        <v>2592</v>
      </c>
      <c r="H964" s="9" t="s">
        <v>2628</v>
      </c>
      <c r="I964" s="10">
        <v>45618</v>
      </c>
    </row>
    <row r="965" spans="1:9" x14ac:dyDescent="0.15">
      <c r="A965" s="9">
        <v>964</v>
      </c>
      <c r="B965" s="9" t="s">
        <v>9</v>
      </c>
      <c r="C965" s="9">
        <v>1925</v>
      </c>
      <c r="D965" s="10">
        <v>45715</v>
      </c>
      <c r="E965" s="11" t="str">
        <f>+HYPERLINK("http://trademark.i-assist.jp/data/china/image_1925th/82138099.pdf","82138099")</f>
        <v>82138099</v>
      </c>
      <c r="F965" s="9" t="s">
        <v>2629</v>
      </c>
      <c r="G965" s="9" t="s">
        <v>2630</v>
      </c>
      <c r="H965" s="9" t="s">
        <v>2631</v>
      </c>
      <c r="I965" s="10">
        <v>45618</v>
      </c>
    </row>
    <row r="966" spans="1:9" x14ac:dyDescent="0.15">
      <c r="A966" s="9">
        <v>965</v>
      </c>
      <c r="B966" s="9" t="s">
        <v>9</v>
      </c>
      <c r="C966" s="9">
        <v>1925</v>
      </c>
      <c r="D966" s="10">
        <v>45715</v>
      </c>
      <c r="E966" s="11" t="str">
        <f>+HYPERLINK("http://trademark.i-assist.jp/data/china/image_1925th/82138205.pdf","82138205")</f>
        <v>82138205</v>
      </c>
      <c r="F966" s="9" t="s">
        <v>2632</v>
      </c>
      <c r="G966" s="9" t="s">
        <v>2633</v>
      </c>
      <c r="H966" s="9" t="s">
        <v>2634</v>
      </c>
      <c r="I966" s="10">
        <v>45618</v>
      </c>
    </row>
    <row r="967" spans="1:9" x14ac:dyDescent="0.15">
      <c r="A967" s="9">
        <v>966</v>
      </c>
      <c r="B967" s="9" t="s">
        <v>9</v>
      </c>
      <c r="C967" s="9">
        <v>1925</v>
      </c>
      <c r="D967" s="10">
        <v>45715</v>
      </c>
      <c r="E967" s="11" t="str">
        <f>+HYPERLINK("http://trademark.i-assist.jp/data/china/image_1925th/82138400.pdf","82138400")</f>
        <v>82138400</v>
      </c>
      <c r="F967" s="9" t="s">
        <v>2635</v>
      </c>
      <c r="G967" s="12" t="s">
        <v>2636</v>
      </c>
      <c r="H967" s="9" t="s">
        <v>2637</v>
      </c>
      <c r="I967" s="10">
        <v>45618</v>
      </c>
    </row>
    <row r="968" spans="1:9" x14ac:dyDescent="0.15">
      <c r="A968" s="9">
        <v>967</v>
      </c>
      <c r="B968" s="9" t="s">
        <v>9</v>
      </c>
      <c r="C968" s="9">
        <v>1925</v>
      </c>
      <c r="D968" s="10">
        <v>45715</v>
      </c>
      <c r="E968" s="11" t="str">
        <f>+HYPERLINK("http://trademark.i-assist.jp/data/china/image_1925th/82138778.pdf","82138778")</f>
        <v>82138778</v>
      </c>
      <c r="F968" s="9" t="s">
        <v>2638</v>
      </c>
      <c r="G968" s="9" t="s">
        <v>2540</v>
      </c>
      <c r="H968" s="12" t="s">
        <v>2639</v>
      </c>
      <c r="I968" s="10">
        <v>45618</v>
      </c>
    </row>
    <row r="969" spans="1:9" x14ac:dyDescent="0.15">
      <c r="A969" s="9">
        <v>968</v>
      </c>
      <c r="B969" s="9" t="s">
        <v>9</v>
      </c>
      <c r="C969" s="9">
        <v>1925</v>
      </c>
      <c r="D969" s="10">
        <v>45715</v>
      </c>
      <c r="E969" s="11" t="str">
        <f>+HYPERLINK("http://trademark.i-assist.jp/data/china/image_1925th/82138935.pdf","82138935")</f>
        <v>82138935</v>
      </c>
      <c r="F969" s="9" t="s">
        <v>2640</v>
      </c>
      <c r="G969" s="9" t="s">
        <v>2641</v>
      </c>
      <c r="H969" s="9" t="s">
        <v>2642</v>
      </c>
      <c r="I969" s="10">
        <v>45618</v>
      </c>
    </row>
    <row r="970" spans="1:9" x14ac:dyDescent="0.15">
      <c r="A970" s="9">
        <v>969</v>
      </c>
      <c r="B970" s="9" t="s">
        <v>9</v>
      </c>
      <c r="C970" s="9">
        <v>1925</v>
      </c>
      <c r="D970" s="10">
        <v>45715</v>
      </c>
      <c r="E970" s="11" t="str">
        <f>+HYPERLINK("http://trademark.i-assist.jp/data/china/image_1925th/82139381.pdf","82139381")</f>
        <v>82139381</v>
      </c>
      <c r="F970" s="9" t="s">
        <v>2643</v>
      </c>
      <c r="G970" s="9" t="s">
        <v>2644</v>
      </c>
      <c r="H970" s="9" t="s">
        <v>2645</v>
      </c>
      <c r="I970" s="10">
        <v>45618</v>
      </c>
    </row>
    <row r="971" spans="1:9" x14ac:dyDescent="0.15">
      <c r="A971" s="9">
        <v>970</v>
      </c>
      <c r="B971" s="9" t="s">
        <v>9</v>
      </c>
      <c r="C971" s="9">
        <v>1925</v>
      </c>
      <c r="D971" s="10">
        <v>45715</v>
      </c>
      <c r="E971" s="11" t="str">
        <f>+HYPERLINK("http://trademark.i-assist.jp/data/china/image_1925th/82139853.pdf","82139853")</f>
        <v>82139853</v>
      </c>
      <c r="F971" s="12" t="s">
        <v>2646</v>
      </c>
      <c r="G971" s="12" t="s">
        <v>2647</v>
      </c>
      <c r="H971" s="12" t="s">
        <v>2648</v>
      </c>
      <c r="I971" s="10">
        <v>45618</v>
      </c>
    </row>
    <row r="972" spans="1:9" x14ac:dyDescent="0.15">
      <c r="A972" s="9">
        <v>971</v>
      </c>
      <c r="B972" s="9" t="s">
        <v>9</v>
      </c>
      <c r="C972" s="9">
        <v>1925</v>
      </c>
      <c r="D972" s="10">
        <v>45715</v>
      </c>
      <c r="E972" s="11" t="str">
        <f>+HYPERLINK("http://trademark.i-assist.jp/data/china/image_1925th/82139860.pdf","82139860")</f>
        <v>82139860</v>
      </c>
      <c r="F972" s="9" t="s">
        <v>2649</v>
      </c>
      <c r="G972" s="9" t="s">
        <v>2650</v>
      </c>
      <c r="H972" s="9" t="s">
        <v>2651</v>
      </c>
      <c r="I972" s="10">
        <v>45618</v>
      </c>
    </row>
    <row r="973" spans="1:9" x14ac:dyDescent="0.15">
      <c r="A973" s="9">
        <v>972</v>
      </c>
      <c r="B973" s="9" t="s">
        <v>9</v>
      </c>
      <c r="C973" s="9">
        <v>1925</v>
      </c>
      <c r="D973" s="10">
        <v>45715</v>
      </c>
      <c r="E973" s="11" t="str">
        <f>+HYPERLINK("http://trademark.i-assist.jp/data/china/image_1925th/82139916.pdf","82139916")</f>
        <v>82139916</v>
      </c>
      <c r="F973" s="9" t="s">
        <v>2652</v>
      </c>
      <c r="G973" s="12" t="s">
        <v>2653</v>
      </c>
      <c r="H973" s="9" t="s">
        <v>2654</v>
      </c>
      <c r="I973" s="10">
        <v>45618</v>
      </c>
    </row>
    <row r="974" spans="1:9" x14ac:dyDescent="0.15">
      <c r="A974" s="9">
        <v>973</v>
      </c>
      <c r="B974" s="9" t="s">
        <v>9</v>
      </c>
      <c r="C974" s="9">
        <v>1925</v>
      </c>
      <c r="D974" s="10">
        <v>45715</v>
      </c>
      <c r="E974" s="11" t="str">
        <f>+HYPERLINK("http://trademark.i-assist.jp/data/china/image_1925th/82140065.pdf","82140065")</f>
        <v>82140065</v>
      </c>
      <c r="F974" s="9" t="s">
        <v>2655</v>
      </c>
      <c r="G974" s="9" t="s">
        <v>524</v>
      </c>
      <c r="H974" s="9" t="s">
        <v>2656</v>
      </c>
      <c r="I974" s="10">
        <v>45618</v>
      </c>
    </row>
    <row r="975" spans="1:9" x14ac:dyDescent="0.15">
      <c r="A975" s="9">
        <v>974</v>
      </c>
      <c r="B975" s="9" t="s">
        <v>9</v>
      </c>
      <c r="C975" s="9">
        <v>1925</v>
      </c>
      <c r="D975" s="10">
        <v>45715</v>
      </c>
      <c r="E975" s="11" t="str">
        <f>+HYPERLINK("http://trademark.i-assist.jp/data/china/image_1925th/82140105.pdf","82140105")</f>
        <v>82140105</v>
      </c>
      <c r="F975" s="13" t="s">
        <v>2657</v>
      </c>
      <c r="G975" s="9" t="s">
        <v>2658</v>
      </c>
      <c r="H975" s="9" t="s">
        <v>2659</v>
      </c>
      <c r="I975" s="10">
        <v>45618</v>
      </c>
    </row>
    <row r="976" spans="1:9" x14ac:dyDescent="0.15">
      <c r="A976" s="9">
        <v>975</v>
      </c>
      <c r="B976" s="9" t="s">
        <v>9</v>
      </c>
      <c r="C976" s="9">
        <v>1925</v>
      </c>
      <c r="D976" s="10">
        <v>45715</v>
      </c>
      <c r="E976" s="11" t="str">
        <f>+HYPERLINK("http://trademark.i-assist.jp/data/china/image_1925th/82140562.pdf","82140562")</f>
        <v>82140562</v>
      </c>
      <c r="F976" s="9" t="s">
        <v>2660</v>
      </c>
      <c r="G976" s="9" t="s">
        <v>2661</v>
      </c>
      <c r="H976" s="9" t="s">
        <v>2662</v>
      </c>
      <c r="I976" s="10">
        <v>45618</v>
      </c>
    </row>
    <row r="977" spans="1:9" x14ac:dyDescent="0.15">
      <c r="A977" s="9">
        <v>976</v>
      </c>
      <c r="B977" s="9" t="s">
        <v>9</v>
      </c>
      <c r="C977" s="9">
        <v>1925</v>
      </c>
      <c r="D977" s="10">
        <v>45715</v>
      </c>
      <c r="E977" s="11" t="str">
        <f>+HYPERLINK("http://trademark.i-assist.jp/data/china/image_1925th/82140682.pdf","82140682")</f>
        <v>82140682</v>
      </c>
      <c r="F977" s="9" t="s">
        <v>2663</v>
      </c>
      <c r="G977" s="12" t="s">
        <v>2664</v>
      </c>
      <c r="H977" s="9" t="s">
        <v>2665</v>
      </c>
      <c r="I977" s="10">
        <v>45618</v>
      </c>
    </row>
    <row r="978" spans="1:9" x14ac:dyDescent="0.15">
      <c r="A978" s="9">
        <v>977</v>
      </c>
      <c r="B978" s="9" t="s">
        <v>9</v>
      </c>
      <c r="C978" s="9">
        <v>1925</v>
      </c>
      <c r="D978" s="10">
        <v>45715</v>
      </c>
      <c r="E978" s="11" t="str">
        <f>+HYPERLINK("http://trademark.i-assist.jp/data/china/image_1925th/82141301.pdf","82141301")</f>
        <v>82141301</v>
      </c>
      <c r="F978" s="9" t="s">
        <v>2666</v>
      </c>
      <c r="G978" s="9" t="s">
        <v>2667</v>
      </c>
      <c r="H978" s="12" t="s">
        <v>2668</v>
      </c>
      <c r="I978" s="10">
        <v>45618</v>
      </c>
    </row>
    <row r="979" spans="1:9" x14ac:dyDescent="0.15">
      <c r="A979" s="9">
        <v>978</v>
      </c>
      <c r="B979" s="9" t="s">
        <v>9</v>
      </c>
      <c r="C979" s="9">
        <v>1925</v>
      </c>
      <c r="D979" s="10">
        <v>45715</v>
      </c>
      <c r="E979" s="11" t="str">
        <f>+HYPERLINK("http://trademark.i-assist.jp/data/china/image_1925th/82141556.pdf","82141556")</f>
        <v>82141556</v>
      </c>
      <c r="F979" s="9" t="s">
        <v>2669</v>
      </c>
      <c r="G979" s="9" t="s">
        <v>2670</v>
      </c>
      <c r="H979" s="12" t="s">
        <v>2671</v>
      </c>
      <c r="I979" s="10">
        <v>45618</v>
      </c>
    </row>
    <row r="980" spans="1:9" x14ac:dyDescent="0.15">
      <c r="A980" s="9">
        <v>979</v>
      </c>
      <c r="B980" s="9" t="s">
        <v>9</v>
      </c>
      <c r="C980" s="9">
        <v>1925</v>
      </c>
      <c r="D980" s="10">
        <v>45715</v>
      </c>
      <c r="E980" s="11" t="str">
        <f>+HYPERLINK("http://trademark.i-assist.jp/data/china/image_1925th/82141642.pdf","82141642")</f>
        <v>82141642</v>
      </c>
      <c r="F980" s="12" t="s">
        <v>2672</v>
      </c>
      <c r="G980" s="9" t="s">
        <v>2673</v>
      </c>
      <c r="H980" s="9" t="s">
        <v>2674</v>
      </c>
      <c r="I980" s="10">
        <v>45618</v>
      </c>
    </row>
    <row r="981" spans="1:9" x14ac:dyDescent="0.15">
      <c r="A981" s="9">
        <v>980</v>
      </c>
      <c r="B981" s="9" t="s">
        <v>9</v>
      </c>
      <c r="C981" s="9">
        <v>1925</v>
      </c>
      <c r="D981" s="10">
        <v>45715</v>
      </c>
      <c r="E981" s="11" t="str">
        <f>+HYPERLINK("http://trademark.i-assist.jp/data/china/image_1925th/82141672.pdf","82141672")</f>
        <v>82141672</v>
      </c>
      <c r="F981" s="9" t="s">
        <v>2675</v>
      </c>
      <c r="G981" s="9" t="s">
        <v>2644</v>
      </c>
      <c r="H981" s="9" t="s">
        <v>2676</v>
      </c>
      <c r="I981" s="10">
        <v>45618</v>
      </c>
    </row>
    <row r="982" spans="1:9" x14ac:dyDescent="0.15">
      <c r="A982" s="9">
        <v>981</v>
      </c>
      <c r="B982" s="9" t="s">
        <v>9</v>
      </c>
      <c r="C982" s="9">
        <v>1925</v>
      </c>
      <c r="D982" s="10">
        <v>45715</v>
      </c>
      <c r="E982" s="11" t="str">
        <f>+HYPERLINK("http://trademark.i-assist.jp/data/china/image_1925th/82141776.pdf","82141776")</f>
        <v>82141776</v>
      </c>
      <c r="F982" s="9" t="s">
        <v>2677</v>
      </c>
      <c r="G982" s="9" t="s">
        <v>2429</v>
      </c>
      <c r="H982" s="12" t="s">
        <v>2678</v>
      </c>
      <c r="I982" s="10">
        <v>45618</v>
      </c>
    </row>
    <row r="983" spans="1:9" x14ac:dyDescent="0.15">
      <c r="A983" s="9">
        <v>982</v>
      </c>
      <c r="B983" s="9" t="s">
        <v>9</v>
      </c>
      <c r="C983" s="9">
        <v>1925</v>
      </c>
      <c r="D983" s="10">
        <v>45715</v>
      </c>
      <c r="E983" s="11" t="str">
        <f>+HYPERLINK("http://trademark.i-assist.jp/data/china/image_1925th/82142088.pdf","82142088")</f>
        <v>82142088</v>
      </c>
      <c r="F983" s="9" t="s">
        <v>2679</v>
      </c>
      <c r="G983" s="9" t="s">
        <v>2680</v>
      </c>
      <c r="H983" s="9" t="s">
        <v>2681</v>
      </c>
      <c r="I983" s="10">
        <v>45618</v>
      </c>
    </row>
    <row r="984" spans="1:9" x14ac:dyDescent="0.15">
      <c r="A984" s="9">
        <v>983</v>
      </c>
      <c r="B984" s="9" t="s">
        <v>9</v>
      </c>
      <c r="C984" s="9">
        <v>1925</v>
      </c>
      <c r="D984" s="10">
        <v>45715</v>
      </c>
      <c r="E984" s="11" t="str">
        <f>+HYPERLINK("http://trademark.i-assist.jp/data/china/image_1925th/82142288.pdf","82142288")</f>
        <v>82142288</v>
      </c>
      <c r="F984" s="12" t="s">
        <v>2682</v>
      </c>
      <c r="G984" s="12" t="s">
        <v>2683</v>
      </c>
      <c r="H984" s="9" t="s">
        <v>2684</v>
      </c>
      <c r="I984" s="10">
        <v>45618</v>
      </c>
    </row>
    <row r="985" spans="1:9" x14ac:dyDescent="0.15">
      <c r="A985" s="9">
        <v>984</v>
      </c>
      <c r="B985" s="9" t="s">
        <v>9</v>
      </c>
      <c r="C985" s="9">
        <v>1925</v>
      </c>
      <c r="D985" s="10">
        <v>45715</v>
      </c>
      <c r="E985" s="11" t="str">
        <f>+HYPERLINK("http://trademark.i-assist.jp/data/china/image_1925th/82142430.pdf","82142430")</f>
        <v>82142430</v>
      </c>
      <c r="F985" s="9" t="s">
        <v>2685</v>
      </c>
      <c r="G985" s="12" t="s">
        <v>2686</v>
      </c>
      <c r="H985" s="9" t="s">
        <v>2687</v>
      </c>
      <c r="I985" s="10">
        <v>45618</v>
      </c>
    </row>
    <row r="986" spans="1:9" x14ac:dyDescent="0.15">
      <c r="A986" s="9">
        <v>985</v>
      </c>
      <c r="B986" s="9" t="s">
        <v>9</v>
      </c>
      <c r="C986" s="9">
        <v>1925</v>
      </c>
      <c r="D986" s="10">
        <v>45715</v>
      </c>
      <c r="E986" s="11" t="str">
        <f>+HYPERLINK("http://trademark.i-assist.jp/data/china/image_1925th/82142599.pdf","82142599")</f>
        <v>82142599</v>
      </c>
      <c r="F986" s="9" t="s">
        <v>2688</v>
      </c>
      <c r="G986" s="9" t="s">
        <v>2429</v>
      </c>
      <c r="H986" s="9" t="s">
        <v>2689</v>
      </c>
      <c r="I986" s="10">
        <v>45618</v>
      </c>
    </row>
    <row r="987" spans="1:9" x14ac:dyDescent="0.15">
      <c r="A987" s="9">
        <v>986</v>
      </c>
      <c r="B987" s="9" t="s">
        <v>9</v>
      </c>
      <c r="C987" s="9">
        <v>1925</v>
      </c>
      <c r="D987" s="10">
        <v>45715</v>
      </c>
      <c r="E987" s="11" t="str">
        <f>+HYPERLINK("http://trademark.i-assist.jp/data/china/image_1925th/82142609.pdf","82142609")</f>
        <v>82142609</v>
      </c>
      <c r="F987" s="9" t="s">
        <v>2690</v>
      </c>
      <c r="G987" s="9" t="s">
        <v>2429</v>
      </c>
      <c r="H987" s="12" t="s">
        <v>2691</v>
      </c>
      <c r="I987" s="10">
        <v>45618</v>
      </c>
    </row>
    <row r="988" spans="1:9" x14ac:dyDescent="0.15">
      <c r="A988" s="9">
        <v>987</v>
      </c>
      <c r="B988" s="9" t="s">
        <v>9</v>
      </c>
      <c r="C988" s="9">
        <v>1925</v>
      </c>
      <c r="D988" s="10">
        <v>45715</v>
      </c>
      <c r="E988" s="11" t="str">
        <f>+HYPERLINK("http://trademark.i-assist.jp/data/china/image_1925th/82142648.pdf","82142648")</f>
        <v>82142648</v>
      </c>
      <c r="F988" s="12" t="s">
        <v>2692</v>
      </c>
      <c r="G988" s="9" t="s">
        <v>2693</v>
      </c>
      <c r="H988" s="9" t="s">
        <v>2694</v>
      </c>
      <c r="I988" s="10">
        <v>45618</v>
      </c>
    </row>
    <row r="989" spans="1:9" x14ac:dyDescent="0.15">
      <c r="A989" s="9">
        <v>988</v>
      </c>
      <c r="B989" s="9" t="s">
        <v>9</v>
      </c>
      <c r="C989" s="9">
        <v>1925</v>
      </c>
      <c r="D989" s="10">
        <v>45715</v>
      </c>
      <c r="E989" s="11" t="str">
        <f>+HYPERLINK("http://trademark.i-assist.jp/data/china/image_1925th/82142694.pdf","82142694")</f>
        <v>82142694</v>
      </c>
      <c r="F989" s="9" t="s">
        <v>2695</v>
      </c>
      <c r="G989" s="9" t="s">
        <v>2499</v>
      </c>
      <c r="H989" s="12" t="s">
        <v>2696</v>
      </c>
      <c r="I989" s="10">
        <v>45618</v>
      </c>
    </row>
    <row r="990" spans="1:9" x14ac:dyDescent="0.15">
      <c r="A990" s="9">
        <v>989</v>
      </c>
      <c r="B990" s="9" t="s">
        <v>9</v>
      </c>
      <c r="C990" s="9">
        <v>1925</v>
      </c>
      <c r="D990" s="10">
        <v>45715</v>
      </c>
      <c r="E990" s="11" t="str">
        <f>+HYPERLINK("http://trademark.i-assist.jp/data/china/image_1925th/82142823.pdf","82142823")</f>
        <v>82142823</v>
      </c>
      <c r="F990" s="12" t="s">
        <v>57</v>
      </c>
      <c r="G990" s="9" t="s">
        <v>2697</v>
      </c>
      <c r="H990" s="9" t="s">
        <v>2698</v>
      </c>
      <c r="I990" s="10">
        <v>45618</v>
      </c>
    </row>
    <row r="991" spans="1:9" x14ac:dyDescent="0.15">
      <c r="A991" s="9">
        <v>990</v>
      </c>
      <c r="B991" s="9" t="s">
        <v>9</v>
      </c>
      <c r="C991" s="9">
        <v>1925</v>
      </c>
      <c r="D991" s="10">
        <v>45715</v>
      </c>
      <c r="E991" s="11" t="str">
        <f>+HYPERLINK("http://trademark.i-assist.jp/data/china/image_1925th/82143147.pdf","82143147")</f>
        <v>82143147</v>
      </c>
      <c r="F991" s="9" t="s">
        <v>2699</v>
      </c>
      <c r="G991" s="9" t="s">
        <v>2700</v>
      </c>
      <c r="H991" s="9" t="s">
        <v>2701</v>
      </c>
      <c r="I991" s="10">
        <v>45619</v>
      </c>
    </row>
    <row r="992" spans="1:9" x14ac:dyDescent="0.15">
      <c r="A992" s="9">
        <v>991</v>
      </c>
      <c r="B992" s="9" t="s">
        <v>9</v>
      </c>
      <c r="C992" s="9">
        <v>1925</v>
      </c>
      <c r="D992" s="10">
        <v>45715</v>
      </c>
      <c r="E992" s="11" t="str">
        <f>+HYPERLINK("http://trademark.i-assist.jp/data/china/image_1925th/82143590.pdf","82143590")</f>
        <v>82143590</v>
      </c>
      <c r="F992" s="9" t="s">
        <v>2702</v>
      </c>
      <c r="G992" s="9" t="s">
        <v>2703</v>
      </c>
      <c r="H992" s="9" t="s">
        <v>2704</v>
      </c>
      <c r="I992" s="10">
        <v>45620</v>
      </c>
    </row>
    <row r="993" spans="1:9" x14ac:dyDescent="0.15">
      <c r="A993" s="9">
        <v>992</v>
      </c>
      <c r="B993" s="9" t="s">
        <v>9</v>
      </c>
      <c r="C993" s="9">
        <v>1925</v>
      </c>
      <c r="D993" s="10">
        <v>45715</v>
      </c>
      <c r="E993" s="11" t="str">
        <f>+HYPERLINK("http://trademark.i-assist.jp/data/china/image_1925th/82144837.pdf","82144837")</f>
        <v>82144837</v>
      </c>
      <c r="F993" s="12" t="s">
        <v>57</v>
      </c>
      <c r="G993" s="9" t="s">
        <v>2705</v>
      </c>
      <c r="H993" s="9" t="s">
        <v>2706</v>
      </c>
      <c r="I993" s="10">
        <v>45621</v>
      </c>
    </row>
    <row r="994" spans="1:9" x14ac:dyDescent="0.15">
      <c r="A994" s="9">
        <v>993</v>
      </c>
      <c r="B994" s="9" t="s">
        <v>9</v>
      </c>
      <c r="C994" s="9">
        <v>1925</v>
      </c>
      <c r="D994" s="10">
        <v>45715</v>
      </c>
      <c r="E994" s="11" t="str">
        <f>+HYPERLINK("http://trademark.i-assist.jp/data/china/image_1925th/82145048.pdf","82145048")</f>
        <v>82145048</v>
      </c>
      <c r="F994" s="9" t="s">
        <v>2707</v>
      </c>
      <c r="G994" s="9" t="s">
        <v>2708</v>
      </c>
      <c r="H994" s="9" t="s">
        <v>2709</v>
      </c>
      <c r="I994" s="10">
        <v>45621</v>
      </c>
    </row>
    <row r="995" spans="1:9" x14ac:dyDescent="0.15">
      <c r="A995" s="9">
        <v>994</v>
      </c>
      <c r="B995" s="9" t="s">
        <v>9</v>
      </c>
      <c r="C995" s="9">
        <v>1925</v>
      </c>
      <c r="D995" s="10">
        <v>45715</v>
      </c>
      <c r="E995" s="11" t="str">
        <f>+HYPERLINK("http://trademark.i-assist.jp/data/china/image_1925th/82145072.pdf","82145072")</f>
        <v>82145072</v>
      </c>
      <c r="F995" s="9" t="s">
        <v>2710</v>
      </c>
      <c r="G995" s="9" t="s">
        <v>2711</v>
      </c>
      <c r="H995" s="9" t="s">
        <v>2712</v>
      </c>
      <c r="I995" s="10">
        <v>45621</v>
      </c>
    </row>
    <row r="996" spans="1:9" x14ac:dyDescent="0.15">
      <c r="A996" s="9">
        <v>995</v>
      </c>
      <c r="B996" s="9" t="s">
        <v>9</v>
      </c>
      <c r="C996" s="9">
        <v>1925</v>
      </c>
      <c r="D996" s="10">
        <v>45715</v>
      </c>
      <c r="E996" s="11" t="str">
        <f>+HYPERLINK("http://trademark.i-assist.jp/data/china/image_1925th/82145593.pdf","82145593")</f>
        <v>82145593</v>
      </c>
      <c r="F996" s="9" t="s">
        <v>2713</v>
      </c>
      <c r="G996" s="9" t="s">
        <v>2524</v>
      </c>
      <c r="H996" s="9" t="s">
        <v>2714</v>
      </c>
      <c r="I996" s="10">
        <v>45621</v>
      </c>
    </row>
    <row r="997" spans="1:9" x14ac:dyDescent="0.15">
      <c r="A997" s="9">
        <v>996</v>
      </c>
      <c r="B997" s="9" t="s">
        <v>9</v>
      </c>
      <c r="C997" s="9">
        <v>1925</v>
      </c>
      <c r="D997" s="10">
        <v>45715</v>
      </c>
      <c r="E997" s="11" t="str">
        <f>+HYPERLINK("http://trademark.i-assist.jp/data/china/image_1925th/82145698.pdf","82145698")</f>
        <v>82145698</v>
      </c>
      <c r="F997" s="9" t="s">
        <v>2715</v>
      </c>
      <c r="G997" s="9" t="s">
        <v>2716</v>
      </c>
      <c r="H997" s="9" t="s">
        <v>2717</v>
      </c>
      <c r="I997" s="10">
        <v>45621</v>
      </c>
    </row>
    <row r="998" spans="1:9" x14ac:dyDescent="0.15">
      <c r="A998" s="9">
        <v>997</v>
      </c>
      <c r="B998" s="9" t="s">
        <v>9</v>
      </c>
      <c r="C998" s="9">
        <v>1925</v>
      </c>
      <c r="D998" s="10">
        <v>45715</v>
      </c>
      <c r="E998" s="11" t="str">
        <f>+HYPERLINK("http://trademark.i-assist.jp/data/china/image_1925th/82145758.pdf","82145758")</f>
        <v>82145758</v>
      </c>
      <c r="F998" s="9" t="s">
        <v>2718</v>
      </c>
      <c r="G998" s="9" t="s">
        <v>2719</v>
      </c>
      <c r="H998" s="9" t="s">
        <v>2720</v>
      </c>
      <c r="I998" s="10">
        <v>45621</v>
      </c>
    </row>
    <row r="999" spans="1:9" x14ac:dyDescent="0.15">
      <c r="A999" s="9">
        <v>998</v>
      </c>
      <c r="B999" s="9" t="s">
        <v>9</v>
      </c>
      <c r="C999" s="9">
        <v>1925</v>
      </c>
      <c r="D999" s="10">
        <v>45715</v>
      </c>
      <c r="E999" s="11" t="str">
        <f>+HYPERLINK("http://trademark.i-assist.jp/data/china/image_1925th/82145869.pdf","82145869")</f>
        <v>82145869</v>
      </c>
      <c r="F999" s="9" t="s">
        <v>2721</v>
      </c>
      <c r="G999" s="9" t="s">
        <v>2722</v>
      </c>
      <c r="H999" s="9" t="s">
        <v>2723</v>
      </c>
      <c r="I999" s="10">
        <v>45621</v>
      </c>
    </row>
    <row r="1000" spans="1:9" x14ac:dyDescent="0.15">
      <c r="A1000" s="9">
        <v>999</v>
      </c>
      <c r="B1000" s="9" t="s">
        <v>9</v>
      </c>
      <c r="C1000" s="9">
        <v>1925</v>
      </c>
      <c r="D1000" s="10">
        <v>45715</v>
      </c>
      <c r="E1000" s="11" t="str">
        <f>+HYPERLINK("http://trademark.i-assist.jp/data/china/image_1925th/82145890.pdf","82145890")</f>
        <v>82145890</v>
      </c>
      <c r="F1000" s="9" t="s">
        <v>2724</v>
      </c>
      <c r="G1000" s="12" t="s">
        <v>2725</v>
      </c>
      <c r="H1000" s="9" t="s">
        <v>2726</v>
      </c>
      <c r="I1000" s="10">
        <v>45621</v>
      </c>
    </row>
    <row r="1001" spans="1:9" x14ac:dyDescent="0.15">
      <c r="A1001" s="9">
        <v>1000</v>
      </c>
      <c r="B1001" s="9" t="s">
        <v>9</v>
      </c>
      <c r="C1001" s="9">
        <v>1925</v>
      </c>
      <c r="D1001" s="10">
        <v>45715</v>
      </c>
      <c r="E1001" s="11" t="str">
        <f>+HYPERLINK("http://trademark.i-assist.jp/data/china/image_1925th/82146330.pdf","82146330")</f>
        <v>82146330</v>
      </c>
      <c r="F1001" s="9" t="s">
        <v>2727</v>
      </c>
      <c r="G1001" s="9" t="s">
        <v>2728</v>
      </c>
      <c r="H1001" s="9" t="s">
        <v>2729</v>
      </c>
      <c r="I1001" s="10">
        <v>45621</v>
      </c>
    </row>
    <row r="1002" spans="1:9" x14ac:dyDescent="0.15">
      <c r="A1002" s="9">
        <v>1001</v>
      </c>
      <c r="B1002" s="9" t="s">
        <v>9</v>
      </c>
      <c r="C1002" s="9">
        <v>1925</v>
      </c>
      <c r="D1002" s="10">
        <v>45715</v>
      </c>
      <c r="E1002" s="11" t="str">
        <f>+HYPERLINK("http://trademark.i-assist.jp/data/china/image_1925th/82146411.pdf","82146411")</f>
        <v>82146411</v>
      </c>
      <c r="F1002" s="9" t="s">
        <v>2730</v>
      </c>
      <c r="G1002" s="9" t="s">
        <v>2731</v>
      </c>
      <c r="H1002" s="9" t="s">
        <v>2732</v>
      </c>
      <c r="I1002" s="10">
        <v>45621</v>
      </c>
    </row>
    <row r="1003" spans="1:9" x14ac:dyDescent="0.15">
      <c r="A1003" s="9">
        <v>1002</v>
      </c>
      <c r="B1003" s="9" t="s">
        <v>9</v>
      </c>
      <c r="C1003" s="9">
        <v>1925</v>
      </c>
      <c r="D1003" s="10">
        <v>45715</v>
      </c>
      <c r="E1003" s="11" t="str">
        <f>+HYPERLINK("http://trademark.i-assist.jp/data/china/image_1925th/82146505.pdf","82146505")</f>
        <v>82146505</v>
      </c>
      <c r="F1003" s="9" t="s">
        <v>2733</v>
      </c>
      <c r="G1003" s="12" t="s">
        <v>2734</v>
      </c>
      <c r="H1003" s="9" t="s">
        <v>2735</v>
      </c>
      <c r="I1003" s="10">
        <v>45621</v>
      </c>
    </row>
    <row r="1004" spans="1:9" x14ac:dyDescent="0.15">
      <c r="A1004" s="9">
        <v>1003</v>
      </c>
      <c r="B1004" s="9" t="s">
        <v>9</v>
      </c>
      <c r="C1004" s="9">
        <v>1925</v>
      </c>
      <c r="D1004" s="10">
        <v>45715</v>
      </c>
      <c r="E1004" s="11" t="str">
        <f>+HYPERLINK("http://trademark.i-assist.jp/data/china/image_1925th/82146822.pdf","82146822")</f>
        <v>82146822</v>
      </c>
      <c r="F1004" s="9" t="s">
        <v>2736</v>
      </c>
      <c r="G1004" s="9" t="s">
        <v>2737</v>
      </c>
      <c r="H1004" s="9" t="s">
        <v>2738</v>
      </c>
      <c r="I1004" s="10">
        <v>45621</v>
      </c>
    </row>
    <row r="1005" spans="1:9" x14ac:dyDescent="0.15">
      <c r="A1005" s="9">
        <v>1004</v>
      </c>
      <c r="B1005" s="9" t="s">
        <v>9</v>
      </c>
      <c r="C1005" s="9">
        <v>1925</v>
      </c>
      <c r="D1005" s="10">
        <v>45715</v>
      </c>
      <c r="E1005" s="11" t="str">
        <f>+HYPERLINK("http://trademark.i-assist.jp/data/china/image_1925th/82146832.pdf","82146832")</f>
        <v>82146832</v>
      </c>
      <c r="F1005" s="12" t="s">
        <v>2739</v>
      </c>
      <c r="G1005" s="9" t="s">
        <v>2740</v>
      </c>
      <c r="H1005" s="9" t="s">
        <v>2741</v>
      </c>
      <c r="I1005" s="10">
        <v>45621</v>
      </c>
    </row>
    <row r="1006" spans="1:9" x14ac:dyDescent="0.15">
      <c r="A1006" s="9">
        <v>1005</v>
      </c>
      <c r="B1006" s="9" t="s">
        <v>9</v>
      </c>
      <c r="C1006" s="9">
        <v>1925</v>
      </c>
      <c r="D1006" s="10">
        <v>45715</v>
      </c>
      <c r="E1006" s="11" t="str">
        <f>+HYPERLINK("http://trademark.i-assist.jp/data/china/image_1925th/82146843.pdf","82146843")</f>
        <v>82146843</v>
      </c>
      <c r="F1006" s="9" t="s">
        <v>2742</v>
      </c>
      <c r="G1006" s="9" t="s">
        <v>2743</v>
      </c>
      <c r="H1006" s="12" t="s">
        <v>2744</v>
      </c>
      <c r="I1006" s="10">
        <v>45621</v>
      </c>
    </row>
    <row r="1007" spans="1:9" x14ac:dyDescent="0.15">
      <c r="A1007" s="9">
        <v>1006</v>
      </c>
      <c r="B1007" s="9" t="s">
        <v>9</v>
      </c>
      <c r="C1007" s="9">
        <v>1925</v>
      </c>
      <c r="D1007" s="10">
        <v>45715</v>
      </c>
      <c r="E1007" s="11" t="str">
        <f>+HYPERLINK("http://trademark.i-assist.jp/data/china/image_1925th/82147260.pdf","82147260")</f>
        <v>82147260</v>
      </c>
      <c r="F1007" s="9" t="s">
        <v>2745</v>
      </c>
      <c r="G1007" s="9" t="s">
        <v>2746</v>
      </c>
      <c r="H1007" s="9" t="s">
        <v>2747</v>
      </c>
      <c r="I1007" s="10">
        <v>45621</v>
      </c>
    </row>
    <row r="1008" spans="1:9" x14ac:dyDescent="0.15">
      <c r="A1008" s="9">
        <v>1007</v>
      </c>
      <c r="B1008" s="9" t="s">
        <v>9</v>
      </c>
      <c r="C1008" s="9">
        <v>1925</v>
      </c>
      <c r="D1008" s="10">
        <v>45715</v>
      </c>
      <c r="E1008" s="11" t="str">
        <f>+HYPERLINK("http://trademark.i-assist.jp/data/china/image_1925th/82147374.pdf","82147374")</f>
        <v>82147374</v>
      </c>
      <c r="F1008" s="9" t="s">
        <v>2748</v>
      </c>
      <c r="G1008" s="9" t="s">
        <v>2749</v>
      </c>
      <c r="H1008" s="9" t="s">
        <v>2750</v>
      </c>
      <c r="I1008" s="10">
        <v>45621</v>
      </c>
    </row>
    <row r="1009" spans="1:9" x14ac:dyDescent="0.15">
      <c r="A1009" s="9">
        <v>1008</v>
      </c>
      <c r="B1009" s="9" t="s">
        <v>9</v>
      </c>
      <c r="C1009" s="9">
        <v>1925</v>
      </c>
      <c r="D1009" s="10">
        <v>45715</v>
      </c>
      <c r="E1009" s="11" t="str">
        <f>+HYPERLINK("http://trademark.i-assist.jp/data/china/image_1925th/82147729.pdf","82147729")</f>
        <v>82147729</v>
      </c>
      <c r="F1009" s="12" t="s">
        <v>2751</v>
      </c>
      <c r="G1009" s="9" t="s">
        <v>2752</v>
      </c>
      <c r="H1009" s="9" t="s">
        <v>2753</v>
      </c>
      <c r="I1009" s="10">
        <v>45621</v>
      </c>
    </row>
    <row r="1010" spans="1:9" x14ac:dyDescent="0.15">
      <c r="A1010" s="9">
        <v>1009</v>
      </c>
      <c r="B1010" s="9" t="s">
        <v>9</v>
      </c>
      <c r="C1010" s="9">
        <v>1925</v>
      </c>
      <c r="D1010" s="10">
        <v>45715</v>
      </c>
      <c r="E1010" s="11" t="str">
        <f>+HYPERLINK("http://trademark.i-assist.jp/data/china/image_1925th/82148051.pdf","82148051")</f>
        <v>82148051</v>
      </c>
      <c r="F1010" s="9" t="s">
        <v>2754</v>
      </c>
      <c r="G1010" s="12" t="s">
        <v>2755</v>
      </c>
      <c r="H1010" s="9" t="s">
        <v>2756</v>
      </c>
      <c r="I1010" s="10">
        <v>45621</v>
      </c>
    </row>
    <row r="1011" spans="1:9" x14ac:dyDescent="0.15">
      <c r="A1011" s="9">
        <v>1010</v>
      </c>
      <c r="B1011" s="9" t="s">
        <v>9</v>
      </c>
      <c r="C1011" s="9">
        <v>1925</v>
      </c>
      <c r="D1011" s="10">
        <v>45715</v>
      </c>
      <c r="E1011" s="11" t="str">
        <f>+HYPERLINK("http://trademark.i-assist.jp/data/china/image_1925th/82149044.pdf","82149044")</f>
        <v>82149044</v>
      </c>
      <c r="F1011" s="9" t="s">
        <v>2757</v>
      </c>
      <c r="G1011" s="9" t="s">
        <v>2758</v>
      </c>
      <c r="H1011" s="9" t="s">
        <v>2759</v>
      </c>
      <c r="I1011" s="10">
        <v>45621</v>
      </c>
    </row>
    <row r="1012" spans="1:9" x14ac:dyDescent="0.15">
      <c r="A1012" s="9">
        <v>1011</v>
      </c>
      <c r="B1012" s="9" t="s">
        <v>9</v>
      </c>
      <c r="C1012" s="9">
        <v>1925</v>
      </c>
      <c r="D1012" s="10">
        <v>45715</v>
      </c>
      <c r="E1012" s="11" t="str">
        <f>+HYPERLINK("http://trademark.i-assist.jp/data/china/image_1925th/82149071.pdf","82149071")</f>
        <v>82149071</v>
      </c>
      <c r="F1012" s="9" t="s">
        <v>2760</v>
      </c>
      <c r="G1012" s="9" t="s">
        <v>2761</v>
      </c>
      <c r="H1012" s="9" t="s">
        <v>2762</v>
      </c>
      <c r="I1012" s="10">
        <v>45621</v>
      </c>
    </row>
    <row r="1013" spans="1:9" x14ac:dyDescent="0.15">
      <c r="A1013" s="9">
        <v>1012</v>
      </c>
      <c r="B1013" s="9" t="s">
        <v>9</v>
      </c>
      <c r="C1013" s="9">
        <v>1925</v>
      </c>
      <c r="D1013" s="10">
        <v>45715</v>
      </c>
      <c r="E1013" s="11" t="str">
        <f>+HYPERLINK("http://trademark.i-assist.jp/data/china/image_1925th/82149157.pdf","82149157")</f>
        <v>82149157</v>
      </c>
      <c r="F1013" s="12" t="s">
        <v>2763</v>
      </c>
      <c r="G1013" s="12" t="s">
        <v>2764</v>
      </c>
      <c r="H1013" s="9" t="s">
        <v>2765</v>
      </c>
      <c r="I1013" s="10">
        <v>45621</v>
      </c>
    </row>
    <row r="1014" spans="1:9" x14ac:dyDescent="0.15">
      <c r="A1014" s="9">
        <v>1013</v>
      </c>
      <c r="B1014" s="9" t="s">
        <v>9</v>
      </c>
      <c r="C1014" s="9">
        <v>1925</v>
      </c>
      <c r="D1014" s="10">
        <v>45715</v>
      </c>
      <c r="E1014" s="11" t="str">
        <f>+HYPERLINK("http://trademark.i-assist.jp/data/china/image_1925th/82149269.pdf","82149269")</f>
        <v>82149269</v>
      </c>
      <c r="F1014" s="9" t="s">
        <v>2766</v>
      </c>
      <c r="G1014" s="9" t="s">
        <v>2767</v>
      </c>
      <c r="H1014" s="9" t="s">
        <v>2768</v>
      </c>
      <c r="I1014" s="10">
        <v>45621</v>
      </c>
    </row>
    <row r="1015" spans="1:9" x14ac:dyDescent="0.15">
      <c r="A1015" s="9">
        <v>1014</v>
      </c>
      <c r="B1015" s="9" t="s">
        <v>9</v>
      </c>
      <c r="C1015" s="9">
        <v>1925</v>
      </c>
      <c r="D1015" s="10">
        <v>45715</v>
      </c>
      <c r="E1015" s="11" t="str">
        <f>+HYPERLINK("http://trademark.i-assist.jp/data/china/image_1925th/82149462.pdf","82149462")</f>
        <v>82149462</v>
      </c>
      <c r="F1015" s="9" t="s">
        <v>2769</v>
      </c>
      <c r="G1015" s="9" t="s">
        <v>2770</v>
      </c>
      <c r="H1015" s="9" t="s">
        <v>2771</v>
      </c>
      <c r="I1015" s="10">
        <v>45621</v>
      </c>
    </row>
    <row r="1016" spans="1:9" x14ac:dyDescent="0.15">
      <c r="A1016" s="9">
        <v>1015</v>
      </c>
      <c r="B1016" s="9" t="s">
        <v>9</v>
      </c>
      <c r="C1016" s="9">
        <v>1925</v>
      </c>
      <c r="D1016" s="10">
        <v>45715</v>
      </c>
      <c r="E1016" s="11" t="str">
        <f>+HYPERLINK("http://trademark.i-assist.jp/data/china/image_1925th/82149835.pdf","82149835")</f>
        <v>82149835</v>
      </c>
      <c r="F1016" s="9" t="s">
        <v>2772</v>
      </c>
      <c r="G1016" s="12" t="s">
        <v>2773</v>
      </c>
      <c r="H1016" s="9" t="s">
        <v>2774</v>
      </c>
      <c r="I1016" s="10">
        <v>45621</v>
      </c>
    </row>
    <row r="1017" spans="1:9" x14ac:dyDescent="0.15">
      <c r="A1017" s="9">
        <v>1016</v>
      </c>
      <c r="B1017" s="9" t="s">
        <v>9</v>
      </c>
      <c r="C1017" s="9">
        <v>1925</v>
      </c>
      <c r="D1017" s="10">
        <v>45715</v>
      </c>
      <c r="E1017" s="11" t="str">
        <f>+HYPERLINK("http://trademark.i-assist.jp/data/china/image_1925th/82150176.pdf","82150176")</f>
        <v>82150176</v>
      </c>
      <c r="F1017" s="9" t="s">
        <v>2775</v>
      </c>
      <c r="G1017" s="9" t="s">
        <v>2776</v>
      </c>
      <c r="H1017" s="9" t="s">
        <v>2777</v>
      </c>
      <c r="I1017" s="10">
        <v>45621</v>
      </c>
    </row>
    <row r="1018" spans="1:9" x14ac:dyDescent="0.15">
      <c r="A1018" s="9">
        <v>1017</v>
      </c>
      <c r="B1018" s="9" t="s">
        <v>9</v>
      </c>
      <c r="C1018" s="9">
        <v>1925</v>
      </c>
      <c r="D1018" s="10">
        <v>45715</v>
      </c>
      <c r="E1018" s="11" t="str">
        <f>+HYPERLINK("http://trademark.i-assist.jp/data/china/image_1925th/82150647.pdf","82150647")</f>
        <v>82150647</v>
      </c>
      <c r="F1018" s="12" t="s">
        <v>2778</v>
      </c>
      <c r="G1018" s="12" t="s">
        <v>2779</v>
      </c>
      <c r="H1018" s="9" t="s">
        <v>2780</v>
      </c>
      <c r="I1018" s="10">
        <v>45621</v>
      </c>
    </row>
    <row r="1019" spans="1:9" x14ac:dyDescent="0.15">
      <c r="A1019" s="9">
        <v>1018</v>
      </c>
      <c r="B1019" s="9" t="s">
        <v>9</v>
      </c>
      <c r="C1019" s="9">
        <v>1925</v>
      </c>
      <c r="D1019" s="10">
        <v>45715</v>
      </c>
      <c r="E1019" s="11" t="str">
        <f>+HYPERLINK("http://trademark.i-assist.jp/data/china/image_1925th/82150784.pdf","82150784")</f>
        <v>82150784</v>
      </c>
      <c r="F1019" s="9" t="s">
        <v>2781</v>
      </c>
      <c r="G1019" s="9" t="s">
        <v>27</v>
      </c>
      <c r="H1019" s="9" t="s">
        <v>2782</v>
      </c>
      <c r="I1019" s="10">
        <v>45621</v>
      </c>
    </row>
    <row r="1020" spans="1:9" x14ac:dyDescent="0.15">
      <c r="A1020" s="9">
        <v>1019</v>
      </c>
      <c r="B1020" s="9" t="s">
        <v>9</v>
      </c>
      <c r="C1020" s="9">
        <v>1925</v>
      </c>
      <c r="D1020" s="10">
        <v>45715</v>
      </c>
      <c r="E1020" s="11" t="str">
        <f>+HYPERLINK("http://trademark.i-assist.jp/data/china/image_1925th/82151918.pdf","82151918")</f>
        <v>82151918</v>
      </c>
      <c r="F1020" s="12" t="s">
        <v>2783</v>
      </c>
      <c r="G1020" s="9" t="s">
        <v>2784</v>
      </c>
      <c r="H1020" s="9" t="s">
        <v>2785</v>
      </c>
      <c r="I1020" s="10">
        <v>45621</v>
      </c>
    </row>
    <row r="1021" spans="1:9" x14ac:dyDescent="0.15">
      <c r="A1021" s="9">
        <v>1020</v>
      </c>
      <c r="B1021" s="9" t="s">
        <v>9</v>
      </c>
      <c r="C1021" s="9">
        <v>1925</v>
      </c>
      <c r="D1021" s="10">
        <v>45715</v>
      </c>
      <c r="E1021" s="11" t="str">
        <f>+HYPERLINK("http://trademark.i-assist.jp/data/china/image_1925th/82151981.pdf","82151981")</f>
        <v>82151981</v>
      </c>
      <c r="F1021" s="12" t="s">
        <v>2786</v>
      </c>
      <c r="G1021" s="12" t="s">
        <v>2787</v>
      </c>
      <c r="H1021" s="9" t="s">
        <v>2788</v>
      </c>
      <c r="I1021" s="10">
        <v>45621</v>
      </c>
    </row>
    <row r="1022" spans="1:9" x14ac:dyDescent="0.15">
      <c r="A1022" s="9">
        <v>1021</v>
      </c>
      <c r="B1022" s="9" t="s">
        <v>9</v>
      </c>
      <c r="C1022" s="9">
        <v>1925</v>
      </c>
      <c r="D1022" s="10">
        <v>45715</v>
      </c>
      <c r="E1022" s="11" t="str">
        <f>+HYPERLINK("http://trademark.i-assist.jp/data/china/image_1925th/82152207.pdf","82152207")</f>
        <v>82152207</v>
      </c>
      <c r="F1022" s="9" t="s">
        <v>2789</v>
      </c>
      <c r="G1022" s="12" t="s">
        <v>2790</v>
      </c>
      <c r="H1022" s="9" t="s">
        <v>2791</v>
      </c>
      <c r="I1022" s="10">
        <v>45621</v>
      </c>
    </row>
    <row r="1023" spans="1:9" x14ac:dyDescent="0.15">
      <c r="A1023" s="9">
        <v>1022</v>
      </c>
      <c r="B1023" s="9" t="s">
        <v>9</v>
      </c>
      <c r="C1023" s="9">
        <v>1925</v>
      </c>
      <c r="D1023" s="10">
        <v>45715</v>
      </c>
      <c r="E1023" s="11" t="str">
        <f>+HYPERLINK("http://trademark.i-assist.jp/data/china/image_1925th/82152482.pdf","82152482")</f>
        <v>82152482</v>
      </c>
      <c r="F1023" s="9" t="s">
        <v>2792</v>
      </c>
      <c r="G1023" s="9" t="s">
        <v>29</v>
      </c>
      <c r="H1023" s="9" t="s">
        <v>2793</v>
      </c>
      <c r="I1023" s="10">
        <v>45621</v>
      </c>
    </row>
    <row r="1024" spans="1:9" x14ac:dyDescent="0.15">
      <c r="A1024" s="9">
        <v>1023</v>
      </c>
      <c r="B1024" s="9" t="s">
        <v>9</v>
      </c>
      <c r="C1024" s="9">
        <v>1925</v>
      </c>
      <c r="D1024" s="10">
        <v>45715</v>
      </c>
      <c r="E1024" s="11" t="str">
        <f>+HYPERLINK("http://trademark.i-assist.jp/data/china/image_1925th/82152611.pdf","82152611")</f>
        <v>82152611</v>
      </c>
      <c r="F1024" s="9" t="s">
        <v>2794</v>
      </c>
      <c r="G1024" s="9" t="s">
        <v>2795</v>
      </c>
      <c r="H1024" s="9" t="s">
        <v>2796</v>
      </c>
      <c r="I1024" s="10">
        <v>45621</v>
      </c>
    </row>
    <row r="1025" spans="1:9" x14ac:dyDescent="0.15">
      <c r="A1025" s="9">
        <v>1024</v>
      </c>
      <c r="B1025" s="9" t="s">
        <v>9</v>
      </c>
      <c r="C1025" s="9">
        <v>1925</v>
      </c>
      <c r="D1025" s="10">
        <v>45715</v>
      </c>
      <c r="E1025" s="11" t="str">
        <f>+HYPERLINK("http://trademark.i-assist.jp/data/china/image_1925th/82152907.pdf","82152907")</f>
        <v>82152907</v>
      </c>
      <c r="F1025" s="9" t="s">
        <v>2797</v>
      </c>
      <c r="G1025" s="12" t="s">
        <v>2798</v>
      </c>
      <c r="H1025" s="9" t="s">
        <v>2799</v>
      </c>
      <c r="I1025" s="10">
        <v>45621</v>
      </c>
    </row>
    <row r="1026" spans="1:9" x14ac:dyDescent="0.15">
      <c r="A1026" s="9">
        <v>1025</v>
      </c>
      <c r="B1026" s="9" t="s">
        <v>9</v>
      </c>
      <c r="C1026" s="9">
        <v>1925</v>
      </c>
      <c r="D1026" s="10">
        <v>45715</v>
      </c>
      <c r="E1026" s="11" t="str">
        <f>+HYPERLINK("http://trademark.i-assist.jp/data/china/image_1925th/82153148.pdf","82153148")</f>
        <v>82153148</v>
      </c>
      <c r="F1026" s="12" t="s">
        <v>2800</v>
      </c>
      <c r="G1026" s="12" t="s">
        <v>2801</v>
      </c>
      <c r="H1026" s="9" t="s">
        <v>2802</v>
      </c>
      <c r="I1026" s="10">
        <v>45621</v>
      </c>
    </row>
    <row r="1027" spans="1:9" x14ac:dyDescent="0.15">
      <c r="A1027" s="9">
        <v>1026</v>
      </c>
      <c r="B1027" s="9" t="s">
        <v>9</v>
      </c>
      <c r="C1027" s="9">
        <v>1925</v>
      </c>
      <c r="D1027" s="10">
        <v>45715</v>
      </c>
      <c r="E1027" s="11" t="str">
        <f>+HYPERLINK("http://trademark.i-assist.jp/data/china/image_1925th/82153153.pdf","82153153")</f>
        <v>82153153</v>
      </c>
      <c r="F1027" s="9" t="s">
        <v>2803</v>
      </c>
      <c r="G1027" s="12" t="s">
        <v>2804</v>
      </c>
      <c r="H1027" s="9" t="s">
        <v>2805</v>
      </c>
      <c r="I1027" s="10">
        <v>45621</v>
      </c>
    </row>
    <row r="1028" spans="1:9" x14ac:dyDescent="0.15">
      <c r="A1028" s="9">
        <v>1027</v>
      </c>
      <c r="B1028" s="9" t="s">
        <v>9</v>
      </c>
      <c r="C1028" s="9">
        <v>1925</v>
      </c>
      <c r="D1028" s="10">
        <v>45715</v>
      </c>
      <c r="E1028" s="11" t="str">
        <f>+HYPERLINK("http://trademark.i-assist.jp/data/china/image_1925th/82153160.pdf","82153160")</f>
        <v>82153160</v>
      </c>
      <c r="F1028" s="9" t="s">
        <v>2806</v>
      </c>
      <c r="G1028" s="12" t="s">
        <v>2807</v>
      </c>
      <c r="H1028" s="9" t="s">
        <v>2808</v>
      </c>
      <c r="I1028" s="10">
        <v>45621</v>
      </c>
    </row>
    <row r="1029" spans="1:9" x14ac:dyDescent="0.15">
      <c r="A1029" s="9">
        <v>1028</v>
      </c>
      <c r="B1029" s="9" t="s">
        <v>9</v>
      </c>
      <c r="C1029" s="9">
        <v>1925</v>
      </c>
      <c r="D1029" s="10">
        <v>45715</v>
      </c>
      <c r="E1029" s="11" t="str">
        <f>+HYPERLINK("http://trademark.i-assist.jp/data/china/image_1925th/82153186.pdf","82153186")</f>
        <v>82153186</v>
      </c>
      <c r="F1029" s="12" t="s">
        <v>2809</v>
      </c>
      <c r="G1029" s="9" t="s">
        <v>19</v>
      </c>
      <c r="H1029" s="9" t="s">
        <v>2810</v>
      </c>
      <c r="I1029" s="10">
        <v>45621</v>
      </c>
    </row>
    <row r="1030" spans="1:9" x14ac:dyDescent="0.15">
      <c r="A1030" s="9">
        <v>1029</v>
      </c>
      <c r="B1030" s="9" t="s">
        <v>9</v>
      </c>
      <c r="C1030" s="9">
        <v>1925</v>
      </c>
      <c r="D1030" s="10">
        <v>45715</v>
      </c>
      <c r="E1030" s="11" t="str">
        <f>+HYPERLINK("http://trademark.i-assist.jp/data/china/image_1925th/82153316.pdf","82153316")</f>
        <v>82153316</v>
      </c>
      <c r="F1030" s="9" t="s">
        <v>2811</v>
      </c>
      <c r="G1030" s="9" t="s">
        <v>2746</v>
      </c>
      <c r="H1030" s="9" t="s">
        <v>2812</v>
      </c>
      <c r="I1030" s="10">
        <v>45621</v>
      </c>
    </row>
    <row r="1031" spans="1:9" x14ac:dyDescent="0.15">
      <c r="A1031" s="9">
        <v>1030</v>
      </c>
      <c r="B1031" s="9" t="s">
        <v>9</v>
      </c>
      <c r="C1031" s="9">
        <v>1925</v>
      </c>
      <c r="D1031" s="10">
        <v>45715</v>
      </c>
      <c r="E1031" s="11" t="str">
        <f>+HYPERLINK("http://trademark.i-assist.jp/data/china/image_1925th/82153399.pdf","82153399")</f>
        <v>82153399</v>
      </c>
      <c r="F1031" s="9" t="s">
        <v>2813</v>
      </c>
      <c r="G1031" s="9" t="s">
        <v>2814</v>
      </c>
      <c r="H1031" s="9" t="s">
        <v>2815</v>
      </c>
      <c r="I1031" s="10">
        <v>45621</v>
      </c>
    </row>
    <row r="1032" spans="1:9" x14ac:dyDescent="0.15">
      <c r="A1032" s="9">
        <v>1031</v>
      </c>
      <c r="B1032" s="9" t="s">
        <v>9</v>
      </c>
      <c r="C1032" s="9">
        <v>1925</v>
      </c>
      <c r="D1032" s="10">
        <v>45715</v>
      </c>
      <c r="E1032" s="11" t="str">
        <f>+HYPERLINK("http://trademark.i-assist.jp/data/china/image_1925th/82153404.pdf","82153404")</f>
        <v>82153404</v>
      </c>
      <c r="F1032" s="9" t="s">
        <v>2816</v>
      </c>
      <c r="G1032" s="9" t="s">
        <v>2817</v>
      </c>
      <c r="H1032" s="9" t="s">
        <v>2818</v>
      </c>
      <c r="I1032" s="10">
        <v>45621</v>
      </c>
    </row>
    <row r="1033" spans="1:9" x14ac:dyDescent="0.15">
      <c r="A1033" s="9">
        <v>1032</v>
      </c>
      <c r="B1033" s="9" t="s">
        <v>9</v>
      </c>
      <c r="C1033" s="9">
        <v>1925</v>
      </c>
      <c r="D1033" s="10">
        <v>45715</v>
      </c>
      <c r="E1033" s="11" t="str">
        <f>+HYPERLINK("http://trademark.i-assist.jp/data/china/image_1925th/82153496.pdf","82153496")</f>
        <v>82153496</v>
      </c>
      <c r="F1033" s="9" t="s">
        <v>2819</v>
      </c>
      <c r="G1033" s="9" t="s">
        <v>2820</v>
      </c>
      <c r="H1033" s="9" t="s">
        <v>2821</v>
      </c>
      <c r="I1033" s="10">
        <v>45621</v>
      </c>
    </row>
    <row r="1034" spans="1:9" x14ac:dyDescent="0.15">
      <c r="A1034" s="9">
        <v>1033</v>
      </c>
      <c r="B1034" s="9" t="s">
        <v>9</v>
      </c>
      <c r="C1034" s="9">
        <v>1925</v>
      </c>
      <c r="D1034" s="10">
        <v>45715</v>
      </c>
      <c r="E1034" s="11" t="str">
        <f>+HYPERLINK("http://trademark.i-assist.jp/data/china/image_1925th/82153514.pdf","82153514")</f>
        <v>82153514</v>
      </c>
      <c r="F1034" s="9" t="s">
        <v>2822</v>
      </c>
      <c r="G1034" s="12" t="s">
        <v>2823</v>
      </c>
      <c r="H1034" s="9" t="s">
        <v>2824</v>
      </c>
      <c r="I1034" s="10">
        <v>45621</v>
      </c>
    </row>
    <row r="1035" spans="1:9" x14ac:dyDescent="0.15">
      <c r="A1035" s="9">
        <v>1034</v>
      </c>
      <c r="B1035" s="9" t="s">
        <v>9</v>
      </c>
      <c r="C1035" s="9">
        <v>1925</v>
      </c>
      <c r="D1035" s="10">
        <v>45715</v>
      </c>
      <c r="E1035" s="11" t="str">
        <f>+HYPERLINK("http://trademark.i-assist.jp/data/china/image_1925th/82153721.pdf","82153721")</f>
        <v>82153721</v>
      </c>
      <c r="F1035" s="9" t="s">
        <v>2825</v>
      </c>
      <c r="G1035" s="9" t="s">
        <v>2826</v>
      </c>
      <c r="H1035" s="9" t="s">
        <v>2827</v>
      </c>
      <c r="I1035" s="10">
        <v>45621</v>
      </c>
    </row>
    <row r="1036" spans="1:9" x14ac:dyDescent="0.15">
      <c r="A1036" s="9">
        <v>1035</v>
      </c>
      <c r="B1036" s="9" t="s">
        <v>9</v>
      </c>
      <c r="C1036" s="9">
        <v>1925</v>
      </c>
      <c r="D1036" s="10">
        <v>45715</v>
      </c>
      <c r="E1036" s="11" t="str">
        <f>+HYPERLINK("http://trademark.i-assist.jp/data/china/image_1925th/82153761.pdf","82153761")</f>
        <v>82153761</v>
      </c>
      <c r="F1036" s="9" t="s">
        <v>2828</v>
      </c>
      <c r="G1036" s="9" t="s">
        <v>2829</v>
      </c>
      <c r="H1036" s="9" t="s">
        <v>2830</v>
      </c>
      <c r="I1036" s="10">
        <v>45621</v>
      </c>
    </row>
    <row r="1037" spans="1:9" x14ac:dyDescent="0.15">
      <c r="A1037" s="9">
        <v>1036</v>
      </c>
      <c r="B1037" s="9" t="s">
        <v>9</v>
      </c>
      <c r="C1037" s="9">
        <v>1925</v>
      </c>
      <c r="D1037" s="10">
        <v>45715</v>
      </c>
      <c r="E1037" s="11" t="str">
        <f>+HYPERLINK("http://trademark.i-assist.jp/data/china/image_1925th/82154389.pdf","82154389")</f>
        <v>82154389</v>
      </c>
      <c r="F1037" s="9" t="s">
        <v>2831</v>
      </c>
      <c r="G1037" s="9" t="s">
        <v>2832</v>
      </c>
      <c r="H1037" s="9" t="s">
        <v>2833</v>
      </c>
      <c r="I1037" s="10">
        <v>45621</v>
      </c>
    </row>
    <row r="1038" spans="1:9" x14ac:dyDescent="0.15">
      <c r="A1038" s="9">
        <v>1037</v>
      </c>
      <c r="B1038" s="9" t="s">
        <v>9</v>
      </c>
      <c r="C1038" s="9">
        <v>1925</v>
      </c>
      <c r="D1038" s="10">
        <v>45715</v>
      </c>
      <c r="E1038" s="11" t="str">
        <f>+HYPERLINK("http://trademark.i-assist.jp/data/china/image_1925th/82154634.pdf","82154634")</f>
        <v>82154634</v>
      </c>
      <c r="F1038" s="9" t="s">
        <v>2834</v>
      </c>
      <c r="G1038" s="9" t="s">
        <v>2835</v>
      </c>
      <c r="H1038" s="9" t="s">
        <v>2836</v>
      </c>
      <c r="I1038" s="10">
        <v>45621</v>
      </c>
    </row>
    <row r="1039" spans="1:9" x14ac:dyDescent="0.15">
      <c r="A1039" s="9">
        <v>1038</v>
      </c>
      <c r="B1039" s="9" t="s">
        <v>9</v>
      </c>
      <c r="C1039" s="9">
        <v>1925</v>
      </c>
      <c r="D1039" s="10">
        <v>45715</v>
      </c>
      <c r="E1039" s="11" t="str">
        <f>+HYPERLINK("http://trademark.i-assist.jp/data/china/image_1925th/82154762.pdf","82154762")</f>
        <v>82154762</v>
      </c>
      <c r="F1039" s="9" t="s">
        <v>2837</v>
      </c>
      <c r="G1039" s="9" t="s">
        <v>2838</v>
      </c>
      <c r="H1039" s="9" t="s">
        <v>2839</v>
      </c>
      <c r="I1039" s="10">
        <v>45621</v>
      </c>
    </row>
    <row r="1040" spans="1:9" x14ac:dyDescent="0.15">
      <c r="A1040" s="9">
        <v>1039</v>
      </c>
      <c r="B1040" s="9" t="s">
        <v>9</v>
      </c>
      <c r="C1040" s="9">
        <v>1925</v>
      </c>
      <c r="D1040" s="10">
        <v>45715</v>
      </c>
      <c r="E1040" s="11" t="str">
        <f>+HYPERLINK("http://trademark.i-assist.jp/data/china/image_1925th/82155261.pdf","82155261")</f>
        <v>82155261</v>
      </c>
      <c r="F1040" s="9" t="s">
        <v>2840</v>
      </c>
      <c r="G1040" s="9" t="s">
        <v>2841</v>
      </c>
      <c r="H1040" s="9" t="s">
        <v>2842</v>
      </c>
      <c r="I1040" s="10">
        <v>45621</v>
      </c>
    </row>
    <row r="1041" spans="1:9" x14ac:dyDescent="0.15">
      <c r="A1041" s="9">
        <v>1040</v>
      </c>
      <c r="B1041" s="9" t="s">
        <v>9</v>
      </c>
      <c r="C1041" s="9">
        <v>1925</v>
      </c>
      <c r="D1041" s="10">
        <v>45715</v>
      </c>
      <c r="E1041" s="11" t="str">
        <f>+HYPERLINK("http://trademark.i-assist.jp/data/china/image_1925th/82155872.pdf","82155872")</f>
        <v>82155872</v>
      </c>
      <c r="F1041" s="9" t="s">
        <v>2843</v>
      </c>
      <c r="G1041" s="9" t="s">
        <v>2844</v>
      </c>
      <c r="H1041" s="9" t="s">
        <v>2845</v>
      </c>
      <c r="I1041" s="10">
        <v>45621</v>
      </c>
    </row>
    <row r="1042" spans="1:9" x14ac:dyDescent="0.15">
      <c r="A1042" s="9">
        <v>1041</v>
      </c>
      <c r="B1042" s="9" t="s">
        <v>9</v>
      </c>
      <c r="C1042" s="9">
        <v>1925</v>
      </c>
      <c r="D1042" s="10">
        <v>45715</v>
      </c>
      <c r="E1042" s="11" t="str">
        <f>+HYPERLINK("http://trademark.i-assist.jp/data/china/image_1925th/82156054.pdf","82156054")</f>
        <v>82156054</v>
      </c>
      <c r="F1042" s="12" t="s">
        <v>2846</v>
      </c>
      <c r="G1042" s="9" t="s">
        <v>2847</v>
      </c>
      <c r="H1042" s="9" t="s">
        <v>2848</v>
      </c>
      <c r="I1042" s="10">
        <v>45621</v>
      </c>
    </row>
    <row r="1043" spans="1:9" x14ac:dyDescent="0.15">
      <c r="A1043" s="9">
        <v>1042</v>
      </c>
      <c r="B1043" s="9" t="s">
        <v>9</v>
      </c>
      <c r="C1043" s="9">
        <v>1925</v>
      </c>
      <c r="D1043" s="10">
        <v>45715</v>
      </c>
      <c r="E1043" s="11" t="str">
        <f>+HYPERLINK("http://trademark.i-assist.jp/data/china/image_1925th/82156719.pdf","82156719")</f>
        <v>82156719</v>
      </c>
      <c r="F1043" s="9" t="s">
        <v>2849</v>
      </c>
      <c r="G1043" s="9" t="s">
        <v>2850</v>
      </c>
      <c r="H1043" s="9" t="s">
        <v>2851</v>
      </c>
      <c r="I1043" s="10">
        <v>45621</v>
      </c>
    </row>
    <row r="1044" spans="1:9" x14ac:dyDescent="0.15">
      <c r="A1044" s="9">
        <v>1043</v>
      </c>
      <c r="B1044" s="9" t="s">
        <v>9</v>
      </c>
      <c r="C1044" s="9">
        <v>1925</v>
      </c>
      <c r="D1044" s="10">
        <v>45715</v>
      </c>
      <c r="E1044" s="11" t="str">
        <f>+HYPERLINK("http://trademark.i-assist.jp/data/china/image_1925th/82156847.pdf","82156847")</f>
        <v>82156847</v>
      </c>
      <c r="F1044" s="9" t="s">
        <v>2852</v>
      </c>
      <c r="G1044" s="9" t="s">
        <v>2853</v>
      </c>
      <c r="H1044" s="9" t="s">
        <v>2854</v>
      </c>
      <c r="I1044" s="10">
        <v>45621</v>
      </c>
    </row>
    <row r="1045" spans="1:9" x14ac:dyDescent="0.15">
      <c r="A1045" s="9">
        <v>1044</v>
      </c>
      <c r="B1045" s="9" t="s">
        <v>9</v>
      </c>
      <c r="C1045" s="9">
        <v>1925</v>
      </c>
      <c r="D1045" s="10">
        <v>45715</v>
      </c>
      <c r="E1045" s="11" t="str">
        <f>+HYPERLINK("http://trademark.i-assist.jp/data/china/image_1925th/82157165.pdf","82157165")</f>
        <v>82157165</v>
      </c>
      <c r="F1045" s="9" t="s">
        <v>2855</v>
      </c>
      <c r="G1045" s="12" t="s">
        <v>2856</v>
      </c>
      <c r="H1045" s="9" t="s">
        <v>2857</v>
      </c>
      <c r="I1045" s="10">
        <v>45621</v>
      </c>
    </row>
    <row r="1046" spans="1:9" x14ac:dyDescent="0.15">
      <c r="A1046" s="9">
        <v>1045</v>
      </c>
      <c r="B1046" s="9" t="s">
        <v>9</v>
      </c>
      <c r="C1046" s="9">
        <v>1925</v>
      </c>
      <c r="D1046" s="10">
        <v>45715</v>
      </c>
      <c r="E1046" s="11" t="str">
        <f>+HYPERLINK("http://trademark.i-assist.jp/data/china/image_1925th/82157295.pdf","82157295")</f>
        <v>82157295</v>
      </c>
      <c r="F1046" s="9" t="s">
        <v>2858</v>
      </c>
      <c r="G1046" s="9" t="s">
        <v>2859</v>
      </c>
      <c r="H1046" s="12" t="s">
        <v>2860</v>
      </c>
      <c r="I1046" s="10">
        <v>45621</v>
      </c>
    </row>
    <row r="1047" spans="1:9" x14ac:dyDescent="0.15">
      <c r="A1047" s="9">
        <v>1046</v>
      </c>
      <c r="B1047" s="9" t="s">
        <v>9</v>
      </c>
      <c r="C1047" s="9">
        <v>1925</v>
      </c>
      <c r="D1047" s="10">
        <v>45715</v>
      </c>
      <c r="E1047" s="11" t="str">
        <f>+HYPERLINK("http://trademark.i-assist.jp/data/china/image_1925th/82157747.pdf","82157747")</f>
        <v>82157747</v>
      </c>
      <c r="F1047" s="9" t="s">
        <v>2861</v>
      </c>
      <c r="G1047" s="9" t="s">
        <v>2862</v>
      </c>
      <c r="H1047" s="9" t="s">
        <v>2863</v>
      </c>
      <c r="I1047" s="10">
        <v>45621</v>
      </c>
    </row>
    <row r="1048" spans="1:9" x14ac:dyDescent="0.15">
      <c r="A1048" s="9">
        <v>1047</v>
      </c>
      <c r="B1048" s="9" t="s">
        <v>9</v>
      </c>
      <c r="C1048" s="9">
        <v>1925</v>
      </c>
      <c r="D1048" s="10">
        <v>45715</v>
      </c>
      <c r="E1048" s="11" t="str">
        <f>+HYPERLINK("http://trademark.i-assist.jp/data/china/image_1925th/82157869.pdf","82157869")</f>
        <v>82157869</v>
      </c>
      <c r="F1048" s="9" t="s">
        <v>2864</v>
      </c>
      <c r="G1048" s="9" t="s">
        <v>2844</v>
      </c>
      <c r="H1048" s="9" t="s">
        <v>2865</v>
      </c>
      <c r="I1048" s="10">
        <v>45621</v>
      </c>
    </row>
    <row r="1049" spans="1:9" x14ac:dyDescent="0.15">
      <c r="A1049" s="9">
        <v>1048</v>
      </c>
      <c r="B1049" s="9" t="s">
        <v>9</v>
      </c>
      <c r="C1049" s="9">
        <v>1925</v>
      </c>
      <c r="D1049" s="10">
        <v>45715</v>
      </c>
      <c r="E1049" s="11" t="str">
        <f>+HYPERLINK("http://trademark.i-assist.jp/data/china/image_1925th/82157976.pdf","82157976")</f>
        <v>82157976</v>
      </c>
      <c r="F1049" s="9" t="s">
        <v>2866</v>
      </c>
      <c r="G1049" s="9" t="s">
        <v>2867</v>
      </c>
      <c r="H1049" s="9" t="s">
        <v>2868</v>
      </c>
      <c r="I1049" s="10">
        <v>45621</v>
      </c>
    </row>
    <row r="1050" spans="1:9" x14ac:dyDescent="0.15">
      <c r="A1050" s="9">
        <v>1049</v>
      </c>
      <c r="B1050" s="9" t="s">
        <v>9</v>
      </c>
      <c r="C1050" s="9">
        <v>1925</v>
      </c>
      <c r="D1050" s="10">
        <v>45715</v>
      </c>
      <c r="E1050" s="11" t="str">
        <f>+HYPERLINK("http://trademark.i-assist.jp/data/china/image_1925th/82158016.pdf","82158016")</f>
        <v>82158016</v>
      </c>
      <c r="F1050" s="9" t="s">
        <v>2869</v>
      </c>
      <c r="G1050" s="9" t="s">
        <v>2870</v>
      </c>
      <c r="H1050" s="9" t="s">
        <v>2871</v>
      </c>
      <c r="I1050" s="10">
        <v>45621</v>
      </c>
    </row>
    <row r="1051" spans="1:9" x14ac:dyDescent="0.15">
      <c r="A1051" s="9">
        <v>1050</v>
      </c>
      <c r="B1051" s="9" t="s">
        <v>9</v>
      </c>
      <c r="C1051" s="9">
        <v>1925</v>
      </c>
      <c r="D1051" s="10">
        <v>45715</v>
      </c>
      <c r="E1051" s="11" t="str">
        <f>+HYPERLINK("http://trademark.i-assist.jp/data/china/image_1925th/82158097.pdf","82158097")</f>
        <v>82158097</v>
      </c>
      <c r="F1051" s="9" t="s">
        <v>2872</v>
      </c>
      <c r="G1051" s="9" t="s">
        <v>2873</v>
      </c>
      <c r="H1051" s="9" t="s">
        <v>2874</v>
      </c>
      <c r="I1051" s="10">
        <v>45621</v>
      </c>
    </row>
    <row r="1052" spans="1:9" x14ac:dyDescent="0.15">
      <c r="A1052" s="9">
        <v>1051</v>
      </c>
      <c r="B1052" s="9" t="s">
        <v>9</v>
      </c>
      <c r="C1052" s="9">
        <v>1925</v>
      </c>
      <c r="D1052" s="10">
        <v>45715</v>
      </c>
      <c r="E1052" s="11" t="str">
        <f>+HYPERLINK("http://trademark.i-assist.jp/data/china/image_1925th/82158214.pdf","82158214")</f>
        <v>82158214</v>
      </c>
      <c r="F1052" s="12" t="s">
        <v>2875</v>
      </c>
      <c r="G1052" s="9" t="s">
        <v>2876</v>
      </c>
      <c r="H1052" s="9" t="s">
        <v>2877</v>
      </c>
      <c r="I1052" s="10">
        <v>45621</v>
      </c>
    </row>
    <row r="1053" spans="1:9" x14ac:dyDescent="0.15">
      <c r="A1053" s="9">
        <v>1052</v>
      </c>
      <c r="B1053" s="9" t="s">
        <v>9</v>
      </c>
      <c r="C1053" s="9">
        <v>1925</v>
      </c>
      <c r="D1053" s="10">
        <v>45715</v>
      </c>
      <c r="E1053" s="11" t="str">
        <f>+HYPERLINK("http://trademark.i-assist.jp/data/china/image_1925th/82158473.pdf","82158473")</f>
        <v>82158473</v>
      </c>
      <c r="F1053" s="9" t="s">
        <v>2878</v>
      </c>
      <c r="G1053" s="9" t="s">
        <v>2879</v>
      </c>
      <c r="H1053" s="9" t="s">
        <v>2880</v>
      </c>
      <c r="I1053" s="10">
        <v>45621</v>
      </c>
    </row>
    <row r="1054" spans="1:9" x14ac:dyDescent="0.15">
      <c r="A1054" s="9">
        <v>1053</v>
      </c>
      <c r="B1054" s="9" t="s">
        <v>9</v>
      </c>
      <c r="C1054" s="9">
        <v>1925</v>
      </c>
      <c r="D1054" s="10">
        <v>45715</v>
      </c>
      <c r="E1054" s="11" t="str">
        <f>+HYPERLINK("http://trademark.i-assist.jp/data/china/image_1925th/82158716.pdf","82158716")</f>
        <v>82158716</v>
      </c>
      <c r="F1054" s="9" t="s">
        <v>2881</v>
      </c>
      <c r="G1054" s="9" t="s">
        <v>2882</v>
      </c>
      <c r="H1054" s="9" t="s">
        <v>2883</v>
      </c>
      <c r="I1054" s="10">
        <v>45621</v>
      </c>
    </row>
    <row r="1055" spans="1:9" x14ac:dyDescent="0.15">
      <c r="A1055" s="9">
        <v>1054</v>
      </c>
      <c r="B1055" s="9" t="s">
        <v>9</v>
      </c>
      <c r="C1055" s="9">
        <v>1925</v>
      </c>
      <c r="D1055" s="10">
        <v>45715</v>
      </c>
      <c r="E1055" s="11" t="str">
        <f>+HYPERLINK("http://trademark.i-assist.jp/data/china/image_1925th/82159875.pdf","82159875")</f>
        <v>82159875</v>
      </c>
      <c r="F1055" s="9" t="s">
        <v>2884</v>
      </c>
      <c r="G1055" s="9" t="s">
        <v>2885</v>
      </c>
      <c r="H1055" s="9" t="s">
        <v>2886</v>
      </c>
      <c r="I1055" s="10">
        <v>45621</v>
      </c>
    </row>
    <row r="1056" spans="1:9" x14ac:dyDescent="0.15">
      <c r="A1056" s="9">
        <v>1055</v>
      </c>
      <c r="B1056" s="9" t="s">
        <v>9</v>
      </c>
      <c r="C1056" s="9">
        <v>1925</v>
      </c>
      <c r="D1056" s="10">
        <v>45715</v>
      </c>
      <c r="E1056" s="11" t="str">
        <f>+HYPERLINK("http://trademark.i-assist.jp/data/china/image_1925th/82160200.pdf","82160200")</f>
        <v>82160200</v>
      </c>
      <c r="F1056" s="9" t="s">
        <v>2887</v>
      </c>
      <c r="G1056" s="9" t="s">
        <v>2888</v>
      </c>
      <c r="H1056" s="9" t="s">
        <v>2889</v>
      </c>
      <c r="I1056" s="10">
        <v>45621</v>
      </c>
    </row>
    <row r="1057" spans="1:9" x14ac:dyDescent="0.15">
      <c r="A1057" s="9">
        <v>1056</v>
      </c>
      <c r="B1057" s="9" t="s">
        <v>9</v>
      </c>
      <c r="C1057" s="9">
        <v>1925</v>
      </c>
      <c r="D1057" s="10">
        <v>45715</v>
      </c>
      <c r="E1057" s="11" t="str">
        <f>+HYPERLINK("http://trademark.i-assist.jp/data/china/image_1925th/82160231.pdf","82160231")</f>
        <v>82160231</v>
      </c>
      <c r="F1057" s="9" t="s">
        <v>2890</v>
      </c>
      <c r="G1057" s="12" t="s">
        <v>2734</v>
      </c>
      <c r="H1057" s="9" t="s">
        <v>2891</v>
      </c>
      <c r="I1057" s="10">
        <v>45621</v>
      </c>
    </row>
    <row r="1058" spans="1:9" x14ac:dyDescent="0.15">
      <c r="A1058" s="9">
        <v>1057</v>
      </c>
      <c r="B1058" s="9" t="s">
        <v>9</v>
      </c>
      <c r="C1058" s="9">
        <v>1925</v>
      </c>
      <c r="D1058" s="10">
        <v>45715</v>
      </c>
      <c r="E1058" s="11" t="str">
        <f>+HYPERLINK("http://trademark.i-assist.jp/data/china/image_1925th/82160385.pdf","82160385")</f>
        <v>82160385</v>
      </c>
      <c r="F1058" s="9" t="s">
        <v>2892</v>
      </c>
      <c r="G1058" s="9" t="s">
        <v>2893</v>
      </c>
      <c r="H1058" s="9" t="s">
        <v>2894</v>
      </c>
      <c r="I1058" s="10">
        <v>45621</v>
      </c>
    </row>
    <row r="1059" spans="1:9" x14ac:dyDescent="0.15">
      <c r="A1059" s="9">
        <v>1058</v>
      </c>
      <c r="B1059" s="9" t="s">
        <v>9</v>
      </c>
      <c r="C1059" s="9">
        <v>1925</v>
      </c>
      <c r="D1059" s="10">
        <v>45715</v>
      </c>
      <c r="E1059" s="11" t="str">
        <f>+HYPERLINK("http://trademark.i-assist.jp/data/china/image_1925th/82160404.pdf","82160404")</f>
        <v>82160404</v>
      </c>
      <c r="F1059" s="9" t="s">
        <v>2895</v>
      </c>
      <c r="G1059" s="9" t="s">
        <v>2758</v>
      </c>
      <c r="H1059" s="9" t="s">
        <v>2896</v>
      </c>
      <c r="I1059" s="10">
        <v>45621</v>
      </c>
    </row>
    <row r="1060" spans="1:9" x14ac:dyDescent="0.15">
      <c r="A1060" s="9">
        <v>1059</v>
      </c>
      <c r="B1060" s="9" t="s">
        <v>9</v>
      </c>
      <c r="C1060" s="9">
        <v>1925</v>
      </c>
      <c r="D1060" s="10">
        <v>45715</v>
      </c>
      <c r="E1060" s="11" t="str">
        <f>+HYPERLINK("http://trademark.i-assist.jp/data/china/image_1925th/82160558.pdf","82160558")</f>
        <v>82160558</v>
      </c>
      <c r="F1060" s="9" t="s">
        <v>2897</v>
      </c>
      <c r="G1060" s="9" t="s">
        <v>2898</v>
      </c>
      <c r="H1060" s="9" t="s">
        <v>2899</v>
      </c>
      <c r="I1060" s="10">
        <v>45621</v>
      </c>
    </row>
    <row r="1061" spans="1:9" x14ac:dyDescent="0.15">
      <c r="A1061" s="9">
        <v>1060</v>
      </c>
      <c r="B1061" s="9" t="s">
        <v>9</v>
      </c>
      <c r="C1061" s="9">
        <v>1925</v>
      </c>
      <c r="D1061" s="10">
        <v>45715</v>
      </c>
      <c r="E1061" s="11" t="str">
        <f>+HYPERLINK("http://trademark.i-assist.jp/data/china/image_1925th/82160576.pdf","82160576")</f>
        <v>82160576</v>
      </c>
      <c r="F1061" s="12" t="s">
        <v>2900</v>
      </c>
      <c r="G1061" s="9" t="s">
        <v>2901</v>
      </c>
      <c r="H1061" s="9" t="s">
        <v>2902</v>
      </c>
      <c r="I1061" s="10">
        <v>45621</v>
      </c>
    </row>
    <row r="1062" spans="1:9" x14ac:dyDescent="0.15">
      <c r="A1062" s="9">
        <v>1061</v>
      </c>
      <c r="B1062" s="9" t="s">
        <v>9</v>
      </c>
      <c r="C1062" s="9">
        <v>1925</v>
      </c>
      <c r="D1062" s="10">
        <v>45715</v>
      </c>
      <c r="E1062" s="11" t="str">
        <f>+HYPERLINK("http://trademark.i-assist.jp/data/china/image_1925th/82160914.pdf","82160914")</f>
        <v>82160914</v>
      </c>
      <c r="F1062" s="9" t="s">
        <v>2903</v>
      </c>
      <c r="G1062" s="12" t="s">
        <v>2904</v>
      </c>
      <c r="H1062" s="12" t="s">
        <v>2905</v>
      </c>
      <c r="I1062" s="10">
        <v>45621</v>
      </c>
    </row>
    <row r="1063" spans="1:9" x14ac:dyDescent="0.15">
      <c r="A1063" s="9">
        <v>1062</v>
      </c>
      <c r="B1063" s="9" t="s">
        <v>9</v>
      </c>
      <c r="C1063" s="9">
        <v>1925</v>
      </c>
      <c r="D1063" s="10">
        <v>45715</v>
      </c>
      <c r="E1063" s="11" t="str">
        <f>+HYPERLINK("http://trademark.i-assist.jp/data/china/image_1925th/82161034.pdf","82161034")</f>
        <v>82161034</v>
      </c>
      <c r="F1063" s="9" t="s">
        <v>2906</v>
      </c>
      <c r="G1063" s="9" t="s">
        <v>2907</v>
      </c>
      <c r="H1063" s="9" t="s">
        <v>2908</v>
      </c>
      <c r="I1063" s="10">
        <v>45621</v>
      </c>
    </row>
    <row r="1064" spans="1:9" x14ac:dyDescent="0.15">
      <c r="A1064" s="9">
        <v>1063</v>
      </c>
      <c r="B1064" s="9" t="s">
        <v>9</v>
      </c>
      <c r="C1064" s="9">
        <v>1925</v>
      </c>
      <c r="D1064" s="10">
        <v>45715</v>
      </c>
      <c r="E1064" s="11" t="str">
        <f>+HYPERLINK("http://trademark.i-assist.jp/data/china/image_1925th/82161172.pdf","82161172")</f>
        <v>82161172</v>
      </c>
      <c r="F1064" s="12" t="s">
        <v>2909</v>
      </c>
      <c r="G1064" s="9" t="s">
        <v>2910</v>
      </c>
      <c r="H1064" s="9" t="s">
        <v>2911</v>
      </c>
      <c r="I1064" s="10">
        <v>45621</v>
      </c>
    </row>
    <row r="1065" spans="1:9" x14ac:dyDescent="0.15">
      <c r="A1065" s="9">
        <v>1064</v>
      </c>
      <c r="B1065" s="9" t="s">
        <v>9</v>
      </c>
      <c r="C1065" s="9">
        <v>1925</v>
      </c>
      <c r="D1065" s="10">
        <v>45715</v>
      </c>
      <c r="E1065" s="11" t="str">
        <f>+HYPERLINK("http://trademark.i-assist.jp/data/china/image_1925th/82161280.pdf","82161280")</f>
        <v>82161280</v>
      </c>
      <c r="F1065" s="9" t="s">
        <v>2912</v>
      </c>
      <c r="G1065" s="9" t="s">
        <v>2913</v>
      </c>
      <c r="H1065" s="9" t="s">
        <v>2914</v>
      </c>
      <c r="I1065" s="10">
        <v>45621</v>
      </c>
    </row>
    <row r="1066" spans="1:9" x14ac:dyDescent="0.15">
      <c r="A1066" s="9">
        <v>1065</v>
      </c>
      <c r="B1066" s="9" t="s">
        <v>9</v>
      </c>
      <c r="C1066" s="9">
        <v>1925</v>
      </c>
      <c r="D1066" s="10">
        <v>45715</v>
      </c>
      <c r="E1066" s="11" t="str">
        <f>+HYPERLINK("http://trademark.i-assist.jp/data/china/image_1925th/82161410.pdf","82161410")</f>
        <v>82161410</v>
      </c>
      <c r="F1066" s="9" t="s">
        <v>2915</v>
      </c>
      <c r="G1066" s="9" t="s">
        <v>2761</v>
      </c>
      <c r="H1066" s="9" t="s">
        <v>2916</v>
      </c>
      <c r="I1066" s="10">
        <v>45621</v>
      </c>
    </row>
    <row r="1067" spans="1:9" x14ac:dyDescent="0.15">
      <c r="A1067" s="9">
        <v>1066</v>
      </c>
      <c r="B1067" s="9" t="s">
        <v>9</v>
      </c>
      <c r="C1067" s="9">
        <v>1925</v>
      </c>
      <c r="D1067" s="10">
        <v>45715</v>
      </c>
      <c r="E1067" s="11" t="str">
        <f>+HYPERLINK("http://trademark.i-assist.jp/data/china/image_1925th/82161554.pdf","82161554")</f>
        <v>82161554</v>
      </c>
      <c r="F1067" s="9" t="s">
        <v>2917</v>
      </c>
      <c r="G1067" s="9" t="s">
        <v>2918</v>
      </c>
      <c r="H1067" s="9" t="s">
        <v>2919</v>
      </c>
      <c r="I1067" s="10">
        <v>45621</v>
      </c>
    </row>
    <row r="1068" spans="1:9" x14ac:dyDescent="0.15">
      <c r="A1068" s="9">
        <v>1067</v>
      </c>
      <c r="B1068" s="9" t="s">
        <v>9</v>
      </c>
      <c r="C1068" s="9">
        <v>1925</v>
      </c>
      <c r="D1068" s="10">
        <v>45715</v>
      </c>
      <c r="E1068" s="11" t="str">
        <f>+HYPERLINK("http://trademark.i-assist.jp/data/china/image_1925th/82161604.pdf","82161604")</f>
        <v>82161604</v>
      </c>
      <c r="F1068" s="9" t="s">
        <v>2920</v>
      </c>
      <c r="G1068" s="12" t="s">
        <v>2856</v>
      </c>
      <c r="H1068" s="9" t="s">
        <v>2921</v>
      </c>
      <c r="I1068" s="10">
        <v>45621</v>
      </c>
    </row>
    <row r="1069" spans="1:9" x14ac:dyDescent="0.15">
      <c r="A1069" s="9">
        <v>1068</v>
      </c>
      <c r="B1069" s="9" t="s">
        <v>9</v>
      </c>
      <c r="C1069" s="9">
        <v>1925</v>
      </c>
      <c r="D1069" s="10">
        <v>45715</v>
      </c>
      <c r="E1069" s="11" t="str">
        <f>+HYPERLINK("http://trademark.i-assist.jp/data/china/image_1925th/82161864.pdf","82161864")</f>
        <v>82161864</v>
      </c>
      <c r="F1069" s="12" t="s">
        <v>2922</v>
      </c>
      <c r="G1069" s="9" t="s">
        <v>2923</v>
      </c>
      <c r="H1069" s="9" t="s">
        <v>2924</v>
      </c>
      <c r="I1069" s="10">
        <v>45621</v>
      </c>
    </row>
    <row r="1070" spans="1:9" x14ac:dyDescent="0.15">
      <c r="A1070" s="9">
        <v>1069</v>
      </c>
      <c r="B1070" s="9" t="s">
        <v>9</v>
      </c>
      <c r="C1070" s="9">
        <v>1925</v>
      </c>
      <c r="D1070" s="10">
        <v>45715</v>
      </c>
      <c r="E1070" s="11" t="str">
        <f>+HYPERLINK("http://trademark.i-assist.jp/data/china/image_1925th/82161975.pdf","82161975")</f>
        <v>82161975</v>
      </c>
      <c r="F1070" s="12" t="s">
        <v>57</v>
      </c>
      <c r="G1070" s="9" t="s">
        <v>2925</v>
      </c>
      <c r="H1070" s="9" t="s">
        <v>2926</v>
      </c>
      <c r="I1070" s="10">
        <v>45621</v>
      </c>
    </row>
    <row r="1071" spans="1:9" x14ac:dyDescent="0.15">
      <c r="A1071" s="9">
        <v>1070</v>
      </c>
      <c r="B1071" s="9" t="s">
        <v>9</v>
      </c>
      <c r="C1071" s="9">
        <v>1925</v>
      </c>
      <c r="D1071" s="10">
        <v>45715</v>
      </c>
      <c r="E1071" s="11" t="str">
        <f>+HYPERLINK("http://trademark.i-assist.jp/data/china/image_1925th/82162124.pdf","82162124")</f>
        <v>82162124</v>
      </c>
      <c r="F1071" s="9" t="s">
        <v>2927</v>
      </c>
      <c r="G1071" s="9" t="s">
        <v>2928</v>
      </c>
      <c r="H1071" s="9" t="s">
        <v>2929</v>
      </c>
      <c r="I1071" s="10">
        <v>45621</v>
      </c>
    </row>
    <row r="1072" spans="1:9" x14ac:dyDescent="0.15">
      <c r="A1072" s="9">
        <v>1071</v>
      </c>
      <c r="B1072" s="9" t="s">
        <v>9</v>
      </c>
      <c r="C1072" s="9">
        <v>1925</v>
      </c>
      <c r="D1072" s="10">
        <v>45715</v>
      </c>
      <c r="E1072" s="11" t="str">
        <f>+HYPERLINK("http://trademark.i-assist.jp/data/china/image_1925th/82162416.pdf","82162416")</f>
        <v>82162416</v>
      </c>
      <c r="F1072" s="12" t="s">
        <v>57</v>
      </c>
      <c r="G1072" s="9" t="s">
        <v>2930</v>
      </c>
      <c r="H1072" s="9" t="s">
        <v>2931</v>
      </c>
      <c r="I1072" s="10">
        <v>45621</v>
      </c>
    </row>
    <row r="1073" spans="1:9" x14ac:dyDescent="0.15">
      <c r="A1073" s="9">
        <v>1072</v>
      </c>
      <c r="B1073" s="9" t="s">
        <v>9</v>
      </c>
      <c r="C1073" s="9">
        <v>1925</v>
      </c>
      <c r="D1073" s="10">
        <v>45715</v>
      </c>
      <c r="E1073" s="11" t="str">
        <f>+HYPERLINK("http://trademark.i-assist.jp/data/china/image_1925th/82162558.pdf","82162558")</f>
        <v>82162558</v>
      </c>
      <c r="F1073" s="9" t="s">
        <v>2932</v>
      </c>
      <c r="G1073" s="12" t="s">
        <v>2933</v>
      </c>
      <c r="H1073" s="9" t="s">
        <v>2934</v>
      </c>
      <c r="I1073" s="10">
        <v>45621</v>
      </c>
    </row>
    <row r="1074" spans="1:9" x14ac:dyDescent="0.15">
      <c r="A1074" s="9">
        <v>1073</v>
      </c>
      <c r="B1074" s="9" t="s">
        <v>9</v>
      </c>
      <c r="C1074" s="9">
        <v>1925</v>
      </c>
      <c r="D1074" s="10">
        <v>45715</v>
      </c>
      <c r="E1074" s="11" t="str">
        <f>+HYPERLINK("http://trademark.i-assist.jp/data/china/image_1925th/82162903.pdf","82162903")</f>
        <v>82162903</v>
      </c>
      <c r="F1074" s="9" t="s">
        <v>2935</v>
      </c>
      <c r="G1074" s="9" t="s">
        <v>2859</v>
      </c>
      <c r="H1074" s="9" t="s">
        <v>2936</v>
      </c>
      <c r="I1074" s="10">
        <v>45621</v>
      </c>
    </row>
    <row r="1075" spans="1:9" x14ac:dyDescent="0.15">
      <c r="A1075" s="9">
        <v>1074</v>
      </c>
      <c r="B1075" s="9" t="s">
        <v>9</v>
      </c>
      <c r="C1075" s="9">
        <v>1925</v>
      </c>
      <c r="D1075" s="10">
        <v>45715</v>
      </c>
      <c r="E1075" s="11" t="str">
        <f>+HYPERLINK("http://trademark.i-assist.jp/data/china/image_1925th/82163036.pdf","82163036")</f>
        <v>82163036</v>
      </c>
      <c r="F1075" s="9" t="s">
        <v>2937</v>
      </c>
      <c r="G1075" s="12" t="s">
        <v>2938</v>
      </c>
      <c r="H1075" s="12" t="s">
        <v>2939</v>
      </c>
      <c r="I1075" s="10">
        <v>45621</v>
      </c>
    </row>
    <row r="1076" spans="1:9" x14ac:dyDescent="0.15">
      <c r="A1076" s="9">
        <v>1075</v>
      </c>
      <c r="B1076" s="9" t="s">
        <v>9</v>
      </c>
      <c r="C1076" s="9">
        <v>1925</v>
      </c>
      <c r="D1076" s="10">
        <v>45715</v>
      </c>
      <c r="E1076" s="11" t="str">
        <f>+HYPERLINK("http://trademark.i-assist.jp/data/china/image_1925th/82163886.pdf","82163886")</f>
        <v>82163886</v>
      </c>
      <c r="F1076" s="9" t="s">
        <v>2940</v>
      </c>
      <c r="G1076" s="9" t="s">
        <v>2746</v>
      </c>
      <c r="H1076" s="9" t="s">
        <v>2941</v>
      </c>
      <c r="I1076" s="10">
        <v>45621</v>
      </c>
    </row>
    <row r="1077" spans="1:9" x14ac:dyDescent="0.15">
      <c r="A1077" s="9">
        <v>1076</v>
      </c>
      <c r="B1077" s="9" t="s">
        <v>9</v>
      </c>
      <c r="C1077" s="9">
        <v>1925</v>
      </c>
      <c r="D1077" s="10">
        <v>45715</v>
      </c>
      <c r="E1077" s="11" t="str">
        <f>+HYPERLINK("http://trademark.i-assist.jp/data/china/image_1925th/82164203.pdf","82164203")</f>
        <v>82164203</v>
      </c>
      <c r="F1077" s="9" t="s">
        <v>2942</v>
      </c>
      <c r="G1077" s="9" t="s">
        <v>2943</v>
      </c>
      <c r="H1077" s="9" t="s">
        <v>2944</v>
      </c>
      <c r="I1077" s="10">
        <v>45621</v>
      </c>
    </row>
    <row r="1078" spans="1:9" x14ac:dyDescent="0.15">
      <c r="A1078" s="9">
        <v>1077</v>
      </c>
      <c r="B1078" s="9" t="s">
        <v>9</v>
      </c>
      <c r="C1078" s="9">
        <v>1925</v>
      </c>
      <c r="D1078" s="10">
        <v>45715</v>
      </c>
      <c r="E1078" s="11" t="str">
        <f>+HYPERLINK("http://trademark.i-assist.jp/data/china/image_1925th/82164260.pdf","82164260")</f>
        <v>82164260</v>
      </c>
      <c r="F1078" s="9" t="s">
        <v>2727</v>
      </c>
      <c r="G1078" s="9" t="s">
        <v>2728</v>
      </c>
      <c r="H1078" s="9" t="s">
        <v>2945</v>
      </c>
      <c r="I1078" s="10">
        <v>45621</v>
      </c>
    </row>
    <row r="1079" spans="1:9" x14ac:dyDescent="0.15">
      <c r="A1079" s="9">
        <v>1078</v>
      </c>
      <c r="B1079" s="9" t="s">
        <v>9</v>
      </c>
      <c r="C1079" s="9">
        <v>1925</v>
      </c>
      <c r="D1079" s="10">
        <v>45715</v>
      </c>
      <c r="E1079" s="11" t="str">
        <f>+HYPERLINK("http://trademark.i-assist.jp/data/china/image_1925th/82165268.pdf","82165268")</f>
        <v>82165268</v>
      </c>
      <c r="F1079" s="9" t="s">
        <v>2946</v>
      </c>
      <c r="G1079" s="9" t="s">
        <v>2947</v>
      </c>
      <c r="H1079" s="9" t="s">
        <v>2948</v>
      </c>
      <c r="I1079" s="10">
        <v>45621</v>
      </c>
    </row>
    <row r="1080" spans="1:9" x14ac:dyDescent="0.15">
      <c r="A1080" s="9">
        <v>1079</v>
      </c>
      <c r="B1080" s="9" t="s">
        <v>9</v>
      </c>
      <c r="C1080" s="9">
        <v>1925</v>
      </c>
      <c r="D1080" s="10">
        <v>45715</v>
      </c>
      <c r="E1080" s="11" t="str">
        <f>+HYPERLINK("http://trademark.i-assist.jp/data/china/image_1925th/82165276.pdf","82165276")</f>
        <v>82165276</v>
      </c>
      <c r="F1080" s="9" t="s">
        <v>2949</v>
      </c>
      <c r="G1080" s="9" t="s">
        <v>2950</v>
      </c>
      <c r="H1080" s="12" t="s">
        <v>2951</v>
      </c>
      <c r="I1080" s="10">
        <v>45621</v>
      </c>
    </row>
    <row r="1081" spans="1:9" x14ac:dyDescent="0.15">
      <c r="A1081" s="9">
        <v>1080</v>
      </c>
      <c r="B1081" s="9" t="s">
        <v>9</v>
      </c>
      <c r="C1081" s="9">
        <v>1925</v>
      </c>
      <c r="D1081" s="10">
        <v>45715</v>
      </c>
      <c r="E1081" s="11" t="str">
        <f>+HYPERLINK("http://trademark.i-assist.jp/data/china/image_1925th/82165606.pdf","82165606")</f>
        <v>82165606</v>
      </c>
      <c r="F1081" s="9" t="s">
        <v>2952</v>
      </c>
      <c r="G1081" s="9" t="s">
        <v>2953</v>
      </c>
      <c r="H1081" s="12" t="s">
        <v>2954</v>
      </c>
      <c r="I1081" s="10">
        <v>45621</v>
      </c>
    </row>
    <row r="1082" spans="1:9" x14ac:dyDescent="0.15">
      <c r="A1082" s="9">
        <v>1081</v>
      </c>
      <c r="B1082" s="9" t="s">
        <v>9</v>
      </c>
      <c r="C1082" s="9">
        <v>1925</v>
      </c>
      <c r="D1082" s="10">
        <v>45715</v>
      </c>
      <c r="E1082" s="11" t="str">
        <f>+HYPERLINK("http://trademark.i-assist.jp/data/china/image_1925th/82165630.pdf","82165630")</f>
        <v>82165630</v>
      </c>
      <c r="F1082" s="9" t="s">
        <v>2955</v>
      </c>
      <c r="G1082" s="9" t="s">
        <v>2956</v>
      </c>
      <c r="H1082" s="9" t="s">
        <v>2957</v>
      </c>
      <c r="I1082" s="10">
        <v>45621</v>
      </c>
    </row>
    <row r="1083" spans="1:9" x14ac:dyDescent="0.15">
      <c r="A1083" s="9">
        <v>1082</v>
      </c>
      <c r="B1083" s="9" t="s">
        <v>9</v>
      </c>
      <c r="C1083" s="9">
        <v>1925</v>
      </c>
      <c r="D1083" s="10">
        <v>45715</v>
      </c>
      <c r="E1083" s="11" t="str">
        <f>+HYPERLINK("http://trademark.i-assist.jp/data/china/image_1925th/82165705.pdf","82165705")</f>
        <v>82165705</v>
      </c>
      <c r="F1083" s="9" t="s">
        <v>2958</v>
      </c>
      <c r="G1083" s="9" t="s">
        <v>1799</v>
      </c>
      <c r="H1083" s="9" t="s">
        <v>2959</v>
      </c>
      <c r="I1083" s="10">
        <v>45621</v>
      </c>
    </row>
    <row r="1084" spans="1:9" x14ac:dyDescent="0.15">
      <c r="A1084" s="9">
        <v>1083</v>
      </c>
      <c r="B1084" s="9" t="s">
        <v>9</v>
      </c>
      <c r="C1084" s="9">
        <v>1925</v>
      </c>
      <c r="D1084" s="10">
        <v>45715</v>
      </c>
      <c r="E1084" s="11" t="str">
        <f>+HYPERLINK("http://trademark.i-assist.jp/data/china/image_1925th/82165967.pdf","82165967")</f>
        <v>82165967</v>
      </c>
      <c r="F1084" s="12" t="s">
        <v>57</v>
      </c>
      <c r="G1084" s="9" t="s">
        <v>2705</v>
      </c>
      <c r="H1084" s="9" t="s">
        <v>2960</v>
      </c>
      <c r="I1084" s="10">
        <v>45621</v>
      </c>
    </row>
    <row r="1085" spans="1:9" x14ac:dyDescent="0.15">
      <c r="A1085" s="9">
        <v>1084</v>
      </c>
      <c r="B1085" s="9" t="s">
        <v>9</v>
      </c>
      <c r="C1085" s="9">
        <v>1925</v>
      </c>
      <c r="D1085" s="10">
        <v>45715</v>
      </c>
      <c r="E1085" s="11" t="str">
        <f>+HYPERLINK("http://trademark.i-assist.jp/data/china/image_1925th/82166075.pdf","82166075")</f>
        <v>82166075</v>
      </c>
      <c r="F1085" s="12" t="s">
        <v>2961</v>
      </c>
      <c r="G1085" s="12" t="s">
        <v>2962</v>
      </c>
      <c r="H1085" s="12" t="s">
        <v>2963</v>
      </c>
      <c r="I1085" s="10">
        <v>45621</v>
      </c>
    </row>
    <row r="1086" spans="1:9" x14ac:dyDescent="0.15">
      <c r="A1086" s="9">
        <v>1085</v>
      </c>
      <c r="B1086" s="9" t="s">
        <v>9</v>
      </c>
      <c r="C1086" s="9">
        <v>1925</v>
      </c>
      <c r="D1086" s="10">
        <v>45715</v>
      </c>
      <c r="E1086" s="11" t="str">
        <f>+HYPERLINK("http://trademark.i-assist.jp/data/china/image_1925th/82166369.pdf","82166369")</f>
        <v>82166369</v>
      </c>
      <c r="F1086" s="12" t="s">
        <v>57</v>
      </c>
      <c r="G1086" s="9" t="s">
        <v>2964</v>
      </c>
      <c r="H1086" s="9" t="s">
        <v>2965</v>
      </c>
      <c r="I1086" s="10">
        <v>45621</v>
      </c>
    </row>
    <row r="1087" spans="1:9" x14ac:dyDescent="0.15">
      <c r="A1087" s="9">
        <v>1086</v>
      </c>
      <c r="B1087" s="9" t="s">
        <v>9</v>
      </c>
      <c r="C1087" s="9">
        <v>1925</v>
      </c>
      <c r="D1087" s="10">
        <v>45715</v>
      </c>
      <c r="E1087" s="11" t="str">
        <f>+HYPERLINK("http://trademark.i-assist.jp/data/china/image_1925th/82166451.pdf","82166451")</f>
        <v>82166451</v>
      </c>
      <c r="F1087" s="9" t="s">
        <v>2966</v>
      </c>
      <c r="G1087" s="9" t="s">
        <v>2870</v>
      </c>
      <c r="H1087" s="9" t="s">
        <v>2967</v>
      </c>
      <c r="I1087" s="10">
        <v>45621</v>
      </c>
    </row>
    <row r="1088" spans="1:9" x14ac:dyDescent="0.15">
      <c r="A1088" s="9">
        <v>1087</v>
      </c>
      <c r="B1088" s="9" t="s">
        <v>9</v>
      </c>
      <c r="C1088" s="9">
        <v>1925</v>
      </c>
      <c r="D1088" s="10">
        <v>45715</v>
      </c>
      <c r="E1088" s="11" t="str">
        <f>+HYPERLINK("http://trademark.i-assist.jp/data/china/image_1925th/82166866.pdf","82166866")</f>
        <v>82166866</v>
      </c>
      <c r="F1088" s="9" t="s">
        <v>2968</v>
      </c>
      <c r="G1088" s="9" t="s">
        <v>2969</v>
      </c>
      <c r="H1088" s="9" t="s">
        <v>2970</v>
      </c>
      <c r="I1088" s="10">
        <v>45621</v>
      </c>
    </row>
    <row r="1089" spans="1:9" x14ac:dyDescent="0.15">
      <c r="A1089" s="9">
        <v>1088</v>
      </c>
      <c r="B1089" s="9" t="s">
        <v>9</v>
      </c>
      <c r="C1089" s="9">
        <v>1925</v>
      </c>
      <c r="D1089" s="10">
        <v>45715</v>
      </c>
      <c r="E1089" s="11" t="str">
        <f>+HYPERLINK("http://trademark.i-assist.jp/data/china/image_1925th/82166894.pdf","82166894")</f>
        <v>82166894</v>
      </c>
      <c r="F1089" s="9" t="s">
        <v>2971</v>
      </c>
      <c r="G1089" s="9" t="s">
        <v>2826</v>
      </c>
      <c r="H1089" s="9" t="s">
        <v>2972</v>
      </c>
      <c r="I1089" s="10">
        <v>45621</v>
      </c>
    </row>
    <row r="1090" spans="1:9" x14ac:dyDescent="0.15">
      <c r="A1090" s="9">
        <v>1089</v>
      </c>
      <c r="B1090" s="9" t="s">
        <v>9</v>
      </c>
      <c r="C1090" s="9">
        <v>1925</v>
      </c>
      <c r="D1090" s="10">
        <v>45715</v>
      </c>
      <c r="E1090" s="11" t="str">
        <f>+HYPERLINK("http://trademark.i-assist.jp/data/china/image_1925th/82167087.pdf","82167087")</f>
        <v>82167087</v>
      </c>
      <c r="F1090" s="9" t="s">
        <v>2973</v>
      </c>
      <c r="G1090" s="9" t="s">
        <v>2974</v>
      </c>
      <c r="H1090" s="9" t="s">
        <v>2975</v>
      </c>
      <c r="I1090" s="10">
        <v>45621</v>
      </c>
    </row>
    <row r="1091" spans="1:9" x14ac:dyDescent="0.15">
      <c r="A1091" s="9">
        <v>1090</v>
      </c>
      <c r="B1091" s="9" t="s">
        <v>9</v>
      </c>
      <c r="C1091" s="9">
        <v>1925</v>
      </c>
      <c r="D1091" s="10">
        <v>45715</v>
      </c>
      <c r="E1091" s="11" t="str">
        <f>+HYPERLINK("http://trademark.i-assist.jp/data/china/image_1925th/82167313.pdf","82167313")</f>
        <v>82167313</v>
      </c>
      <c r="F1091" s="9" t="s">
        <v>2976</v>
      </c>
      <c r="G1091" s="9" t="s">
        <v>2977</v>
      </c>
      <c r="H1091" s="9" t="s">
        <v>2978</v>
      </c>
      <c r="I1091" s="10">
        <v>45621</v>
      </c>
    </row>
    <row r="1092" spans="1:9" x14ac:dyDescent="0.15">
      <c r="A1092" s="9">
        <v>1091</v>
      </c>
      <c r="B1092" s="9" t="s">
        <v>9</v>
      </c>
      <c r="C1092" s="9">
        <v>1925</v>
      </c>
      <c r="D1092" s="10">
        <v>45715</v>
      </c>
      <c r="E1092" s="11" t="str">
        <f>+HYPERLINK("http://trademark.i-assist.jp/data/china/image_1925th/82167378.pdf","82167378")</f>
        <v>82167378</v>
      </c>
      <c r="F1092" s="9" t="s">
        <v>2979</v>
      </c>
      <c r="G1092" s="9" t="s">
        <v>2980</v>
      </c>
      <c r="H1092" s="9" t="s">
        <v>2981</v>
      </c>
      <c r="I1092" s="10">
        <v>45621</v>
      </c>
    </row>
    <row r="1093" spans="1:9" x14ac:dyDescent="0.15">
      <c r="A1093" s="9">
        <v>1092</v>
      </c>
      <c r="B1093" s="9" t="s">
        <v>9</v>
      </c>
      <c r="C1093" s="9">
        <v>1925</v>
      </c>
      <c r="D1093" s="10">
        <v>45715</v>
      </c>
      <c r="E1093" s="11" t="str">
        <f>+HYPERLINK("http://trademark.i-assist.jp/data/china/image_1925th/82167552.pdf","82167552")</f>
        <v>82167552</v>
      </c>
      <c r="F1093" s="9" t="s">
        <v>2982</v>
      </c>
      <c r="G1093" s="12" t="s">
        <v>2983</v>
      </c>
      <c r="H1093" s="9" t="s">
        <v>2984</v>
      </c>
      <c r="I1093" s="10">
        <v>45621</v>
      </c>
    </row>
    <row r="1094" spans="1:9" x14ac:dyDescent="0.15">
      <c r="A1094" s="9">
        <v>1093</v>
      </c>
      <c r="B1094" s="9" t="s">
        <v>9</v>
      </c>
      <c r="C1094" s="9">
        <v>1925</v>
      </c>
      <c r="D1094" s="10">
        <v>45715</v>
      </c>
      <c r="E1094" s="11" t="str">
        <f>+HYPERLINK("http://trademark.i-assist.jp/data/china/image_1925th/82167936.pdf","82167936")</f>
        <v>82167936</v>
      </c>
      <c r="F1094" s="9" t="s">
        <v>2985</v>
      </c>
      <c r="G1094" s="9" t="s">
        <v>2986</v>
      </c>
      <c r="H1094" s="9" t="s">
        <v>2987</v>
      </c>
      <c r="I1094" s="10">
        <v>45621</v>
      </c>
    </row>
    <row r="1095" spans="1:9" x14ac:dyDescent="0.15">
      <c r="A1095" s="9">
        <v>1094</v>
      </c>
      <c r="B1095" s="9" t="s">
        <v>9</v>
      </c>
      <c r="C1095" s="9">
        <v>1925</v>
      </c>
      <c r="D1095" s="10">
        <v>45715</v>
      </c>
      <c r="E1095" s="11" t="str">
        <f>+HYPERLINK("http://trademark.i-assist.jp/data/china/image_1925th/82168084.pdf","82168084")</f>
        <v>82168084</v>
      </c>
      <c r="F1095" s="9" t="s">
        <v>2988</v>
      </c>
      <c r="G1095" s="9" t="s">
        <v>2746</v>
      </c>
      <c r="H1095" s="9" t="s">
        <v>2989</v>
      </c>
      <c r="I1095" s="10">
        <v>45621</v>
      </c>
    </row>
    <row r="1096" spans="1:9" x14ac:dyDescent="0.15">
      <c r="A1096" s="9">
        <v>1095</v>
      </c>
      <c r="B1096" s="9" t="s">
        <v>9</v>
      </c>
      <c r="C1096" s="9">
        <v>1925</v>
      </c>
      <c r="D1096" s="10">
        <v>45715</v>
      </c>
      <c r="E1096" s="11" t="str">
        <f>+HYPERLINK("http://trademark.i-assist.jp/data/china/image_1925th/82169561.pdf","82169561")</f>
        <v>82169561</v>
      </c>
      <c r="F1096" s="9" t="s">
        <v>2990</v>
      </c>
      <c r="G1096" s="9" t="s">
        <v>2991</v>
      </c>
      <c r="H1096" s="9" t="s">
        <v>2992</v>
      </c>
      <c r="I1096" s="10">
        <v>45621</v>
      </c>
    </row>
    <row r="1097" spans="1:9" x14ac:dyDescent="0.15">
      <c r="A1097" s="9">
        <v>1096</v>
      </c>
      <c r="B1097" s="9" t="s">
        <v>9</v>
      </c>
      <c r="C1097" s="9">
        <v>1925</v>
      </c>
      <c r="D1097" s="10">
        <v>45715</v>
      </c>
      <c r="E1097" s="11" t="str">
        <f>+HYPERLINK("http://trademark.i-assist.jp/data/china/image_1925th/82169620.pdf","82169620")</f>
        <v>82169620</v>
      </c>
      <c r="F1097" s="9" t="s">
        <v>2993</v>
      </c>
      <c r="G1097" s="9" t="s">
        <v>2761</v>
      </c>
      <c r="H1097" s="9" t="s">
        <v>2994</v>
      </c>
      <c r="I1097" s="10">
        <v>45621</v>
      </c>
    </row>
    <row r="1098" spans="1:9" x14ac:dyDescent="0.15">
      <c r="A1098" s="9">
        <v>1097</v>
      </c>
      <c r="B1098" s="9" t="s">
        <v>9</v>
      </c>
      <c r="C1098" s="9">
        <v>1925</v>
      </c>
      <c r="D1098" s="10">
        <v>45715</v>
      </c>
      <c r="E1098" s="11" t="str">
        <f>+HYPERLINK("http://trademark.i-assist.jp/data/china/image_1925th/82169862.pdf","82169862")</f>
        <v>82169862</v>
      </c>
      <c r="F1098" s="12" t="s">
        <v>2995</v>
      </c>
      <c r="G1098" s="12" t="s">
        <v>2996</v>
      </c>
      <c r="H1098" s="12" t="s">
        <v>2997</v>
      </c>
      <c r="I1098" s="10">
        <v>45621</v>
      </c>
    </row>
    <row r="1099" spans="1:9" x14ac:dyDescent="0.15">
      <c r="A1099" s="9">
        <v>1098</v>
      </c>
      <c r="B1099" s="9" t="s">
        <v>9</v>
      </c>
      <c r="C1099" s="9">
        <v>1925</v>
      </c>
      <c r="D1099" s="10">
        <v>45715</v>
      </c>
      <c r="E1099" s="11" t="str">
        <f>+HYPERLINK("http://trademark.i-assist.jp/data/china/image_1925th/82170035.pdf","82170035")</f>
        <v>82170035</v>
      </c>
      <c r="F1099" s="12" t="s">
        <v>2998</v>
      </c>
      <c r="G1099" s="9" t="s">
        <v>2999</v>
      </c>
      <c r="H1099" s="9" t="s">
        <v>3000</v>
      </c>
      <c r="I1099" s="10">
        <v>45621</v>
      </c>
    </row>
    <row r="1100" spans="1:9" x14ac:dyDescent="0.15">
      <c r="A1100" s="9">
        <v>1099</v>
      </c>
      <c r="B1100" s="9" t="s">
        <v>9</v>
      </c>
      <c r="C1100" s="9">
        <v>1925</v>
      </c>
      <c r="D1100" s="10">
        <v>45715</v>
      </c>
      <c r="E1100" s="11" t="str">
        <f>+HYPERLINK("http://trademark.i-assist.jp/data/china/image_1925th/82170382.pdf","82170382")</f>
        <v>82170382</v>
      </c>
      <c r="F1100" s="9" t="s">
        <v>3001</v>
      </c>
      <c r="G1100" s="9" t="s">
        <v>3002</v>
      </c>
      <c r="H1100" s="12" t="s">
        <v>3003</v>
      </c>
      <c r="I1100" s="10">
        <v>45621</v>
      </c>
    </row>
    <row r="1101" spans="1:9" x14ac:dyDescent="0.15">
      <c r="A1101" s="9">
        <v>1100</v>
      </c>
      <c r="B1101" s="9" t="s">
        <v>9</v>
      </c>
      <c r="C1101" s="9">
        <v>1925</v>
      </c>
      <c r="D1101" s="10">
        <v>45715</v>
      </c>
      <c r="E1101" s="11" t="str">
        <f>+HYPERLINK("http://trademark.i-assist.jp/data/china/image_1925th/82170727.pdf","82170727")</f>
        <v>82170727</v>
      </c>
      <c r="F1101" s="9" t="s">
        <v>3004</v>
      </c>
      <c r="G1101" s="9" t="s">
        <v>2907</v>
      </c>
      <c r="H1101" s="9" t="s">
        <v>3005</v>
      </c>
      <c r="I1101" s="10">
        <v>45621</v>
      </c>
    </row>
    <row r="1102" spans="1:9" x14ac:dyDescent="0.15">
      <c r="A1102" s="9">
        <v>1101</v>
      </c>
      <c r="B1102" s="9" t="s">
        <v>9</v>
      </c>
      <c r="C1102" s="9">
        <v>1925</v>
      </c>
      <c r="D1102" s="10">
        <v>45715</v>
      </c>
      <c r="E1102" s="11" t="str">
        <f>+HYPERLINK("http://trademark.i-assist.jp/data/china/image_1925th/82171020.pdf","82171020")</f>
        <v>82171020</v>
      </c>
      <c r="F1102" s="9" t="s">
        <v>3006</v>
      </c>
      <c r="G1102" s="9" t="s">
        <v>3007</v>
      </c>
      <c r="H1102" s="9" t="s">
        <v>3008</v>
      </c>
      <c r="I1102" s="10">
        <v>45621</v>
      </c>
    </row>
    <row r="1103" spans="1:9" x14ac:dyDescent="0.15">
      <c r="A1103" s="9">
        <v>1102</v>
      </c>
      <c r="B1103" s="9" t="s">
        <v>9</v>
      </c>
      <c r="C1103" s="9">
        <v>1925</v>
      </c>
      <c r="D1103" s="10">
        <v>45715</v>
      </c>
      <c r="E1103" s="11" t="str">
        <f>+HYPERLINK("http://trademark.i-assist.jp/data/china/image_1925th/82171051.pdf","82171051")</f>
        <v>82171051</v>
      </c>
      <c r="F1103" s="9" t="s">
        <v>3009</v>
      </c>
      <c r="G1103" s="9" t="s">
        <v>2859</v>
      </c>
      <c r="H1103" s="9" t="s">
        <v>3010</v>
      </c>
      <c r="I1103" s="10">
        <v>45621</v>
      </c>
    </row>
    <row r="1104" spans="1:9" x14ac:dyDescent="0.15">
      <c r="A1104" s="9">
        <v>1103</v>
      </c>
      <c r="B1104" s="9" t="s">
        <v>9</v>
      </c>
      <c r="C1104" s="9">
        <v>1925</v>
      </c>
      <c r="D1104" s="10">
        <v>45715</v>
      </c>
      <c r="E1104" s="11" t="str">
        <f>+HYPERLINK("http://trademark.i-assist.jp/data/china/image_1925th/82171707.pdf","82171707")</f>
        <v>82171707</v>
      </c>
      <c r="F1104" s="9" t="s">
        <v>3011</v>
      </c>
      <c r="G1104" s="9" t="s">
        <v>3012</v>
      </c>
      <c r="H1104" s="9" t="s">
        <v>3013</v>
      </c>
      <c r="I1104" s="10">
        <v>45621</v>
      </c>
    </row>
    <row r="1105" spans="1:9" x14ac:dyDescent="0.15">
      <c r="A1105" s="9">
        <v>1104</v>
      </c>
      <c r="B1105" s="9" t="s">
        <v>9</v>
      </c>
      <c r="C1105" s="9">
        <v>1925</v>
      </c>
      <c r="D1105" s="10">
        <v>45715</v>
      </c>
      <c r="E1105" s="11" t="str">
        <f>+HYPERLINK("http://trademark.i-assist.jp/data/china/image_1925th/82171796.pdf","82171796")</f>
        <v>82171796</v>
      </c>
      <c r="F1105" s="9" t="s">
        <v>3014</v>
      </c>
      <c r="G1105" s="9" t="s">
        <v>2888</v>
      </c>
      <c r="H1105" s="9" t="s">
        <v>3015</v>
      </c>
      <c r="I1105" s="10">
        <v>45621</v>
      </c>
    </row>
    <row r="1106" spans="1:9" x14ac:dyDescent="0.15">
      <c r="A1106" s="9">
        <v>1105</v>
      </c>
      <c r="B1106" s="9" t="s">
        <v>9</v>
      </c>
      <c r="C1106" s="9">
        <v>1925</v>
      </c>
      <c r="D1106" s="10">
        <v>45715</v>
      </c>
      <c r="E1106" s="11" t="str">
        <f>+HYPERLINK("http://trademark.i-assist.jp/data/china/image_1925th/82171878.pdf","82171878")</f>
        <v>82171878</v>
      </c>
      <c r="F1106" s="12" t="s">
        <v>3016</v>
      </c>
      <c r="G1106" s="12" t="s">
        <v>3017</v>
      </c>
      <c r="H1106" s="12" t="s">
        <v>3018</v>
      </c>
      <c r="I1106" s="10">
        <v>45621</v>
      </c>
    </row>
    <row r="1107" spans="1:9" x14ac:dyDescent="0.15">
      <c r="A1107" s="9">
        <v>1106</v>
      </c>
      <c r="B1107" s="9" t="s">
        <v>9</v>
      </c>
      <c r="C1107" s="9">
        <v>1925</v>
      </c>
      <c r="D1107" s="10">
        <v>45715</v>
      </c>
      <c r="E1107" s="11" t="str">
        <f>+HYPERLINK("http://trademark.i-assist.jp/data/china/image_1925th/82172153.pdf","82172153")</f>
        <v>82172153</v>
      </c>
      <c r="F1107" s="9" t="s">
        <v>3019</v>
      </c>
      <c r="G1107" s="9" t="s">
        <v>3020</v>
      </c>
      <c r="H1107" s="9" t="s">
        <v>3021</v>
      </c>
      <c r="I1107" s="10">
        <v>45621</v>
      </c>
    </row>
    <row r="1108" spans="1:9" x14ac:dyDescent="0.15">
      <c r="A1108" s="9">
        <v>1107</v>
      </c>
      <c r="B1108" s="9" t="s">
        <v>9</v>
      </c>
      <c r="C1108" s="9">
        <v>1925</v>
      </c>
      <c r="D1108" s="10">
        <v>45715</v>
      </c>
      <c r="E1108" s="11" t="str">
        <f>+HYPERLINK("http://trademark.i-assist.jp/data/china/image_1925th/82172471.pdf","82172471")</f>
        <v>82172471</v>
      </c>
      <c r="F1108" s="9" t="s">
        <v>3022</v>
      </c>
      <c r="G1108" s="9" t="s">
        <v>3023</v>
      </c>
      <c r="H1108" s="9" t="s">
        <v>3024</v>
      </c>
      <c r="I1108" s="10">
        <v>45621</v>
      </c>
    </row>
    <row r="1109" spans="1:9" x14ac:dyDescent="0.15">
      <c r="A1109" s="9">
        <v>1108</v>
      </c>
      <c r="B1109" s="9" t="s">
        <v>9</v>
      </c>
      <c r="C1109" s="9">
        <v>1925</v>
      </c>
      <c r="D1109" s="10">
        <v>45715</v>
      </c>
      <c r="E1109" s="11" t="str">
        <f>+HYPERLINK("http://trademark.i-assist.jp/data/china/image_1925th/82172601.pdf","82172601")</f>
        <v>82172601</v>
      </c>
      <c r="F1109" s="9" t="s">
        <v>3025</v>
      </c>
      <c r="G1109" s="9" t="s">
        <v>3026</v>
      </c>
      <c r="H1109" s="9" t="s">
        <v>3027</v>
      </c>
      <c r="I1109" s="10">
        <v>45621</v>
      </c>
    </row>
    <row r="1110" spans="1:9" x14ac:dyDescent="0.15">
      <c r="A1110" s="9">
        <v>1109</v>
      </c>
      <c r="B1110" s="9" t="s">
        <v>9</v>
      </c>
      <c r="C1110" s="9">
        <v>1925</v>
      </c>
      <c r="D1110" s="10">
        <v>45715</v>
      </c>
      <c r="E1110" s="11" t="str">
        <f>+HYPERLINK("http://trademark.i-assist.jp/data/china/image_1925th/82172674.pdf","82172674")</f>
        <v>82172674</v>
      </c>
      <c r="F1110" s="9" t="s">
        <v>3028</v>
      </c>
      <c r="G1110" s="9" t="s">
        <v>3029</v>
      </c>
      <c r="H1110" s="9" t="s">
        <v>3030</v>
      </c>
      <c r="I1110" s="10">
        <v>45621</v>
      </c>
    </row>
    <row r="1111" spans="1:9" x14ac:dyDescent="0.15">
      <c r="A1111" s="9">
        <v>1110</v>
      </c>
      <c r="B1111" s="9" t="s">
        <v>9</v>
      </c>
      <c r="C1111" s="9">
        <v>1925</v>
      </c>
      <c r="D1111" s="10">
        <v>45715</v>
      </c>
      <c r="E1111" s="11" t="str">
        <f>+HYPERLINK("http://trademark.i-assist.jp/data/china/image_1925th/82172949.pdf","82172949")</f>
        <v>82172949</v>
      </c>
      <c r="F1111" s="9" t="s">
        <v>3031</v>
      </c>
      <c r="G1111" s="9" t="s">
        <v>3032</v>
      </c>
      <c r="H1111" s="9" t="s">
        <v>3033</v>
      </c>
      <c r="I1111" s="10">
        <v>45621</v>
      </c>
    </row>
    <row r="1112" spans="1:9" x14ac:dyDescent="0.15">
      <c r="A1112" s="9">
        <v>1111</v>
      </c>
      <c r="B1112" s="9" t="s">
        <v>9</v>
      </c>
      <c r="C1112" s="9">
        <v>1925</v>
      </c>
      <c r="D1112" s="10">
        <v>45715</v>
      </c>
      <c r="E1112" s="11" t="str">
        <f>+HYPERLINK("http://trademark.i-assist.jp/data/china/image_1925th/82173015.pdf","82173015")</f>
        <v>82173015</v>
      </c>
      <c r="F1112" s="9" t="s">
        <v>3034</v>
      </c>
      <c r="G1112" s="9" t="s">
        <v>2835</v>
      </c>
      <c r="H1112" s="9" t="s">
        <v>3035</v>
      </c>
      <c r="I1112" s="10">
        <v>45621</v>
      </c>
    </row>
    <row r="1113" spans="1:9" x14ac:dyDescent="0.15">
      <c r="A1113" s="9">
        <v>1112</v>
      </c>
      <c r="B1113" s="9" t="s">
        <v>9</v>
      </c>
      <c r="C1113" s="9">
        <v>1925</v>
      </c>
      <c r="D1113" s="10">
        <v>45715</v>
      </c>
      <c r="E1113" s="11" t="str">
        <f>+HYPERLINK("http://trademark.i-assist.jp/data/china/image_1925th/82173218.pdf","82173218")</f>
        <v>82173218</v>
      </c>
      <c r="F1113" s="9" t="s">
        <v>3036</v>
      </c>
      <c r="G1113" s="9" t="s">
        <v>1799</v>
      </c>
      <c r="H1113" s="9" t="s">
        <v>3037</v>
      </c>
      <c r="I1113" s="10">
        <v>45621</v>
      </c>
    </row>
    <row r="1114" spans="1:9" x14ac:dyDescent="0.15">
      <c r="A1114" s="9">
        <v>1113</v>
      </c>
      <c r="B1114" s="9" t="s">
        <v>9</v>
      </c>
      <c r="C1114" s="9">
        <v>1925</v>
      </c>
      <c r="D1114" s="10">
        <v>45715</v>
      </c>
      <c r="E1114" s="11" t="str">
        <f>+HYPERLINK("http://trademark.i-assist.jp/data/china/image_1925th/82173220.pdf","82173220")</f>
        <v>82173220</v>
      </c>
      <c r="F1114" s="9" t="s">
        <v>3038</v>
      </c>
      <c r="G1114" s="9" t="s">
        <v>2898</v>
      </c>
      <c r="H1114" s="9" t="s">
        <v>3039</v>
      </c>
      <c r="I1114" s="10">
        <v>45621</v>
      </c>
    </row>
    <row r="1115" spans="1:9" x14ac:dyDescent="0.15">
      <c r="A1115" s="9">
        <v>1114</v>
      </c>
      <c r="B1115" s="9" t="s">
        <v>9</v>
      </c>
      <c r="C1115" s="9">
        <v>1925</v>
      </c>
      <c r="D1115" s="10">
        <v>45715</v>
      </c>
      <c r="E1115" s="11" t="str">
        <f>+HYPERLINK("http://trademark.i-assist.jp/data/china/image_1925th/82173768.pdf","82173768")</f>
        <v>82173768</v>
      </c>
      <c r="F1115" s="9" t="s">
        <v>3040</v>
      </c>
      <c r="G1115" s="9" t="s">
        <v>2923</v>
      </c>
      <c r="H1115" s="12" t="s">
        <v>3041</v>
      </c>
      <c r="I1115" s="10">
        <v>45621</v>
      </c>
    </row>
    <row r="1116" spans="1:9" x14ac:dyDescent="0.15">
      <c r="A1116" s="9">
        <v>1115</v>
      </c>
      <c r="B1116" s="9" t="s">
        <v>9</v>
      </c>
      <c r="C1116" s="9">
        <v>1925</v>
      </c>
      <c r="D1116" s="10">
        <v>45715</v>
      </c>
      <c r="E1116" s="11" t="str">
        <f>+HYPERLINK("http://trademark.i-assist.jp/data/china/image_1925th/82173904.pdf","82173904")</f>
        <v>82173904</v>
      </c>
      <c r="F1116" s="12" t="s">
        <v>3042</v>
      </c>
      <c r="G1116" s="9" t="s">
        <v>3043</v>
      </c>
      <c r="H1116" s="9" t="s">
        <v>3044</v>
      </c>
      <c r="I1116" s="10">
        <v>45621</v>
      </c>
    </row>
    <row r="1117" spans="1:9" x14ac:dyDescent="0.15">
      <c r="A1117" s="9">
        <v>1116</v>
      </c>
      <c r="B1117" s="9" t="s">
        <v>9</v>
      </c>
      <c r="C1117" s="9">
        <v>1925</v>
      </c>
      <c r="D1117" s="10">
        <v>45715</v>
      </c>
      <c r="E1117" s="11" t="str">
        <f>+HYPERLINK("http://trademark.i-assist.jp/data/china/image_1925th/82174000.pdf","82174000")</f>
        <v>82174000</v>
      </c>
      <c r="F1117" s="9" t="s">
        <v>3045</v>
      </c>
      <c r="G1117" s="9" t="s">
        <v>3046</v>
      </c>
      <c r="H1117" s="9" t="s">
        <v>3047</v>
      </c>
      <c r="I1117" s="10">
        <v>45621</v>
      </c>
    </row>
    <row r="1118" spans="1:9" x14ac:dyDescent="0.15">
      <c r="A1118" s="9">
        <v>1117</v>
      </c>
      <c r="B1118" s="9" t="s">
        <v>9</v>
      </c>
      <c r="C1118" s="9">
        <v>1925</v>
      </c>
      <c r="D1118" s="10">
        <v>45715</v>
      </c>
      <c r="E1118" s="11" t="str">
        <f>+HYPERLINK("http://trademark.i-assist.jp/data/china/image_1925th/82174042.pdf","82174042")</f>
        <v>82174042</v>
      </c>
      <c r="F1118" s="9" t="s">
        <v>3048</v>
      </c>
      <c r="G1118" s="12" t="s">
        <v>2755</v>
      </c>
      <c r="H1118" s="9" t="s">
        <v>3049</v>
      </c>
      <c r="I1118" s="10">
        <v>45621</v>
      </c>
    </row>
    <row r="1119" spans="1:9" x14ac:dyDescent="0.15">
      <c r="A1119" s="9">
        <v>1118</v>
      </c>
      <c r="B1119" s="9" t="s">
        <v>9</v>
      </c>
      <c r="C1119" s="9">
        <v>1925</v>
      </c>
      <c r="D1119" s="10">
        <v>45715</v>
      </c>
      <c r="E1119" s="11" t="str">
        <f>+HYPERLINK("http://trademark.i-assist.jp/data/china/image_1925th/82174791.pdf","82174791")</f>
        <v>82174791</v>
      </c>
      <c r="F1119" s="9" t="s">
        <v>3050</v>
      </c>
      <c r="G1119" s="9" t="s">
        <v>3051</v>
      </c>
      <c r="H1119" s="9" t="s">
        <v>3052</v>
      </c>
      <c r="I1119" s="10">
        <v>45621</v>
      </c>
    </row>
    <row r="1120" spans="1:9" x14ac:dyDescent="0.15">
      <c r="A1120" s="9">
        <v>1119</v>
      </c>
      <c r="B1120" s="9" t="s">
        <v>9</v>
      </c>
      <c r="C1120" s="9">
        <v>1925</v>
      </c>
      <c r="D1120" s="10">
        <v>45715</v>
      </c>
      <c r="E1120" s="11" t="str">
        <f>+HYPERLINK("http://trademark.i-assist.jp/data/china/image_1925th/82175434.pdf","82175434")</f>
        <v>82175434</v>
      </c>
      <c r="F1120" s="12" t="s">
        <v>57</v>
      </c>
      <c r="G1120" s="9" t="s">
        <v>3053</v>
      </c>
      <c r="H1120" s="9" t="s">
        <v>3054</v>
      </c>
      <c r="I1120" s="10">
        <v>45622</v>
      </c>
    </row>
    <row r="1121" spans="1:9" x14ac:dyDescent="0.15">
      <c r="A1121" s="9">
        <v>1120</v>
      </c>
      <c r="B1121" s="9" t="s">
        <v>9</v>
      </c>
      <c r="C1121" s="9">
        <v>1925</v>
      </c>
      <c r="D1121" s="10">
        <v>45715</v>
      </c>
      <c r="E1121" s="11" t="str">
        <f>+HYPERLINK("http://trademark.i-assist.jp/data/china/image_1925th/82175814.pdf","82175814")</f>
        <v>82175814</v>
      </c>
      <c r="F1121" s="9" t="s">
        <v>3055</v>
      </c>
      <c r="G1121" s="9" t="s">
        <v>3056</v>
      </c>
      <c r="H1121" s="9" t="s">
        <v>3057</v>
      </c>
      <c r="I1121" s="10">
        <v>45622</v>
      </c>
    </row>
    <row r="1122" spans="1:9" x14ac:dyDescent="0.15">
      <c r="A1122" s="9">
        <v>1121</v>
      </c>
      <c r="B1122" s="9" t="s">
        <v>9</v>
      </c>
      <c r="C1122" s="9">
        <v>1925</v>
      </c>
      <c r="D1122" s="10">
        <v>45715</v>
      </c>
      <c r="E1122" s="11" t="str">
        <f>+HYPERLINK("http://trademark.i-assist.jp/data/china/image_1925th/82176101.pdf","82176101")</f>
        <v>82176101</v>
      </c>
      <c r="F1122" s="12" t="s">
        <v>3058</v>
      </c>
      <c r="G1122" s="9" t="s">
        <v>3059</v>
      </c>
      <c r="H1122" s="9" t="s">
        <v>3060</v>
      </c>
      <c r="I1122" s="10">
        <v>45622</v>
      </c>
    </row>
    <row r="1123" spans="1:9" x14ac:dyDescent="0.15">
      <c r="A1123" s="9">
        <v>1122</v>
      </c>
      <c r="B1123" s="9" t="s">
        <v>9</v>
      </c>
      <c r="C1123" s="9">
        <v>1925</v>
      </c>
      <c r="D1123" s="10">
        <v>45715</v>
      </c>
      <c r="E1123" s="11" t="str">
        <f>+HYPERLINK("http://trademark.i-assist.jp/data/china/image_1925th/82176417.pdf","82176417")</f>
        <v>82176417</v>
      </c>
      <c r="F1123" s="9" t="s">
        <v>3061</v>
      </c>
      <c r="G1123" s="12" t="s">
        <v>3062</v>
      </c>
      <c r="H1123" s="9" t="s">
        <v>3063</v>
      </c>
      <c r="I1123" s="10">
        <v>45622</v>
      </c>
    </row>
    <row r="1124" spans="1:9" x14ac:dyDescent="0.15">
      <c r="A1124" s="9">
        <v>1123</v>
      </c>
      <c r="B1124" s="9" t="s">
        <v>9</v>
      </c>
      <c r="C1124" s="9">
        <v>1925</v>
      </c>
      <c r="D1124" s="10">
        <v>45715</v>
      </c>
      <c r="E1124" s="11" t="str">
        <f>+HYPERLINK("http://trademark.i-assist.jp/data/china/image_1925th/82177377.pdf","82177377")</f>
        <v>82177377</v>
      </c>
      <c r="F1124" s="9" t="s">
        <v>3064</v>
      </c>
      <c r="G1124" s="9" t="s">
        <v>3065</v>
      </c>
      <c r="H1124" s="9" t="s">
        <v>3066</v>
      </c>
      <c r="I1124" s="10">
        <v>45622</v>
      </c>
    </row>
    <row r="1125" spans="1:9" x14ac:dyDescent="0.15">
      <c r="A1125" s="9">
        <v>1124</v>
      </c>
      <c r="B1125" s="9" t="s">
        <v>9</v>
      </c>
      <c r="C1125" s="9">
        <v>1925</v>
      </c>
      <c r="D1125" s="10">
        <v>45715</v>
      </c>
      <c r="E1125" s="11" t="str">
        <f>+HYPERLINK("http://trademark.i-assist.jp/data/china/image_1925th/82177752.pdf","82177752")</f>
        <v>82177752</v>
      </c>
      <c r="F1125" s="9" t="s">
        <v>3067</v>
      </c>
      <c r="G1125" s="12" t="s">
        <v>3068</v>
      </c>
      <c r="H1125" s="12" t="s">
        <v>3069</v>
      </c>
      <c r="I1125" s="10">
        <v>45622</v>
      </c>
    </row>
    <row r="1126" spans="1:9" x14ac:dyDescent="0.15">
      <c r="A1126" s="9">
        <v>1125</v>
      </c>
      <c r="B1126" s="9" t="s">
        <v>9</v>
      </c>
      <c r="C1126" s="9">
        <v>1925</v>
      </c>
      <c r="D1126" s="10">
        <v>45715</v>
      </c>
      <c r="E1126" s="11" t="str">
        <f>+HYPERLINK("http://trademark.i-assist.jp/data/china/image_1925th/82177844.pdf","82177844")</f>
        <v>82177844</v>
      </c>
      <c r="F1126" s="12" t="s">
        <v>3070</v>
      </c>
      <c r="G1126" s="12" t="s">
        <v>3071</v>
      </c>
      <c r="H1126" s="9" t="s">
        <v>3072</v>
      </c>
      <c r="I1126" s="10">
        <v>45622</v>
      </c>
    </row>
    <row r="1127" spans="1:9" x14ac:dyDescent="0.15">
      <c r="A1127" s="9">
        <v>1126</v>
      </c>
      <c r="B1127" s="9" t="s">
        <v>9</v>
      </c>
      <c r="C1127" s="9">
        <v>1925</v>
      </c>
      <c r="D1127" s="10">
        <v>45715</v>
      </c>
      <c r="E1127" s="11" t="str">
        <f>+HYPERLINK("http://trademark.i-assist.jp/data/china/image_1925th/82178065.pdf","82178065")</f>
        <v>82178065</v>
      </c>
      <c r="F1127" s="9" t="s">
        <v>3073</v>
      </c>
      <c r="G1127" s="9" t="s">
        <v>3074</v>
      </c>
      <c r="H1127" s="9" t="s">
        <v>3075</v>
      </c>
      <c r="I1127" s="10">
        <v>45622</v>
      </c>
    </row>
    <row r="1128" spans="1:9" x14ac:dyDescent="0.15">
      <c r="A1128" s="9">
        <v>1127</v>
      </c>
      <c r="B1128" s="9" t="s">
        <v>9</v>
      </c>
      <c r="C1128" s="9">
        <v>1925</v>
      </c>
      <c r="D1128" s="10">
        <v>45715</v>
      </c>
      <c r="E1128" s="11" t="str">
        <f>+HYPERLINK("http://trademark.i-assist.jp/data/china/image_1925th/82178094.pdf","82178094")</f>
        <v>82178094</v>
      </c>
      <c r="F1128" s="12" t="s">
        <v>3076</v>
      </c>
      <c r="G1128" s="12" t="s">
        <v>3077</v>
      </c>
      <c r="H1128" s="12" t="s">
        <v>3078</v>
      </c>
      <c r="I1128" s="10">
        <v>45622</v>
      </c>
    </row>
    <row r="1129" spans="1:9" x14ac:dyDescent="0.15">
      <c r="A1129" s="9">
        <v>1128</v>
      </c>
      <c r="B1129" s="9" t="s">
        <v>9</v>
      </c>
      <c r="C1129" s="9">
        <v>1925</v>
      </c>
      <c r="D1129" s="10">
        <v>45715</v>
      </c>
      <c r="E1129" s="11" t="str">
        <f>+HYPERLINK("http://trademark.i-assist.jp/data/china/image_1925th/82178274.pdf","82178274")</f>
        <v>82178274</v>
      </c>
      <c r="F1129" s="9" t="s">
        <v>3079</v>
      </c>
      <c r="G1129" s="12" t="s">
        <v>3080</v>
      </c>
      <c r="H1129" s="9" t="s">
        <v>3081</v>
      </c>
      <c r="I1129" s="10">
        <v>45622</v>
      </c>
    </row>
    <row r="1130" spans="1:9" x14ac:dyDescent="0.15">
      <c r="A1130" s="9">
        <v>1129</v>
      </c>
      <c r="B1130" s="9" t="s">
        <v>9</v>
      </c>
      <c r="C1130" s="9">
        <v>1925</v>
      </c>
      <c r="D1130" s="10">
        <v>45715</v>
      </c>
      <c r="E1130" s="11" t="str">
        <f>+HYPERLINK("http://trademark.i-assist.jp/data/china/image_1925th/82178346.pdf","82178346")</f>
        <v>82178346</v>
      </c>
      <c r="F1130" s="9" t="s">
        <v>3082</v>
      </c>
      <c r="G1130" s="12" t="s">
        <v>3080</v>
      </c>
      <c r="H1130" s="9" t="s">
        <v>3083</v>
      </c>
      <c r="I1130" s="10">
        <v>45622</v>
      </c>
    </row>
    <row r="1131" spans="1:9" x14ac:dyDescent="0.15">
      <c r="A1131" s="9">
        <v>1130</v>
      </c>
      <c r="B1131" s="9" t="s">
        <v>9</v>
      </c>
      <c r="C1131" s="9">
        <v>1925</v>
      </c>
      <c r="D1131" s="10">
        <v>45715</v>
      </c>
      <c r="E1131" s="11" t="str">
        <f>+HYPERLINK("http://trademark.i-assist.jp/data/china/image_1925th/82178470.pdf","82178470")</f>
        <v>82178470</v>
      </c>
      <c r="F1131" s="9" t="s">
        <v>3084</v>
      </c>
      <c r="G1131" s="9" t="s">
        <v>3085</v>
      </c>
      <c r="H1131" s="9" t="s">
        <v>3086</v>
      </c>
      <c r="I1131" s="10">
        <v>45622</v>
      </c>
    </row>
    <row r="1132" spans="1:9" x14ac:dyDescent="0.15">
      <c r="A1132" s="9">
        <v>1131</v>
      </c>
      <c r="B1132" s="9" t="s">
        <v>9</v>
      </c>
      <c r="C1132" s="9">
        <v>1925</v>
      </c>
      <c r="D1132" s="10">
        <v>45715</v>
      </c>
      <c r="E1132" s="11" t="str">
        <f>+HYPERLINK("http://trademark.i-assist.jp/data/china/image_1925th/82178827.pdf","82178827")</f>
        <v>82178827</v>
      </c>
      <c r="F1132" s="9" t="s">
        <v>3087</v>
      </c>
      <c r="G1132" s="9" t="s">
        <v>3029</v>
      </c>
      <c r="H1132" s="9" t="s">
        <v>3088</v>
      </c>
      <c r="I1132" s="10">
        <v>45622</v>
      </c>
    </row>
    <row r="1133" spans="1:9" x14ac:dyDescent="0.15">
      <c r="A1133" s="9">
        <v>1132</v>
      </c>
      <c r="B1133" s="9" t="s">
        <v>9</v>
      </c>
      <c r="C1133" s="9">
        <v>1925</v>
      </c>
      <c r="D1133" s="10">
        <v>45715</v>
      </c>
      <c r="E1133" s="11" t="str">
        <f>+HYPERLINK("http://trademark.i-assist.jp/data/china/image_1925th/82179319.pdf","82179319")</f>
        <v>82179319</v>
      </c>
      <c r="F1133" s="12" t="s">
        <v>57</v>
      </c>
      <c r="G1133" s="9" t="s">
        <v>3089</v>
      </c>
      <c r="H1133" s="9" t="s">
        <v>3090</v>
      </c>
      <c r="I1133" s="10">
        <v>45622</v>
      </c>
    </row>
    <row r="1134" spans="1:9" x14ac:dyDescent="0.15">
      <c r="A1134" s="9">
        <v>1133</v>
      </c>
      <c r="B1134" s="9" t="s">
        <v>9</v>
      </c>
      <c r="C1134" s="9">
        <v>1925</v>
      </c>
      <c r="D1134" s="10">
        <v>45715</v>
      </c>
      <c r="E1134" s="11" t="str">
        <f>+HYPERLINK("http://trademark.i-assist.jp/data/china/image_1925th/82179469.pdf","82179469")</f>
        <v>82179469</v>
      </c>
      <c r="F1134" s="12" t="s">
        <v>3091</v>
      </c>
      <c r="G1134" s="9" t="s">
        <v>3092</v>
      </c>
      <c r="H1134" s="9" t="s">
        <v>3093</v>
      </c>
      <c r="I1134" s="10">
        <v>45622</v>
      </c>
    </row>
    <row r="1135" spans="1:9" x14ac:dyDescent="0.15">
      <c r="A1135" s="9">
        <v>1134</v>
      </c>
      <c r="B1135" s="9" t="s">
        <v>9</v>
      </c>
      <c r="C1135" s="9">
        <v>1925</v>
      </c>
      <c r="D1135" s="10">
        <v>45715</v>
      </c>
      <c r="E1135" s="11" t="str">
        <f>+HYPERLINK("http://trademark.i-assist.jp/data/china/image_1925th/82179566.pdf","82179566")</f>
        <v>82179566</v>
      </c>
      <c r="F1135" s="9" t="s">
        <v>3094</v>
      </c>
      <c r="G1135" s="9" t="s">
        <v>3095</v>
      </c>
      <c r="H1135" s="9" t="s">
        <v>3096</v>
      </c>
      <c r="I1135" s="10">
        <v>45622</v>
      </c>
    </row>
    <row r="1136" spans="1:9" x14ac:dyDescent="0.15">
      <c r="A1136" s="9">
        <v>1135</v>
      </c>
      <c r="B1136" s="9" t="s">
        <v>9</v>
      </c>
      <c r="C1136" s="9">
        <v>1925</v>
      </c>
      <c r="D1136" s="10">
        <v>45715</v>
      </c>
      <c r="E1136" s="11" t="str">
        <f>+HYPERLINK("http://trademark.i-assist.jp/data/china/image_1925th/82179685.pdf","82179685")</f>
        <v>82179685</v>
      </c>
      <c r="F1136" s="9" t="s">
        <v>3097</v>
      </c>
      <c r="G1136" s="9" t="s">
        <v>3098</v>
      </c>
      <c r="H1136" s="9" t="s">
        <v>3099</v>
      </c>
      <c r="I1136" s="10">
        <v>45622</v>
      </c>
    </row>
    <row r="1137" spans="1:9" x14ac:dyDescent="0.15">
      <c r="A1137" s="9">
        <v>1136</v>
      </c>
      <c r="B1137" s="9" t="s">
        <v>9</v>
      </c>
      <c r="C1137" s="9">
        <v>1925</v>
      </c>
      <c r="D1137" s="10">
        <v>45715</v>
      </c>
      <c r="E1137" s="11" t="str">
        <f>+HYPERLINK("http://trademark.i-assist.jp/data/china/image_1925th/82179773.pdf","82179773")</f>
        <v>82179773</v>
      </c>
      <c r="F1137" s="9" t="s">
        <v>3100</v>
      </c>
      <c r="G1137" s="9" t="s">
        <v>3101</v>
      </c>
      <c r="H1137" s="9" t="s">
        <v>3102</v>
      </c>
      <c r="I1137" s="10">
        <v>45622</v>
      </c>
    </row>
    <row r="1138" spans="1:9" x14ac:dyDescent="0.15">
      <c r="A1138" s="9">
        <v>1137</v>
      </c>
      <c r="B1138" s="9" t="s">
        <v>9</v>
      </c>
      <c r="C1138" s="9">
        <v>1925</v>
      </c>
      <c r="D1138" s="10">
        <v>45715</v>
      </c>
      <c r="E1138" s="11" t="str">
        <f>+HYPERLINK("http://trademark.i-assist.jp/data/china/image_1925th/82179779.pdf","82179779")</f>
        <v>82179779</v>
      </c>
      <c r="F1138" s="9" t="s">
        <v>3103</v>
      </c>
      <c r="G1138" s="9" t="s">
        <v>3104</v>
      </c>
      <c r="H1138" s="9" t="s">
        <v>3105</v>
      </c>
      <c r="I1138" s="10">
        <v>45622</v>
      </c>
    </row>
    <row r="1139" spans="1:9" x14ac:dyDescent="0.15">
      <c r="A1139" s="9">
        <v>1138</v>
      </c>
      <c r="B1139" s="9" t="s">
        <v>9</v>
      </c>
      <c r="C1139" s="9">
        <v>1925</v>
      </c>
      <c r="D1139" s="10">
        <v>45715</v>
      </c>
      <c r="E1139" s="11" t="str">
        <f>+HYPERLINK("http://trademark.i-assist.jp/data/china/image_1925th/82179899.pdf","82179899")</f>
        <v>82179899</v>
      </c>
      <c r="F1139" s="9" t="s">
        <v>3106</v>
      </c>
      <c r="G1139" s="9" t="s">
        <v>3107</v>
      </c>
      <c r="H1139" s="9" t="s">
        <v>3108</v>
      </c>
      <c r="I1139" s="10">
        <v>45622</v>
      </c>
    </row>
    <row r="1140" spans="1:9" x14ac:dyDescent="0.15">
      <c r="A1140" s="9">
        <v>1139</v>
      </c>
      <c r="B1140" s="9" t="s">
        <v>9</v>
      </c>
      <c r="C1140" s="9">
        <v>1925</v>
      </c>
      <c r="D1140" s="10">
        <v>45715</v>
      </c>
      <c r="E1140" s="11" t="str">
        <f>+HYPERLINK("http://trademark.i-assist.jp/data/china/image_1925th/82179907.pdf","82179907")</f>
        <v>82179907</v>
      </c>
      <c r="F1140" s="12" t="s">
        <v>3109</v>
      </c>
      <c r="G1140" s="9" t="s">
        <v>3107</v>
      </c>
      <c r="H1140" s="9" t="s">
        <v>3110</v>
      </c>
      <c r="I1140" s="10">
        <v>45622</v>
      </c>
    </row>
    <row r="1141" spans="1:9" x14ac:dyDescent="0.15">
      <c r="A1141" s="9">
        <v>1140</v>
      </c>
      <c r="B1141" s="9" t="s">
        <v>9</v>
      </c>
      <c r="C1141" s="9">
        <v>1925</v>
      </c>
      <c r="D1141" s="10">
        <v>45715</v>
      </c>
      <c r="E1141" s="11" t="str">
        <f>+HYPERLINK("http://trademark.i-assist.jp/data/china/image_1925th/82180392.pdf","82180392")</f>
        <v>82180392</v>
      </c>
      <c r="F1141" s="9" t="s">
        <v>3111</v>
      </c>
      <c r="G1141" s="9" t="s">
        <v>3107</v>
      </c>
      <c r="H1141" s="9" t="s">
        <v>3112</v>
      </c>
      <c r="I1141" s="10">
        <v>45622</v>
      </c>
    </row>
    <row r="1142" spans="1:9" x14ac:dyDescent="0.15">
      <c r="A1142" s="9">
        <v>1141</v>
      </c>
      <c r="B1142" s="9" t="s">
        <v>9</v>
      </c>
      <c r="C1142" s="9">
        <v>1925</v>
      </c>
      <c r="D1142" s="10">
        <v>45715</v>
      </c>
      <c r="E1142" s="11" t="str">
        <f>+HYPERLINK("http://trademark.i-assist.jp/data/china/image_1925th/82180451.pdf","82180451")</f>
        <v>82180451</v>
      </c>
      <c r="F1142" s="9" t="s">
        <v>3113</v>
      </c>
      <c r="G1142" s="12" t="s">
        <v>3114</v>
      </c>
      <c r="H1142" s="12" t="s">
        <v>3115</v>
      </c>
      <c r="I1142" s="10">
        <v>45622</v>
      </c>
    </row>
    <row r="1143" spans="1:9" x14ac:dyDescent="0.15">
      <c r="A1143" s="9">
        <v>1142</v>
      </c>
      <c r="B1143" s="9" t="s">
        <v>9</v>
      </c>
      <c r="C1143" s="9">
        <v>1925</v>
      </c>
      <c r="D1143" s="10">
        <v>45715</v>
      </c>
      <c r="E1143" s="11" t="str">
        <f>+HYPERLINK("http://trademark.i-assist.jp/data/china/image_1925th/82180455.pdf","82180455")</f>
        <v>82180455</v>
      </c>
      <c r="F1143" s="9" t="s">
        <v>3116</v>
      </c>
      <c r="G1143" s="12" t="s">
        <v>3114</v>
      </c>
      <c r="H1143" s="9" t="s">
        <v>3117</v>
      </c>
      <c r="I1143" s="10">
        <v>45622</v>
      </c>
    </row>
    <row r="1144" spans="1:9" x14ac:dyDescent="0.15">
      <c r="A1144" s="9">
        <v>1143</v>
      </c>
      <c r="B1144" s="9" t="s">
        <v>9</v>
      </c>
      <c r="C1144" s="9">
        <v>1925</v>
      </c>
      <c r="D1144" s="10">
        <v>45715</v>
      </c>
      <c r="E1144" s="11" t="str">
        <f>+HYPERLINK("http://trademark.i-assist.jp/data/china/image_1925th/82180801.pdf","82180801")</f>
        <v>82180801</v>
      </c>
      <c r="F1144" s="9" t="s">
        <v>3118</v>
      </c>
      <c r="G1144" s="9" t="s">
        <v>3119</v>
      </c>
      <c r="H1144" s="9" t="s">
        <v>3120</v>
      </c>
      <c r="I1144" s="10">
        <v>45622</v>
      </c>
    </row>
    <row r="1145" spans="1:9" x14ac:dyDescent="0.15">
      <c r="A1145" s="9">
        <v>1144</v>
      </c>
      <c r="B1145" s="9" t="s">
        <v>9</v>
      </c>
      <c r="C1145" s="9">
        <v>1925</v>
      </c>
      <c r="D1145" s="10">
        <v>45715</v>
      </c>
      <c r="E1145" s="11" t="str">
        <f>+HYPERLINK("http://trademark.i-assist.jp/data/china/image_1925th/82180859.pdf","82180859")</f>
        <v>82180859</v>
      </c>
      <c r="F1145" s="9" t="s">
        <v>3121</v>
      </c>
      <c r="G1145" s="9" t="s">
        <v>3122</v>
      </c>
      <c r="H1145" s="9" t="s">
        <v>3123</v>
      </c>
      <c r="I1145" s="10">
        <v>45622</v>
      </c>
    </row>
    <row r="1146" spans="1:9" x14ac:dyDescent="0.15">
      <c r="A1146" s="9">
        <v>1145</v>
      </c>
      <c r="B1146" s="9" t="s">
        <v>9</v>
      </c>
      <c r="C1146" s="9">
        <v>1925</v>
      </c>
      <c r="D1146" s="10">
        <v>45715</v>
      </c>
      <c r="E1146" s="11" t="str">
        <f>+HYPERLINK("http://trademark.i-assist.jp/data/china/image_1925th/82181385.pdf","82181385")</f>
        <v>82181385</v>
      </c>
      <c r="F1146" s="12" t="s">
        <v>3124</v>
      </c>
      <c r="G1146" s="12" t="s">
        <v>3125</v>
      </c>
      <c r="H1146" s="9" t="s">
        <v>3126</v>
      </c>
      <c r="I1146" s="10">
        <v>45622</v>
      </c>
    </row>
    <row r="1147" spans="1:9" x14ac:dyDescent="0.15">
      <c r="A1147" s="9">
        <v>1146</v>
      </c>
      <c r="B1147" s="9" t="s">
        <v>9</v>
      </c>
      <c r="C1147" s="9">
        <v>1925</v>
      </c>
      <c r="D1147" s="10">
        <v>45715</v>
      </c>
      <c r="E1147" s="11" t="str">
        <f>+HYPERLINK("http://trademark.i-assist.jp/data/china/image_1925th/82181508.pdf","82181508")</f>
        <v>82181508</v>
      </c>
      <c r="F1147" s="9" t="s">
        <v>3127</v>
      </c>
      <c r="G1147" s="9" t="s">
        <v>3128</v>
      </c>
      <c r="H1147" s="9" t="s">
        <v>3129</v>
      </c>
      <c r="I1147" s="10">
        <v>45622</v>
      </c>
    </row>
    <row r="1148" spans="1:9" x14ac:dyDescent="0.15">
      <c r="A1148" s="9">
        <v>1147</v>
      </c>
      <c r="B1148" s="9" t="s">
        <v>9</v>
      </c>
      <c r="C1148" s="9">
        <v>1925</v>
      </c>
      <c r="D1148" s="10">
        <v>45715</v>
      </c>
      <c r="E1148" s="11" t="str">
        <f>+HYPERLINK("http://trademark.i-assist.jp/data/china/image_1925th/82182024.pdf","82182024")</f>
        <v>82182024</v>
      </c>
      <c r="F1148" s="9" t="s">
        <v>3130</v>
      </c>
      <c r="G1148" s="9" t="s">
        <v>3131</v>
      </c>
      <c r="H1148" s="9" t="s">
        <v>3132</v>
      </c>
      <c r="I1148" s="10">
        <v>45622</v>
      </c>
    </row>
    <row r="1149" spans="1:9" x14ac:dyDescent="0.15">
      <c r="A1149" s="9">
        <v>1148</v>
      </c>
      <c r="B1149" s="9" t="s">
        <v>9</v>
      </c>
      <c r="C1149" s="9">
        <v>1925</v>
      </c>
      <c r="D1149" s="10">
        <v>45715</v>
      </c>
      <c r="E1149" s="11" t="str">
        <f>+HYPERLINK("http://trademark.i-assist.jp/data/china/image_1925th/82182026.pdf","82182026")</f>
        <v>82182026</v>
      </c>
      <c r="F1149" s="9" t="s">
        <v>3133</v>
      </c>
      <c r="G1149" s="9" t="s">
        <v>3134</v>
      </c>
      <c r="H1149" s="9" t="s">
        <v>3135</v>
      </c>
      <c r="I1149" s="10">
        <v>45622</v>
      </c>
    </row>
    <row r="1150" spans="1:9" x14ac:dyDescent="0.15">
      <c r="A1150" s="9">
        <v>1149</v>
      </c>
      <c r="B1150" s="9" t="s">
        <v>9</v>
      </c>
      <c r="C1150" s="9">
        <v>1925</v>
      </c>
      <c r="D1150" s="10">
        <v>45715</v>
      </c>
      <c r="E1150" s="11" t="str">
        <f>+HYPERLINK("http://trademark.i-assist.jp/data/china/image_1925th/82182620.pdf","82182620")</f>
        <v>82182620</v>
      </c>
      <c r="F1150" s="12" t="s">
        <v>3136</v>
      </c>
      <c r="G1150" s="9" t="s">
        <v>3137</v>
      </c>
      <c r="H1150" s="9" t="s">
        <v>3138</v>
      </c>
      <c r="I1150" s="10">
        <v>45622</v>
      </c>
    </row>
    <row r="1151" spans="1:9" x14ac:dyDescent="0.15">
      <c r="A1151" s="9">
        <v>1150</v>
      </c>
      <c r="B1151" s="9" t="s">
        <v>9</v>
      </c>
      <c r="C1151" s="9">
        <v>1925</v>
      </c>
      <c r="D1151" s="10">
        <v>45715</v>
      </c>
      <c r="E1151" s="11" t="str">
        <f>+HYPERLINK("http://trademark.i-assist.jp/data/china/image_1925th/82183005.pdf","82183005")</f>
        <v>82183005</v>
      </c>
      <c r="F1151" s="9" t="s">
        <v>3139</v>
      </c>
      <c r="G1151" s="9" t="s">
        <v>3140</v>
      </c>
      <c r="H1151" s="9" t="s">
        <v>3141</v>
      </c>
      <c r="I1151" s="10">
        <v>45622</v>
      </c>
    </row>
    <row r="1152" spans="1:9" x14ac:dyDescent="0.15">
      <c r="A1152" s="9">
        <v>1151</v>
      </c>
      <c r="B1152" s="9" t="s">
        <v>9</v>
      </c>
      <c r="C1152" s="9">
        <v>1925</v>
      </c>
      <c r="D1152" s="10">
        <v>45715</v>
      </c>
      <c r="E1152" s="11" t="str">
        <f>+HYPERLINK("http://trademark.i-assist.jp/data/china/image_1925th/82183028.pdf","82183028")</f>
        <v>82183028</v>
      </c>
      <c r="F1152" s="9" t="s">
        <v>3142</v>
      </c>
      <c r="G1152" s="9" t="s">
        <v>3143</v>
      </c>
      <c r="H1152" s="9" t="s">
        <v>3144</v>
      </c>
      <c r="I1152" s="10">
        <v>45622</v>
      </c>
    </row>
    <row r="1153" spans="1:9" x14ac:dyDescent="0.15">
      <c r="A1153" s="9">
        <v>1152</v>
      </c>
      <c r="B1153" s="9" t="s">
        <v>9</v>
      </c>
      <c r="C1153" s="9">
        <v>1925</v>
      </c>
      <c r="D1153" s="10">
        <v>45715</v>
      </c>
      <c r="E1153" s="11" t="str">
        <f>+HYPERLINK("http://trademark.i-assist.jp/data/china/image_1925th/82183070.pdf","82183070")</f>
        <v>82183070</v>
      </c>
      <c r="F1153" s="9" t="s">
        <v>3145</v>
      </c>
      <c r="G1153" s="12" t="s">
        <v>3146</v>
      </c>
      <c r="H1153" s="9" t="s">
        <v>3147</v>
      </c>
      <c r="I1153" s="10">
        <v>45622</v>
      </c>
    </row>
    <row r="1154" spans="1:9" x14ac:dyDescent="0.15">
      <c r="A1154" s="9">
        <v>1153</v>
      </c>
      <c r="B1154" s="9" t="s">
        <v>9</v>
      </c>
      <c r="C1154" s="9">
        <v>1925</v>
      </c>
      <c r="D1154" s="10">
        <v>45715</v>
      </c>
      <c r="E1154" s="11" t="str">
        <f>+HYPERLINK("http://trademark.i-assist.jp/data/china/image_1925th/82183179.pdf","82183179")</f>
        <v>82183179</v>
      </c>
      <c r="F1154" s="9" t="s">
        <v>3148</v>
      </c>
      <c r="G1154" s="9" t="s">
        <v>3149</v>
      </c>
      <c r="H1154" s="9" t="s">
        <v>3150</v>
      </c>
      <c r="I1154" s="10">
        <v>45622</v>
      </c>
    </row>
    <row r="1155" spans="1:9" x14ac:dyDescent="0.15">
      <c r="A1155" s="9">
        <v>1154</v>
      </c>
      <c r="B1155" s="9" t="s">
        <v>9</v>
      </c>
      <c r="C1155" s="9">
        <v>1925</v>
      </c>
      <c r="D1155" s="10">
        <v>45715</v>
      </c>
      <c r="E1155" s="11" t="str">
        <f>+HYPERLINK("http://trademark.i-assist.jp/data/china/image_1925th/82183310.pdf","82183310")</f>
        <v>82183310</v>
      </c>
      <c r="F1155" s="12" t="s">
        <v>3151</v>
      </c>
      <c r="G1155" s="9" t="s">
        <v>3152</v>
      </c>
      <c r="H1155" s="9" t="s">
        <v>3153</v>
      </c>
      <c r="I1155" s="10">
        <v>45622</v>
      </c>
    </row>
    <row r="1156" spans="1:9" x14ac:dyDescent="0.15">
      <c r="A1156" s="9">
        <v>1155</v>
      </c>
      <c r="B1156" s="9" t="s">
        <v>9</v>
      </c>
      <c r="C1156" s="9">
        <v>1925</v>
      </c>
      <c r="D1156" s="10">
        <v>45715</v>
      </c>
      <c r="E1156" s="11" t="str">
        <f>+HYPERLINK("http://trademark.i-assist.jp/data/china/image_1925th/82183766.pdf","82183766")</f>
        <v>82183766</v>
      </c>
      <c r="F1156" s="12" t="s">
        <v>3154</v>
      </c>
      <c r="G1156" s="9" t="s">
        <v>3155</v>
      </c>
      <c r="H1156" s="9" t="s">
        <v>3156</v>
      </c>
      <c r="I1156" s="10">
        <v>45622</v>
      </c>
    </row>
    <row r="1157" spans="1:9" x14ac:dyDescent="0.15">
      <c r="A1157" s="9">
        <v>1156</v>
      </c>
      <c r="B1157" s="9" t="s">
        <v>9</v>
      </c>
      <c r="C1157" s="9">
        <v>1925</v>
      </c>
      <c r="D1157" s="10">
        <v>45715</v>
      </c>
      <c r="E1157" s="11" t="str">
        <f>+HYPERLINK("http://trademark.i-assist.jp/data/china/image_1925th/82183848.pdf","82183848")</f>
        <v>82183848</v>
      </c>
      <c r="F1157" s="9" t="s">
        <v>3157</v>
      </c>
      <c r="G1157" s="9" t="s">
        <v>3158</v>
      </c>
      <c r="H1157" s="9" t="s">
        <v>3159</v>
      </c>
      <c r="I1157" s="10">
        <v>45622</v>
      </c>
    </row>
    <row r="1158" spans="1:9" x14ac:dyDescent="0.15">
      <c r="A1158" s="9">
        <v>1157</v>
      </c>
      <c r="B1158" s="9" t="s">
        <v>9</v>
      </c>
      <c r="C1158" s="9">
        <v>1925</v>
      </c>
      <c r="D1158" s="10">
        <v>45715</v>
      </c>
      <c r="E1158" s="11" t="str">
        <f>+HYPERLINK("http://trademark.i-assist.jp/data/china/image_1925th/82183946.pdf","82183946")</f>
        <v>82183946</v>
      </c>
      <c r="F1158" s="9" t="s">
        <v>3160</v>
      </c>
      <c r="G1158" s="12" t="s">
        <v>3161</v>
      </c>
      <c r="H1158" s="9" t="s">
        <v>3162</v>
      </c>
      <c r="I1158" s="10">
        <v>45622</v>
      </c>
    </row>
    <row r="1159" spans="1:9" x14ac:dyDescent="0.15">
      <c r="A1159" s="9">
        <v>1158</v>
      </c>
      <c r="B1159" s="9" t="s">
        <v>9</v>
      </c>
      <c r="C1159" s="9">
        <v>1925</v>
      </c>
      <c r="D1159" s="10">
        <v>45715</v>
      </c>
      <c r="E1159" s="11" t="str">
        <f>+HYPERLINK("http://trademark.i-assist.jp/data/china/image_1925th/82184372.pdf","82184372")</f>
        <v>82184372</v>
      </c>
      <c r="F1159" s="9" t="s">
        <v>3163</v>
      </c>
      <c r="G1159" s="9" t="s">
        <v>3164</v>
      </c>
      <c r="H1159" s="9" t="s">
        <v>3165</v>
      </c>
      <c r="I1159" s="10">
        <v>45622</v>
      </c>
    </row>
    <row r="1160" spans="1:9" x14ac:dyDescent="0.15">
      <c r="A1160" s="9">
        <v>1159</v>
      </c>
      <c r="B1160" s="9" t="s">
        <v>9</v>
      </c>
      <c r="C1160" s="9">
        <v>1925</v>
      </c>
      <c r="D1160" s="10">
        <v>45715</v>
      </c>
      <c r="E1160" s="11" t="str">
        <f>+HYPERLINK("http://trademark.i-assist.jp/data/china/image_1925th/82184426.pdf","82184426")</f>
        <v>82184426</v>
      </c>
      <c r="F1160" s="9" t="s">
        <v>3166</v>
      </c>
      <c r="G1160" s="9" t="s">
        <v>3167</v>
      </c>
      <c r="H1160" s="9" t="s">
        <v>3168</v>
      </c>
      <c r="I1160" s="10">
        <v>45622</v>
      </c>
    </row>
    <row r="1161" spans="1:9" x14ac:dyDescent="0.15">
      <c r="A1161" s="9">
        <v>1160</v>
      </c>
      <c r="B1161" s="9" t="s">
        <v>9</v>
      </c>
      <c r="C1161" s="9">
        <v>1925</v>
      </c>
      <c r="D1161" s="10">
        <v>45715</v>
      </c>
      <c r="E1161" s="11" t="str">
        <f>+HYPERLINK("http://trademark.i-assist.jp/data/china/image_1925th/82184570.pdf","82184570")</f>
        <v>82184570</v>
      </c>
      <c r="F1161" s="9" t="s">
        <v>3169</v>
      </c>
      <c r="G1161" s="9" t="s">
        <v>3170</v>
      </c>
      <c r="H1161" s="9" t="s">
        <v>3171</v>
      </c>
      <c r="I1161" s="10">
        <v>45622</v>
      </c>
    </row>
    <row r="1162" spans="1:9" x14ac:dyDescent="0.15">
      <c r="A1162" s="9">
        <v>1161</v>
      </c>
      <c r="B1162" s="9" t="s">
        <v>9</v>
      </c>
      <c r="C1162" s="9">
        <v>1925</v>
      </c>
      <c r="D1162" s="10">
        <v>45715</v>
      </c>
      <c r="E1162" s="11" t="str">
        <f>+HYPERLINK("http://trademark.i-assist.jp/data/china/image_1925th/82184582.pdf","82184582")</f>
        <v>82184582</v>
      </c>
      <c r="F1162" s="9" t="s">
        <v>3172</v>
      </c>
      <c r="G1162" s="9" t="s">
        <v>3173</v>
      </c>
      <c r="H1162" s="9" t="s">
        <v>3174</v>
      </c>
      <c r="I1162" s="10">
        <v>45622</v>
      </c>
    </row>
    <row r="1163" spans="1:9" x14ac:dyDescent="0.15">
      <c r="A1163" s="9">
        <v>1162</v>
      </c>
      <c r="B1163" s="9" t="s">
        <v>9</v>
      </c>
      <c r="C1163" s="9">
        <v>1925</v>
      </c>
      <c r="D1163" s="10">
        <v>45715</v>
      </c>
      <c r="E1163" s="11" t="str">
        <f>+HYPERLINK("http://trademark.i-assist.jp/data/china/image_1925th/82184762.pdf","82184762")</f>
        <v>82184762</v>
      </c>
      <c r="F1163" s="9" t="s">
        <v>3175</v>
      </c>
      <c r="G1163" s="9" t="s">
        <v>3176</v>
      </c>
      <c r="H1163" s="9" t="s">
        <v>3177</v>
      </c>
      <c r="I1163" s="10">
        <v>45622</v>
      </c>
    </row>
    <row r="1164" spans="1:9" x14ac:dyDescent="0.15">
      <c r="A1164" s="9">
        <v>1163</v>
      </c>
      <c r="B1164" s="9" t="s">
        <v>9</v>
      </c>
      <c r="C1164" s="9">
        <v>1925</v>
      </c>
      <c r="D1164" s="10">
        <v>45715</v>
      </c>
      <c r="E1164" s="11" t="str">
        <f>+HYPERLINK("http://trademark.i-assist.jp/data/china/image_1925th/82184781.pdf","82184781")</f>
        <v>82184781</v>
      </c>
      <c r="F1164" s="9" t="s">
        <v>3178</v>
      </c>
      <c r="G1164" s="9" t="s">
        <v>3179</v>
      </c>
      <c r="H1164" s="9" t="s">
        <v>3180</v>
      </c>
      <c r="I1164" s="10">
        <v>45622</v>
      </c>
    </row>
    <row r="1165" spans="1:9" x14ac:dyDescent="0.15">
      <c r="A1165" s="9">
        <v>1164</v>
      </c>
      <c r="B1165" s="9" t="s">
        <v>9</v>
      </c>
      <c r="C1165" s="9">
        <v>1925</v>
      </c>
      <c r="D1165" s="10">
        <v>45715</v>
      </c>
      <c r="E1165" s="11" t="str">
        <f>+HYPERLINK("http://trademark.i-assist.jp/data/china/image_1925th/82184807.pdf","82184807")</f>
        <v>82184807</v>
      </c>
      <c r="F1165" s="12" t="s">
        <v>3181</v>
      </c>
      <c r="G1165" s="12" t="s">
        <v>3182</v>
      </c>
      <c r="H1165" s="12" t="s">
        <v>3183</v>
      </c>
      <c r="I1165" s="10">
        <v>45622</v>
      </c>
    </row>
    <row r="1166" spans="1:9" x14ac:dyDescent="0.15">
      <c r="A1166" s="9">
        <v>1165</v>
      </c>
      <c r="B1166" s="9" t="s">
        <v>9</v>
      </c>
      <c r="C1166" s="9">
        <v>1925</v>
      </c>
      <c r="D1166" s="10">
        <v>45715</v>
      </c>
      <c r="E1166" s="11" t="str">
        <f>+HYPERLINK("http://trademark.i-assist.jp/data/china/image_1925th/82184911.pdf","82184911")</f>
        <v>82184911</v>
      </c>
      <c r="F1166" s="9" t="s">
        <v>3184</v>
      </c>
      <c r="G1166" s="9" t="s">
        <v>3185</v>
      </c>
      <c r="H1166" s="9" t="s">
        <v>3186</v>
      </c>
      <c r="I1166" s="10">
        <v>45622</v>
      </c>
    </row>
    <row r="1167" spans="1:9" x14ac:dyDescent="0.15">
      <c r="A1167" s="9">
        <v>1166</v>
      </c>
      <c r="B1167" s="9" t="s">
        <v>9</v>
      </c>
      <c r="C1167" s="9">
        <v>1925</v>
      </c>
      <c r="D1167" s="10">
        <v>45715</v>
      </c>
      <c r="E1167" s="11" t="str">
        <f>+HYPERLINK("http://trademark.i-assist.jp/data/china/image_1925th/82185264.pdf","82185264")</f>
        <v>82185264</v>
      </c>
      <c r="F1167" s="12" t="s">
        <v>3187</v>
      </c>
      <c r="G1167" s="9" t="s">
        <v>3188</v>
      </c>
      <c r="H1167" s="12" t="s">
        <v>3189</v>
      </c>
      <c r="I1167" s="10">
        <v>45622</v>
      </c>
    </row>
    <row r="1168" spans="1:9" x14ac:dyDescent="0.15">
      <c r="A1168" s="9">
        <v>1167</v>
      </c>
      <c r="B1168" s="9" t="s">
        <v>9</v>
      </c>
      <c r="C1168" s="9">
        <v>1925</v>
      </c>
      <c r="D1168" s="10">
        <v>45715</v>
      </c>
      <c r="E1168" s="11" t="str">
        <f>+HYPERLINK("http://trademark.i-assist.jp/data/china/image_1925th/82185341.pdf","82185341")</f>
        <v>82185341</v>
      </c>
      <c r="F1168" s="12" t="s">
        <v>3190</v>
      </c>
      <c r="G1168" s="9" t="s">
        <v>3191</v>
      </c>
      <c r="H1168" s="9" t="s">
        <v>3192</v>
      </c>
      <c r="I1168" s="10">
        <v>45622</v>
      </c>
    </row>
    <row r="1169" spans="1:9" x14ac:dyDescent="0.15">
      <c r="A1169" s="9">
        <v>1168</v>
      </c>
      <c r="B1169" s="9" t="s">
        <v>9</v>
      </c>
      <c r="C1169" s="9">
        <v>1925</v>
      </c>
      <c r="D1169" s="10">
        <v>45715</v>
      </c>
      <c r="E1169" s="11" t="str">
        <f>+HYPERLINK("http://trademark.i-assist.jp/data/china/image_1925th/82185761.pdf","82185761")</f>
        <v>82185761</v>
      </c>
      <c r="F1169" s="9" t="s">
        <v>3193</v>
      </c>
      <c r="G1169" s="9" t="s">
        <v>3194</v>
      </c>
      <c r="H1169" s="9" t="s">
        <v>3195</v>
      </c>
      <c r="I1169" s="10">
        <v>45622</v>
      </c>
    </row>
    <row r="1170" spans="1:9" x14ac:dyDescent="0.15">
      <c r="A1170" s="9">
        <v>1169</v>
      </c>
      <c r="B1170" s="9" t="s">
        <v>9</v>
      </c>
      <c r="C1170" s="9">
        <v>1925</v>
      </c>
      <c r="D1170" s="10">
        <v>45715</v>
      </c>
      <c r="E1170" s="11" t="str">
        <f>+HYPERLINK("http://trademark.i-assist.jp/data/china/image_1925th/82186077.pdf","82186077")</f>
        <v>82186077</v>
      </c>
      <c r="F1170" s="12" t="s">
        <v>3196</v>
      </c>
      <c r="G1170" s="12" t="s">
        <v>3114</v>
      </c>
      <c r="H1170" s="12" t="s">
        <v>3197</v>
      </c>
      <c r="I1170" s="10">
        <v>45622</v>
      </c>
    </row>
    <row r="1171" spans="1:9" x14ac:dyDescent="0.15">
      <c r="A1171" s="9">
        <v>1170</v>
      </c>
      <c r="B1171" s="9" t="s">
        <v>9</v>
      </c>
      <c r="C1171" s="9">
        <v>1925</v>
      </c>
      <c r="D1171" s="10">
        <v>45715</v>
      </c>
      <c r="E1171" s="11" t="str">
        <f>+HYPERLINK("http://trademark.i-assist.jp/data/china/image_1925th/82187224.pdf","82187224")</f>
        <v>82187224</v>
      </c>
      <c r="F1171" s="9" t="s">
        <v>3198</v>
      </c>
      <c r="G1171" s="9" t="s">
        <v>3199</v>
      </c>
      <c r="H1171" s="9" t="s">
        <v>3200</v>
      </c>
      <c r="I1171" s="10">
        <v>45622</v>
      </c>
    </row>
    <row r="1172" spans="1:9" x14ac:dyDescent="0.15">
      <c r="A1172" s="9">
        <v>1171</v>
      </c>
      <c r="B1172" s="9" t="s">
        <v>9</v>
      </c>
      <c r="C1172" s="9">
        <v>1925</v>
      </c>
      <c r="D1172" s="10">
        <v>45715</v>
      </c>
      <c r="E1172" s="11" t="str">
        <f>+HYPERLINK("http://trademark.i-assist.jp/data/china/image_1925th/82187542.pdf","82187542")</f>
        <v>82187542</v>
      </c>
      <c r="F1172" s="9" t="s">
        <v>3201</v>
      </c>
      <c r="G1172" s="9" t="s">
        <v>3202</v>
      </c>
      <c r="H1172" s="12" t="s">
        <v>3203</v>
      </c>
      <c r="I1172" s="10">
        <v>45622</v>
      </c>
    </row>
    <row r="1173" spans="1:9" x14ac:dyDescent="0.15">
      <c r="A1173" s="9">
        <v>1172</v>
      </c>
      <c r="B1173" s="9" t="s">
        <v>9</v>
      </c>
      <c r="C1173" s="9">
        <v>1925</v>
      </c>
      <c r="D1173" s="10">
        <v>45715</v>
      </c>
      <c r="E1173" s="11" t="str">
        <f>+HYPERLINK("http://trademark.i-assist.jp/data/china/image_1925th/82187561.pdf","82187561")</f>
        <v>82187561</v>
      </c>
      <c r="F1173" s="9" t="s">
        <v>3204</v>
      </c>
      <c r="G1173" s="9" t="s">
        <v>3205</v>
      </c>
      <c r="H1173" s="9" t="s">
        <v>3206</v>
      </c>
      <c r="I1173" s="10">
        <v>45622</v>
      </c>
    </row>
    <row r="1174" spans="1:9" x14ac:dyDescent="0.15">
      <c r="A1174" s="9">
        <v>1173</v>
      </c>
      <c r="B1174" s="9" t="s">
        <v>9</v>
      </c>
      <c r="C1174" s="9">
        <v>1925</v>
      </c>
      <c r="D1174" s="10">
        <v>45715</v>
      </c>
      <c r="E1174" s="11" t="str">
        <f>+HYPERLINK("http://trademark.i-assist.jp/data/china/image_1925th/82187592.pdf","82187592")</f>
        <v>82187592</v>
      </c>
      <c r="F1174" s="9" t="s">
        <v>3207</v>
      </c>
      <c r="G1174" s="9" t="s">
        <v>3208</v>
      </c>
      <c r="H1174" s="9" t="s">
        <v>3209</v>
      </c>
      <c r="I1174" s="10">
        <v>45622</v>
      </c>
    </row>
    <row r="1175" spans="1:9" x14ac:dyDescent="0.15">
      <c r="A1175" s="9">
        <v>1174</v>
      </c>
      <c r="B1175" s="9" t="s">
        <v>9</v>
      </c>
      <c r="C1175" s="9">
        <v>1925</v>
      </c>
      <c r="D1175" s="10">
        <v>45715</v>
      </c>
      <c r="E1175" s="11" t="str">
        <f>+HYPERLINK("http://trademark.i-assist.jp/data/china/image_1925th/82187731.pdf","82187731")</f>
        <v>82187731</v>
      </c>
      <c r="F1175" s="12" t="s">
        <v>3210</v>
      </c>
      <c r="G1175" s="9" t="s">
        <v>3211</v>
      </c>
      <c r="H1175" s="9" t="s">
        <v>3212</v>
      </c>
      <c r="I1175" s="10">
        <v>45622</v>
      </c>
    </row>
    <row r="1176" spans="1:9" x14ac:dyDescent="0.15">
      <c r="A1176" s="9">
        <v>1175</v>
      </c>
      <c r="B1176" s="9" t="s">
        <v>9</v>
      </c>
      <c r="C1176" s="9">
        <v>1925</v>
      </c>
      <c r="D1176" s="10">
        <v>45715</v>
      </c>
      <c r="E1176" s="11" t="str">
        <f>+HYPERLINK("http://trademark.i-assist.jp/data/china/image_1925th/82187858.pdf","82187858")</f>
        <v>82187858</v>
      </c>
      <c r="F1176" s="9" t="s">
        <v>3213</v>
      </c>
      <c r="G1176" s="9" t="s">
        <v>3214</v>
      </c>
      <c r="H1176" s="9" t="s">
        <v>3215</v>
      </c>
      <c r="I1176" s="10">
        <v>45622</v>
      </c>
    </row>
    <row r="1177" spans="1:9" x14ac:dyDescent="0.15">
      <c r="A1177" s="9">
        <v>1176</v>
      </c>
      <c r="B1177" s="9" t="s">
        <v>9</v>
      </c>
      <c r="C1177" s="9">
        <v>1925</v>
      </c>
      <c r="D1177" s="10">
        <v>45715</v>
      </c>
      <c r="E1177" s="11" t="str">
        <f>+HYPERLINK("http://trademark.i-assist.jp/data/china/image_1925th/82188040.pdf","82188040")</f>
        <v>82188040</v>
      </c>
      <c r="F1177" s="9" t="s">
        <v>3216</v>
      </c>
      <c r="G1177" s="9" t="s">
        <v>3217</v>
      </c>
      <c r="H1177" s="9" t="s">
        <v>3218</v>
      </c>
      <c r="I1177" s="10">
        <v>45622</v>
      </c>
    </row>
    <row r="1178" spans="1:9" x14ac:dyDescent="0.15">
      <c r="A1178" s="9">
        <v>1177</v>
      </c>
      <c r="B1178" s="9" t="s">
        <v>9</v>
      </c>
      <c r="C1178" s="9">
        <v>1925</v>
      </c>
      <c r="D1178" s="10">
        <v>45715</v>
      </c>
      <c r="E1178" s="11" t="str">
        <f>+HYPERLINK("http://trademark.i-assist.jp/data/china/image_1925th/82188055.pdf","82188055")</f>
        <v>82188055</v>
      </c>
      <c r="F1178" s="12" t="s">
        <v>57</v>
      </c>
      <c r="G1178" s="9" t="s">
        <v>3219</v>
      </c>
      <c r="H1178" s="9" t="s">
        <v>3220</v>
      </c>
      <c r="I1178" s="10">
        <v>45622</v>
      </c>
    </row>
    <row r="1179" spans="1:9" x14ac:dyDescent="0.15">
      <c r="A1179" s="9">
        <v>1178</v>
      </c>
      <c r="B1179" s="9" t="s">
        <v>9</v>
      </c>
      <c r="C1179" s="9">
        <v>1925</v>
      </c>
      <c r="D1179" s="10">
        <v>45715</v>
      </c>
      <c r="E1179" s="11" t="str">
        <f>+HYPERLINK("http://trademark.i-assist.jp/data/china/image_1925th/82188389.pdf","82188389")</f>
        <v>82188389</v>
      </c>
      <c r="F1179" s="9" t="s">
        <v>3221</v>
      </c>
      <c r="G1179" s="9" t="s">
        <v>3222</v>
      </c>
      <c r="H1179" s="9" t="s">
        <v>3223</v>
      </c>
      <c r="I1179" s="10">
        <v>45622</v>
      </c>
    </row>
    <row r="1180" spans="1:9" x14ac:dyDescent="0.15">
      <c r="A1180" s="9">
        <v>1179</v>
      </c>
      <c r="B1180" s="9" t="s">
        <v>9</v>
      </c>
      <c r="C1180" s="9">
        <v>1925</v>
      </c>
      <c r="D1180" s="10">
        <v>45715</v>
      </c>
      <c r="E1180" s="11" t="str">
        <f>+HYPERLINK("http://trademark.i-assist.jp/data/china/image_1925th/82188400.pdf","82188400")</f>
        <v>82188400</v>
      </c>
      <c r="F1180" s="9" t="s">
        <v>3224</v>
      </c>
      <c r="G1180" s="9" t="s">
        <v>3225</v>
      </c>
      <c r="H1180" s="9" t="s">
        <v>3226</v>
      </c>
      <c r="I1180" s="10">
        <v>45622</v>
      </c>
    </row>
    <row r="1181" spans="1:9" x14ac:dyDescent="0.15">
      <c r="A1181" s="9">
        <v>1180</v>
      </c>
      <c r="B1181" s="9" t="s">
        <v>9</v>
      </c>
      <c r="C1181" s="9">
        <v>1925</v>
      </c>
      <c r="D1181" s="10">
        <v>45715</v>
      </c>
      <c r="E1181" s="11" t="str">
        <f>+HYPERLINK("http://trademark.i-assist.jp/data/china/image_1925th/82188505.pdf","82188505")</f>
        <v>82188505</v>
      </c>
      <c r="F1181" s="9" t="s">
        <v>3227</v>
      </c>
      <c r="G1181" s="9" t="s">
        <v>3228</v>
      </c>
      <c r="H1181" s="9" t="s">
        <v>3229</v>
      </c>
      <c r="I1181" s="10">
        <v>45622</v>
      </c>
    </row>
    <row r="1182" spans="1:9" x14ac:dyDescent="0.15">
      <c r="A1182" s="9">
        <v>1181</v>
      </c>
      <c r="B1182" s="9" t="s">
        <v>9</v>
      </c>
      <c r="C1182" s="9">
        <v>1925</v>
      </c>
      <c r="D1182" s="10">
        <v>45715</v>
      </c>
      <c r="E1182" s="11" t="str">
        <f>+HYPERLINK("http://trademark.i-assist.jp/data/china/image_1925th/82188722.pdf","82188722")</f>
        <v>82188722</v>
      </c>
      <c r="F1182" s="9" t="s">
        <v>3230</v>
      </c>
      <c r="G1182" s="12" t="s">
        <v>3231</v>
      </c>
      <c r="H1182" s="9" t="s">
        <v>3232</v>
      </c>
      <c r="I1182" s="10">
        <v>45622</v>
      </c>
    </row>
    <row r="1183" spans="1:9" x14ac:dyDescent="0.15">
      <c r="A1183" s="9">
        <v>1182</v>
      </c>
      <c r="B1183" s="9" t="s">
        <v>9</v>
      </c>
      <c r="C1183" s="9">
        <v>1925</v>
      </c>
      <c r="D1183" s="10">
        <v>45715</v>
      </c>
      <c r="E1183" s="11" t="str">
        <f>+HYPERLINK("http://trademark.i-assist.jp/data/china/image_1925th/82188915.pdf","82188915")</f>
        <v>82188915</v>
      </c>
      <c r="F1183" s="12" t="s">
        <v>3233</v>
      </c>
      <c r="G1183" s="12" t="s">
        <v>3234</v>
      </c>
      <c r="H1183" s="9" t="s">
        <v>3235</v>
      </c>
      <c r="I1183" s="10">
        <v>45622</v>
      </c>
    </row>
    <row r="1184" spans="1:9" x14ac:dyDescent="0.15">
      <c r="A1184" s="9">
        <v>1183</v>
      </c>
      <c r="B1184" s="9" t="s">
        <v>9</v>
      </c>
      <c r="C1184" s="9">
        <v>1925</v>
      </c>
      <c r="D1184" s="10">
        <v>45715</v>
      </c>
      <c r="E1184" s="11" t="str">
        <f>+HYPERLINK("http://trademark.i-assist.jp/data/china/image_1925th/82188992.pdf","82188992")</f>
        <v>82188992</v>
      </c>
      <c r="F1184" s="12" t="s">
        <v>3236</v>
      </c>
      <c r="G1184" s="9" t="s">
        <v>3237</v>
      </c>
      <c r="H1184" s="9" t="s">
        <v>3238</v>
      </c>
      <c r="I1184" s="10">
        <v>45622</v>
      </c>
    </row>
    <row r="1185" spans="1:9" x14ac:dyDescent="0.15">
      <c r="A1185" s="9">
        <v>1184</v>
      </c>
      <c r="B1185" s="9" t="s">
        <v>9</v>
      </c>
      <c r="C1185" s="9">
        <v>1925</v>
      </c>
      <c r="D1185" s="10">
        <v>45715</v>
      </c>
      <c r="E1185" s="11" t="str">
        <f>+HYPERLINK("http://trademark.i-assist.jp/data/china/image_1925th/82189178.pdf","82189178")</f>
        <v>82189178</v>
      </c>
      <c r="F1185" s="9" t="s">
        <v>3239</v>
      </c>
      <c r="G1185" s="12" t="s">
        <v>3240</v>
      </c>
      <c r="H1185" s="9" t="s">
        <v>3241</v>
      </c>
      <c r="I1185" s="10">
        <v>45622</v>
      </c>
    </row>
    <row r="1186" spans="1:9" x14ac:dyDescent="0.15">
      <c r="A1186" s="9">
        <v>1185</v>
      </c>
      <c r="B1186" s="9" t="s">
        <v>9</v>
      </c>
      <c r="C1186" s="9">
        <v>1925</v>
      </c>
      <c r="D1186" s="10">
        <v>45715</v>
      </c>
      <c r="E1186" s="11" t="str">
        <f>+HYPERLINK("http://trademark.i-assist.jp/data/china/image_1925th/82189203.pdf","82189203")</f>
        <v>82189203</v>
      </c>
      <c r="F1186" s="9" t="s">
        <v>3242</v>
      </c>
      <c r="G1186" s="9" t="s">
        <v>3243</v>
      </c>
      <c r="H1186" s="9" t="s">
        <v>3244</v>
      </c>
      <c r="I1186" s="10">
        <v>45622</v>
      </c>
    </row>
    <row r="1187" spans="1:9" x14ac:dyDescent="0.15">
      <c r="A1187" s="9">
        <v>1186</v>
      </c>
      <c r="B1187" s="9" t="s">
        <v>9</v>
      </c>
      <c r="C1187" s="9">
        <v>1925</v>
      </c>
      <c r="D1187" s="10">
        <v>45715</v>
      </c>
      <c r="E1187" s="11" t="str">
        <f>+HYPERLINK("http://trademark.i-assist.jp/data/china/image_1925th/82189859.pdf","82189859")</f>
        <v>82189859</v>
      </c>
      <c r="F1187" s="9" t="s">
        <v>3245</v>
      </c>
      <c r="G1187" s="9" t="s">
        <v>3246</v>
      </c>
      <c r="H1187" s="9" t="s">
        <v>3247</v>
      </c>
      <c r="I1187" s="10">
        <v>45622</v>
      </c>
    </row>
    <row r="1188" spans="1:9" x14ac:dyDescent="0.15">
      <c r="A1188" s="9">
        <v>1187</v>
      </c>
      <c r="B1188" s="9" t="s">
        <v>9</v>
      </c>
      <c r="C1188" s="9">
        <v>1925</v>
      </c>
      <c r="D1188" s="10">
        <v>45715</v>
      </c>
      <c r="E1188" s="11" t="str">
        <f>+HYPERLINK("http://trademark.i-assist.jp/data/china/image_1925th/82190385.pdf","82190385")</f>
        <v>82190385</v>
      </c>
      <c r="F1188" s="9" t="s">
        <v>3248</v>
      </c>
      <c r="G1188" s="9" t="s">
        <v>3249</v>
      </c>
      <c r="H1188" s="9" t="s">
        <v>3250</v>
      </c>
      <c r="I1188" s="10">
        <v>45622</v>
      </c>
    </row>
    <row r="1189" spans="1:9" x14ac:dyDescent="0.15">
      <c r="A1189" s="9">
        <v>1188</v>
      </c>
      <c r="B1189" s="9" t="s">
        <v>9</v>
      </c>
      <c r="C1189" s="9">
        <v>1925</v>
      </c>
      <c r="D1189" s="10">
        <v>45715</v>
      </c>
      <c r="E1189" s="11" t="str">
        <f>+HYPERLINK("http://trademark.i-assist.jp/data/china/image_1925th/82190525.pdf","82190525")</f>
        <v>82190525</v>
      </c>
      <c r="F1189" s="9" t="s">
        <v>3251</v>
      </c>
      <c r="G1189" s="9" t="s">
        <v>3252</v>
      </c>
      <c r="H1189" s="9" t="s">
        <v>3253</v>
      </c>
      <c r="I1189" s="10">
        <v>45622</v>
      </c>
    </row>
    <row r="1190" spans="1:9" x14ac:dyDescent="0.15">
      <c r="A1190" s="9">
        <v>1189</v>
      </c>
      <c r="B1190" s="9" t="s">
        <v>9</v>
      </c>
      <c r="C1190" s="9">
        <v>1925</v>
      </c>
      <c r="D1190" s="10">
        <v>45715</v>
      </c>
      <c r="E1190" s="11" t="str">
        <f>+HYPERLINK("http://trademark.i-assist.jp/data/china/image_1925th/82190539.pdf","82190539")</f>
        <v>82190539</v>
      </c>
      <c r="F1190" s="12" t="s">
        <v>3254</v>
      </c>
      <c r="G1190" s="9" t="s">
        <v>3255</v>
      </c>
      <c r="H1190" s="9" t="s">
        <v>3256</v>
      </c>
      <c r="I1190" s="10">
        <v>45622</v>
      </c>
    </row>
    <row r="1191" spans="1:9" x14ac:dyDescent="0.15">
      <c r="A1191" s="9">
        <v>1190</v>
      </c>
      <c r="B1191" s="9" t="s">
        <v>9</v>
      </c>
      <c r="C1191" s="9">
        <v>1925</v>
      </c>
      <c r="D1191" s="10">
        <v>45715</v>
      </c>
      <c r="E1191" s="11" t="str">
        <f>+HYPERLINK("http://trademark.i-assist.jp/data/china/image_1925th/82190603.pdf","82190603")</f>
        <v>82190603</v>
      </c>
      <c r="F1191" s="9" t="s">
        <v>3257</v>
      </c>
      <c r="G1191" s="9" t="s">
        <v>3258</v>
      </c>
      <c r="H1191" s="9" t="s">
        <v>3259</v>
      </c>
      <c r="I1191" s="10">
        <v>45622</v>
      </c>
    </row>
    <row r="1192" spans="1:9" x14ac:dyDescent="0.15">
      <c r="A1192" s="9">
        <v>1191</v>
      </c>
      <c r="B1192" s="9" t="s">
        <v>9</v>
      </c>
      <c r="C1192" s="9">
        <v>1925</v>
      </c>
      <c r="D1192" s="10">
        <v>45715</v>
      </c>
      <c r="E1192" s="11" t="str">
        <f>+HYPERLINK("http://trademark.i-assist.jp/data/china/image_1925th/82191617.pdf","82191617")</f>
        <v>82191617</v>
      </c>
      <c r="F1192" s="9" t="s">
        <v>3260</v>
      </c>
      <c r="G1192" s="9" t="s">
        <v>3261</v>
      </c>
      <c r="H1192" s="9" t="s">
        <v>3262</v>
      </c>
      <c r="I1192" s="10">
        <v>45622</v>
      </c>
    </row>
    <row r="1193" spans="1:9" x14ac:dyDescent="0.15">
      <c r="A1193" s="9">
        <v>1192</v>
      </c>
      <c r="B1193" s="9" t="s">
        <v>9</v>
      </c>
      <c r="C1193" s="9">
        <v>1925</v>
      </c>
      <c r="D1193" s="10">
        <v>45715</v>
      </c>
      <c r="E1193" s="11" t="str">
        <f>+HYPERLINK("http://trademark.i-assist.jp/data/china/image_1925th/82191989.pdf","82191989")</f>
        <v>82191989</v>
      </c>
      <c r="F1193" s="9" t="s">
        <v>3263</v>
      </c>
      <c r="G1193" s="9" t="s">
        <v>3264</v>
      </c>
      <c r="H1193" s="9" t="s">
        <v>3265</v>
      </c>
      <c r="I1193" s="10">
        <v>45622</v>
      </c>
    </row>
    <row r="1194" spans="1:9" x14ac:dyDescent="0.15">
      <c r="A1194" s="9">
        <v>1193</v>
      </c>
      <c r="B1194" s="9" t="s">
        <v>9</v>
      </c>
      <c r="C1194" s="9">
        <v>1925</v>
      </c>
      <c r="D1194" s="10">
        <v>45715</v>
      </c>
      <c r="E1194" s="11" t="str">
        <f>+HYPERLINK("http://trademark.i-assist.jp/data/china/image_1925th/82192399.pdf","82192399")</f>
        <v>82192399</v>
      </c>
      <c r="F1194" s="9" t="s">
        <v>3266</v>
      </c>
      <c r="G1194" s="9" t="s">
        <v>3267</v>
      </c>
      <c r="H1194" s="9" t="s">
        <v>3268</v>
      </c>
      <c r="I1194" s="10">
        <v>45622</v>
      </c>
    </row>
    <row r="1195" spans="1:9" x14ac:dyDescent="0.15">
      <c r="A1195" s="9">
        <v>1194</v>
      </c>
      <c r="B1195" s="9" t="s">
        <v>9</v>
      </c>
      <c r="C1195" s="9">
        <v>1925</v>
      </c>
      <c r="D1195" s="10">
        <v>45715</v>
      </c>
      <c r="E1195" s="11" t="str">
        <f>+HYPERLINK("http://trademark.i-assist.jp/data/china/image_1925th/82192542.pdf","82192542")</f>
        <v>82192542</v>
      </c>
      <c r="F1195" s="12" t="s">
        <v>3269</v>
      </c>
      <c r="G1195" s="9" t="s">
        <v>3270</v>
      </c>
      <c r="H1195" s="9" t="s">
        <v>3271</v>
      </c>
      <c r="I1195" s="10">
        <v>45622</v>
      </c>
    </row>
    <row r="1196" spans="1:9" x14ac:dyDescent="0.15">
      <c r="A1196" s="9">
        <v>1195</v>
      </c>
      <c r="B1196" s="9" t="s">
        <v>9</v>
      </c>
      <c r="C1196" s="9">
        <v>1925</v>
      </c>
      <c r="D1196" s="10">
        <v>45715</v>
      </c>
      <c r="E1196" s="11" t="str">
        <f>+HYPERLINK("http://trademark.i-assist.jp/data/china/image_1925th/82192628.pdf","82192628")</f>
        <v>82192628</v>
      </c>
      <c r="F1196" s="9" t="s">
        <v>3272</v>
      </c>
      <c r="G1196" s="9" t="s">
        <v>3273</v>
      </c>
      <c r="H1196" s="9" t="s">
        <v>3274</v>
      </c>
      <c r="I1196" s="10">
        <v>45622</v>
      </c>
    </row>
    <row r="1197" spans="1:9" x14ac:dyDescent="0.15">
      <c r="A1197" s="9">
        <v>1196</v>
      </c>
      <c r="B1197" s="9" t="s">
        <v>9</v>
      </c>
      <c r="C1197" s="9">
        <v>1925</v>
      </c>
      <c r="D1197" s="10">
        <v>45715</v>
      </c>
      <c r="E1197" s="11" t="str">
        <f>+HYPERLINK("http://trademark.i-assist.jp/data/china/image_1925th/82193008.pdf","82193008")</f>
        <v>82193008</v>
      </c>
      <c r="F1197" s="9" t="s">
        <v>3275</v>
      </c>
      <c r="G1197" s="9" t="s">
        <v>3276</v>
      </c>
      <c r="H1197" s="9" t="s">
        <v>3277</v>
      </c>
      <c r="I1197" s="10">
        <v>45622</v>
      </c>
    </row>
    <row r="1198" spans="1:9" x14ac:dyDescent="0.15">
      <c r="A1198" s="9">
        <v>1197</v>
      </c>
      <c r="B1198" s="9" t="s">
        <v>9</v>
      </c>
      <c r="C1198" s="9">
        <v>1925</v>
      </c>
      <c r="D1198" s="10">
        <v>45715</v>
      </c>
      <c r="E1198" s="11" t="str">
        <f>+HYPERLINK("http://trademark.i-assist.jp/data/china/image_1925th/82193199.pdf","82193199")</f>
        <v>82193199</v>
      </c>
      <c r="F1198" s="12" t="s">
        <v>3278</v>
      </c>
      <c r="G1198" s="12" t="s">
        <v>3279</v>
      </c>
      <c r="H1198" s="9" t="s">
        <v>3280</v>
      </c>
      <c r="I1198" s="10">
        <v>45622</v>
      </c>
    </row>
    <row r="1199" spans="1:9" x14ac:dyDescent="0.15">
      <c r="A1199" s="9">
        <v>1198</v>
      </c>
      <c r="B1199" s="9" t="s">
        <v>9</v>
      </c>
      <c r="C1199" s="9">
        <v>1925</v>
      </c>
      <c r="D1199" s="10">
        <v>45715</v>
      </c>
      <c r="E1199" s="11" t="str">
        <f>+HYPERLINK("http://trademark.i-assist.jp/data/china/image_1925th/82193445.pdf","82193445")</f>
        <v>82193445</v>
      </c>
      <c r="F1199" s="9" t="s">
        <v>3281</v>
      </c>
      <c r="G1199" s="9" t="s">
        <v>3282</v>
      </c>
      <c r="H1199" s="9" t="s">
        <v>3283</v>
      </c>
      <c r="I1199" s="10">
        <v>45622</v>
      </c>
    </row>
    <row r="1200" spans="1:9" x14ac:dyDescent="0.15">
      <c r="A1200" s="9">
        <v>1199</v>
      </c>
      <c r="B1200" s="9" t="s">
        <v>9</v>
      </c>
      <c r="C1200" s="9">
        <v>1925</v>
      </c>
      <c r="D1200" s="10">
        <v>45715</v>
      </c>
      <c r="E1200" s="11" t="str">
        <f>+HYPERLINK("http://trademark.i-assist.jp/data/china/image_1925th/82193628.pdf","82193628")</f>
        <v>82193628</v>
      </c>
      <c r="F1200" s="9" t="s">
        <v>3284</v>
      </c>
      <c r="G1200" s="9" t="s">
        <v>3285</v>
      </c>
      <c r="H1200" s="9" t="s">
        <v>3286</v>
      </c>
      <c r="I1200" s="10">
        <v>45622</v>
      </c>
    </row>
    <row r="1201" spans="1:9" x14ac:dyDescent="0.15">
      <c r="A1201" s="9">
        <v>1200</v>
      </c>
      <c r="B1201" s="9" t="s">
        <v>9</v>
      </c>
      <c r="C1201" s="9">
        <v>1925</v>
      </c>
      <c r="D1201" s="10">
        <v>45715</v>
      </c>
      <c r="E1201" s="11" t="str">
        <f>+HYPERLINK("http://trademark.i-assist.jp/data/china/image_1925th/82193768.pdf","82193768")</f>
        <v>82193768</v>
      </c>
      <c r="F1201" s="9" t="s">
        <v>3287</v>
      </c>
      <c r="G1201" s="9" t="s">
        <v>3288</v>
      </c>
      <c r="H1201" s="9" t="s">
        <v>3289</v>
      </c>
      <c r="I1201" s="10">
        <v>45622</v>
      </c>
    </row>
    <row r="1202" spans="1:9" x14ac:dyDescent="0.15">
      <c r="A1202" s="9">
        <v>1201</v>
      </c>
      <c r="B1202" s="9" t="s">
        <v>9</v>
      </c>
      <c r="C1202" s="9">
        <v>1925</v>
      </c>
      <c r="D1202" s="10">
        <v>45715</v>
      </c>
      <c r="E1202" s="11" t="str">
        <f>+HYPERLINK("http://trademark.i-assist.jp/data/china/image_1925th/82193789.pdf","82193789")</f>
        <v>82193789</v>
      </c>
      <c r="F1202" s="12" t="s">
        <v>3290</v>
      </c>
      <c r="G1202" s="9" t="s">
        <v>3291</v>
      </c>
      <c r="H1202" s="12" t="s">
        <v>3292</v>
      </c>
      <c r="I1202" s="10">
        <v>45622</v>
      </c>
    </row>
    <row r="1203" spans="1:9" x14ac:dyDescent="0.15">
      <c r="A1203" s="9">
        <v>1202</v>
      </c>
      <c r="B1203" s="9" t="s">
        <v>9</v>
      </c>
      <c r="C1203" s="9">
        <v>1925</v>
      </c>
      <c r="D1203" s="10">
        <v>45715</v>
      </c>
      <c r="E1203" s="11" t="str">
        <f>+HYPERLINK("http://trademark.i-assist.jp/data/china/image_1925th/82193994.pdf","82193994")</f>
        <v>82193994</v>
      </c>
      <c r="F1203" s="9" t="s">
        <v>3293</v>
      </c>
      <c r="G1203" s="12" t="s">
        <v>3294</v>
      </c>
      <c r="H1203" s="12" t="s">
        <v>3295</v>
      </c>
      <c r="I1203" s="10">
        <v>45622</v>
      </c>
    </row>
    <row r="1204" spans="1:9" x14ac:dyDescent="0.15">
      <c r="A1204" s="9">
        <v>1203</v>
      </c>
      <c r="B1204" s="9" t="s">
        <v>9</v>
      </c>
      <c r="C1204" s="9">
        <v>1925</v>
      </c>
      <c r="D1204" s="10">
        <v>45715</v>
      </c>
      <c r="E1204" s="11" t="str">
        <f>+HYPERLINK("http://trademark.i-assist.jp/data/china/image_1925th/82194072.pdf","82194072")</f>
        <v>82194072</v>
      </c>
      <c r="F1204" s="9" t="s">
        <v>3296</v>
      </c>
      <c r="G1204" s="12" t="s">
        <v>3297</v>
      </c>
      <c r="H1204" s="9" t="s">
        <v>3298</v>
      </c>
      <c r="I1204" s="10">
        <v>45622</v>
      </c>
    </row>
    <row r="1205" spans="1:9" x14ac:dyDescent="0.15">
      <c r="A1205" s="9">
        <v>1204</v>
      </c>
      <c r="B1205" s="9" t="s">
        <v>9</v>
      </c>
      <c r="C1205" s="9">
        <v>1925</v>
      </c>
      <c r="D1205" s="10">
        <v>45715</v>
      </c>
      <c r="E1205" s="11" t="str">
        <f>+HYPERLINK("http://trademark.i-assist.jp/data/china/image_1925th/82194375.pdf","82194375")</f>
        <v>82194375</v>
      </c>
      <c r="F1205" s="9" t="s">
        <v>3299</v>
      </c>
      <c r="G1205" s="12" t="s">
        <v>3300</v>
      </c>
      <c r="H1205" s="9" t="s">
        <v>3301</v>
      </c>
      <c r="I1205" s="10">
        <v>45622</v>
      </c>
    </row>
    <row r="1206" spans="1:9" x14ac:dyDescent="0.15">
      <c r="A1206" s="9">
        <v>1205</v>
      </c>
      <c r="B1206" s="9" t="s">
        <v>9</v>
      </c>
      <c r="C1206" s="9">
        <v>1925</v>
      </c>
      <c r="D1206" s="10">
        <v>45715</v>
      </c>
      <c r="E1206" s="11" t="str">
        <f>+HYPERLINK("http://trademark.i-assist.jp/data/china/image_1925th/82194644.pdf","82194644")</f>
        <v>82194644</v>
      </c>
      <c r="F1206" s="9" t="s">
        <v>3302</v>
      </c>
      <c r="G1206" s="9" t="s">
        <v>3303</v>
      </c>
      <c r="H1206" s="9" t="s">
        <v>3304</v>
      </c>
      <c r="I1206" s="10">
        <v>45622</v>
      </c>
    </row>
    <row r="1207" spans="1:9" x14ac:dyDescent="0.15">
      <c r="A1207" s="9">
        <v>1206</v>
      </c>
      <c r="B1207" s="9" t="s">
        <v>9</v>
      </c>
      <c r="C1207" s="9">
        <v>1925</v>
      </c>
      <c r="D1207" s="10">
        <v>45715</v>
      </c>
      <c r="E1207" s="11" t="str">
        <f>+HYPERLINK("http://trademark.i-assist.jp/data/china/image_1925th/82194767.pdf","82194767")</f>
        <v>82194767</v>
      </c>
      <c r="F1207" s="9" t="s">
        <v>3305</v>
      </c>
      <c r="G1207" s="12" t="s">
        <v>3306</v>
      </c>
      <c r="H1207" s="9" t="s">
        <v>3307</v>
      </c>
      <c r="I1207" s="10">
        <v>45622</v>
      </c>
    </row>
    <row r="1208" spans="1:9" x14ac:dyDescent="0.15">
      <c r="A1208" s="9">
        <v>1207</v>
      </c>
      <c r="B1208" s="9" t="s">
        <v>9</v>
      </c>
      <c r="C1208" s="9">
        <v>1925</v>
      </c>
      <c r="D1208" s="10">
        <v>45715</v>
      </c>
      <c r="E1208" s="11" t="str">
        <f>+HYPERLINK("http://trademark.i-assist.jp/data/china/image_1925th/82194785.pdf","82194785")</f>
        <v>82194785</v>
      </c>
      <c r="F1208" s="9" t="s">
        <v>3308</v>
      </c>
      <c r="G1208" s="9" t="s">
        <v>3309</v>
      </c>
      <c r="H1208" s="9" t="s">
        <v>3310</v>
      </c>
      <c r="I1208" s="10">
        <v>45622</v>
      </c>
    </row>
    <row r="1209" spans="1:9" x14ac:dyDescent="0.15">
      <c r="A1209" s="9">
        <v>1208</v>
      </c>
      <c r="B1209" s="9" t="s">
        <v>9</v>
      </c>
      <c r="C1209" s="9">
        <v>1925</v>
      </c>
      <c r="D1209" s="10">
        <v>45715</v>
      </c>
      <c r="E1209" s="11" t="str">
        <f>+HYPERLINK("http://trademark.i-assist.jp/data/china/image_1925th/82194993.pdf","82194993")</f>
        <v>82194993</v>
      </c>
      <c r="F1209" s="9" t="s">
        <v>3311</v>
      </c>
      <c r="G1209" s="9" t="s">
        <v>3312</v>
      </c>
      <c r="H1209" s="9" t="s">
        <v>3313</v>
      </c>
      <c r="I1209" s="10">
        <v>45622</v>
      </c>
    </row>
    <row r="1210" spans="1:9" x14ac:dyDescent="0.15">
      <c r="A1210" s="9">
        <v>1209</v>
      </c>
      <c r="B1210" s="9" t="s">
        <v>9</v>
      </c>
      <c r="C1210" s="9">
        <v>1925</v>
      </c>
      <c r="D1210" s="10">
        <v>45715</v>
      </c>
      <c r="E1210" s="11" t="str">
        <f>+HYPERLINK("http://trademark.i-assist.jp/data/china/image_1925th/82195062.pdf","82195062")</f>
        <v>82195062</v>
      </c>
      <c r="F1210" s="9" t="s">
        <v>3314</v>
      </c>
      <c r="G1210" s="9" t="s">
        <v>3315</v>
      </c>
      <c r="H1210" s="9" t="s">
        <v>3316</v>
      </c>
      <c r="I1210" s="10">
        <v>45622</v>
      </c>
    </row>
    <row r="1211" spans="1:9" x14ac:dyDescent="0.15">
      <c r="A1211" s="9">
        <v>1210</v>
      </c>
      <c r="B1211" s="9" t="s">
        <v>9</v>
      </c>
      <c r="C1211" s="9">
        <v>1925</v>
      </c>
      <c r="D1211" s="10">
        <v>45715</v>
      </c>
      <c r="E1211" s="11" t="str">
        <f>+HYPERLINK("http://trademark.i-assist.jp/data/china/image_1925th/82195658.pdf","82195658")</f>
        <v>82195658</v>
      </c>
      <c r="F1211" s="9" t="s">
        <v>3317</v>
      </c>
      <c r="G1211" s="12" t="s">
        <v>3318</v>
      </c>
      <c r="H1211" s="12" t="s">
        <v>3319</v>
      </c>
      <c r="I1211" s="10">
        <v>45622</v>
      </c>
    </row>
    <row r="1212" spans="1:9" x14ac:dyDescent="0.15">
      <c r="A1212" s="9">
        <v>1211</v>
      </c>
      <c r="B1212" s="9" t="s">
        <v>9</v>
      </c>
      <c r="C1212" s="9">
        <v>1925</v>
      </c>
      <c r="D1212" s="10">
        <v>45715</v>
      </c>
      <c r="E1212" s="11" t="str">
        <f>+HYPERLINK("http://trademark.i-assist.jp/data/china/image_1925th/82195659.pdf","82195659")</f>
        <v>82195659</v>
      </c>
      <c r="F1212" s="12" t="s">
        <v>57</v>
      </c>
      <c r="G1212" s="9" t="s">
        <v>3320</v>
      </c>
      <c r="H1212" s="9" t="s">
        <v>3321</v>
      </c>
      <c r="I1212" s="10">
        <v>45622</v>
      </c>
    </row>
    <row r="1213" spans="1:9" x14ac:dyDescent="0.15">
      <c r="A1213" s="9">
        <v>1212</v>
      </c>
      <c r="B1213" s="9" t="s">
        <v>9</v>
      </c>
      <c r="C1213" s="9">
        <v>1925</v>
      </c>
      <c r="D1213" s="10">
        <v>45715</v>
      </c>
      <c r="E1213" s="11" t="str">
        <f>+HYPERLINK("http://trademark.i-assist.jp/data/china/image_1925th/82195812.pdf","82195812")</f>
        <v>82195812</v>
      </c>
      <c r="F1213" s="9" t="s">
        <v>3322</v>
      </c>
      <c r="G1213" s="9" t="s">
        <v>3323</v>
      </c>
      <c r="H1213" s="9" t="s">
        <v>3324</v>
      </c>
      <c r="I1213" s="10">
        <v>45622</v>
      </c>
    </row>
    <row r="1214" spans="1:9" x14ac:dyDescent="0.15">
      <c r="A1214" s="9">
        <v>1213</v>
      </c>
      <c r="B1214" s="9" t="s">
        <v>9</v>
      </c>
      <c r="C1214" s="9">
        <v>1925</v>
      </c>
      <c r="D1214" s="10">
        <v>45715</v>
      </c>
      <c r="E1214" s="11" t="str">
        <f>+HYPERLINK("http://trademark.i-assist.jp/data/china/image_1925th/82195881.pdf","82195881")</f>
        <v>82195881</v>
      </c>
      <c r="F1214" s="9" t="s">
        <v>3325</v>
      </c>
      <c r="G1214" s="9" t="s">
        <v>3326</v>
      </c>
      <c r="H1214" s="12" t="s">
        <v>3327</v>
      </c>
      <c r="I1214" s="10">
        <v>45622</v>
      </c>
    </row>
    <row r="1215" spans="1:9" x14ac:dyDescent="0.15">
      <c r="A1215" s="9">
        <v>1214</v>
      </c>
      <c r="B1215" s="9" t="s">
        <v>9</v>
      </c>
      <c r="C1215" s="9">
        <v>1925</v>
      </c>
      <c r="D1215" s="10">
        <v>45715</v>
      </c>
      <c r="E1215" s="11" t="str">
        <f>+HYPERLINK("http://trademark.i-assist.jp/data/china/image_1925th/82196276.pdf","82196276")</f>
        <v>82196276</v>
      </c>
      <c r="F1215" s="9" t="s">
        <v>3328</v>
      </c>
      <c r="G1215" s="9" t="s">
        <v>3329</v>
      </c>
      <c r="H1215" s="9" t="s">
        <v>3330</v>
      </c>
      <c r="I1215" s="10">
        <v>45622</v>
      </c>
    </row>
    <row r="1216" spans="1:9" x14ac:dyDescent="0.15">
      <c r="A1216" s="9">
        <v>1215</v>
      </c>
      <c r="B1216" s="9" t="s">
        <v>9</v>
      </c>
      <c r="C1216" s="9">
        <v>1925</v>
      </c>
      <c r="D1216" s="10">
        <v>45715</v>
      </c>
      <c r="E1216" s="11" t="str">
        <f>+HYPERLINK("http://trademark.i-assist.jp/data/china/image_1925th/82196420.pdf","82196420")</f>
        <v>82196420</v>
      </c>
      <c r="F1216" s="12" t="s">
        <v>3331</v>
      </c>
      <c r="G1216" s="9" t="s">
        <v>3332</v>
      </c>
      <c r="H1216" s="9" t="s">
        <v>3333</v>
      </c>
      <c r="I1216" s="10">
        <v>45622</v>
      </c>
    </row>
    <row r="1217" spans="1:9" x14ac:dyDescent="0.15">
      <c r="A1217" s="9">
        <v>1216</v>
      </c>
      <c r="B1217" s="9" t="s">
        <v>9</v>
      </c>
      <c r="C1217" s="9">
        <v>1925</v>
      </c>
      <c r="D1217" s="10">
        <v>45715</v>
      </c>
      <c r="E1217" s="11" t="str">
        <f>+HYPERLINK("http://trademark.i-assist.jp/data/china/image_1925th/82196477.pdf","82196477")</f>
        <v>82196477</v>
      </c>
      <c r="F1217" s="9" t="s">
        <v>3334</v>
      </c>
      <c r="G1217" s="9" t="s">
        <v>3335</v>
      </c>
      <c r="H1217" s="9" t="s">
        <v>3336</v>
      </c>
      <c r="I1217" s="10">
        <v>45622</v>
      </c>
    </row>
    <row r="1218" spans="1:9" x14ac:dyDescent="0.15">
      <c r="A1218" s="9">
        <v>1217</v>
      </c>
      <c r="B1218" s="9" t="s">
        <v>9</v>
      </c>
      <c r="C1218" s="9">
        <v>1925</v>
      </c>
      <c r="D1218" s="10">
        <v>45715</v>
      </c>
      <c r="E1218" s="11" t="str">
        <f>+HYPERLINK("http://trademark.i-assist.jp/data/china/image_1925th/82196529.pdf","82196529")</f>
        <v>82196529</v>
      </c>
      <c r="F1218" s="9" t="s">
        <v>3337</v>
      </c>
      <c r="G1218" s="9" t="s">
        <v>3338</v>
      </c>
      <c r="H1218" s="9" t="s">
        <v>3339</v>
      </c>
      <c r="I1218" s="10">
        <v>45622</v>
      </c>
    </row>
    <row r="1219" spans="1:9" x14ac:dyDescent="0.15">
      <c r="A1219" s="9">
        <v>1218</v>
      </c>
      <c r="B1219" s="9" t="s">
        <v>9</v>
      </c>
      <c r="C1219" s="9">
        <v>1925</v>
      </c>
      <c r="D1219" s="10">
        <v>45715</v>
      </c>
      <c r="E1219" s="11" t="str">
        <f>+HYPERLINK("http://trademark.i-assist.jp/data/china/image_1925th/82196668.pdf","82196668")</f>
        <v>82196668</v>
      </c>
      <c r="F1219" s="9" t="s">
        <v>3340</v>
      </c>
      <c r="G1219" s="12" t="s">
        <v>3341</v>
      </c>
      <c r="H1219" s="9" t="s">
        <v>3342</v>
      </c>
      <c r="I1219" s="10">
        <v>45622</v>
      </c>
    </row>
    <row r="1220" spans="1:9" x14ac:dyDescent="0.15">
      <c r="A1220" s="9">
        <v>1219</v>
      </c>
      <c r="B1220" s="9" t="s">
        <v>9</v>
      </c>
      <c r="C1220" s="9">
        <v>1925</v>
      </c>
      <c r="D1220" s="10">
        <v>45715</v>
      </c>
      <c r="E1220" s="11" t="str">
        <f>+HYPERLINK("http://trademark.i-assist.jp/data/china/image_1925th/82196702.pdf","82196702")</f>
        <v>82196702</v>
      </c>
      <c r="F1220" s="9" t="s">
        <v>3343</v>
      </c>
      <c r="G1220" s="9" t="s">
        <v>3344</v>
      </c>
      <c r="H1220" s="12" t="s">
        <v>3345</v>
      </c>
      <c r="I1220" s="10">
        <v>45622</v>
      </c>
    </row>
    <row r="1221" spans="1:9" x14ac:dyDescent="0.15">
      <c r="A1221" s="9">
        <v>1220</v>
      </c>
      <c r="B1221" s="9" t="s">
        <v>9</v>
      </c>
      <c r="C1221" s="9">
        <v>1925</v>
      </c>
      <c r="D1221" s="10">
        <v>45715</v>
      </c>
      <c r="E1221" s="11" t="str">
        <f>+HYPERLINK("http://trademark.i-assist.jp/data/china/image_1925th/82196754.pdf","82196754")</f>
        <v>82196754</v>
      </c>
      <c r="F1221" s="12" t="s">
        <v>3346</v>
      </c>
      <c r="G1221" s="12" t="s">
        <v>3347</v>
      </c>
      <c r="H1221" s="12" t="s">
        <v>3348</v>
      </c>
      <c r="I1221" s="10">
        <v>45622</v>
      </c>
    </row>
    <row r="1222" spans="1:9" x14ac:dyDescent="0.15">
      <c r="A1222" s="9">
        <v>1221</v>
      </c>
      <c r="B1222" s="9" t="s">
        <v>9</v>
      </c>
      <c r="C1222" s="9">
        <v>1925</v>
      </c>
      <c r="D1222" s="10">
        <v>45715</v>
      </c>
      <c r="E1222" s="11" t="str">
        <f>+HYPERLINK("http://trademark.i-assist.jp/data/china/image_1925th/82197010.pdf","82197010")</f>
        <v>82197010</v>
      </c>
      <c r="F1222" s="12" t="s">
        <v>3349</v>
      </c>
      <c r="G1222" s="9" t="s">
        <v>3237</v>
      </c>
      <c r="H1222" s="9" t="s">
        <v>3350</v>
      </c>
      <c r="I1222" s="10">
        <v>45622</v>
      </c>
    </row>
    <row r="1223" spans="1:9" x14ac:dyDescent="0.15">
      <c r="A1223" s="9">
        <v>1222</v>
      </c>
      <c r="B1223" s="9" t="s">
        <v>9</v>
      </c>
      <c r="C1223" s="9">
        <v>1925</v>
      </c>
      <c r="D1223" s="10">
        <v>45715</v>
      </c>
      <c r="E1223" s="11" t="str">
        <f>+HYPERLINK("http://trademark.i-assist.jp/data/china/image_1925th/82197237.pdf","82197237")</f>
        <v>82197237</v>
      </c>
      <c r="F1223" s="9" t="s">
        <v>3351</v>
      </c>
      <c r="G1223" s="9" t="s">
        <v>3352</v>
      </c>
      <c r="H1223" s="9" t="s">
        <v>3353</v>
      </c>
      <c r="I1223" s="10">
        <v>45622</v>
      </c>
    </row>
    <row r="1224" spans="1:9" x14ac:dyDescent="0.15">
      <c r="A1224" s="9">
        <v>1223</v>
      </c>
      <c r="B1224" s="9" t="s">
        <v>9</v>
      </c>
      <c r="C1224" s="9">
        <v>1925</v>
      </c>
      <c r="D1224" s="10">
        <v>45715</v>
      </c>
      <c r="E1224" s="11" t="str">
        <f>+HYPERLINK("http://trademark.i-assist.jp/data/china/image_1925th/82197632.pdf","82197632")</f>
        <v>82197632</v>
      </c>
      <c r="F1224" s="12" t="s">
        <v>3354</v>
      </c>
      <c r="G1224" s="9" t="s">
        <v>3355</v>
      </c>
      <c r="H1224" s="9" t="s">
        <v>3356</v>
      </c>
      <c r="I1224" s="10">
        <v>45622</v>
      </c>
    </row>
    <row r="1225" spans="1:9" x14ac:dyDescent="0.15">
      <c r="A1225" s="9">
        <v>1224</v>
      </c>
      <c r="B1225" s="9" t="s">
        <v>9</v>
      </c>
      <c r="C1225" s="9">
        <v>1925</v>
      </c>
      <c r="D1225" s="10">
        <v>45715</v>
      </c>
      <c r="E1225" s="11" t="str">
        <f>+HYPERLINK("http://trademark.i-assist.jp/data/china/image_1925th/82198087.pdf","82198087")</f>
        <v>82198087</v>
      </c>
      <c r="F1225" s="9" t="s">
        <v>3357</v>
      </c>
      <c r="G1225" s="9" t="s">
        <v>3358</v>
      </c>
      <c r="H1225" s="9" t="s">
        <v>3359</v>
      </c>
      <c r="I1225" s="10">
        <v>45622</v>
      </c>
    </row>
    <row r="1226" spans="1:9" x14ac:dyDescent="0.15">
      <c r="A1226" s="9">
        <v>1225</v>
      </c>
      <c r="B1226" s="9" t="s">
        <v>9</v>
      </c>
      <c r="C1226" s="9">
        <v>1925</v>
      </c>
      <c r="D1226" s="10">
        <v>45715</v>
      </c>
      <c r="E1226" s="11" t="str">
        <f>+HYPERLINK("http://trademark.i-assist.jp/data/china/image_1925th/82198202.pdf","82198202")</f>
        <v>82198202</v>
      </c>
      <c r="F1226" s="9" t="s">
        <v>3360</v>
      </c>
      <c r="G1226" s="9" t="s">
        <v>3361</v>
      </c>
      <c r="H1226" s="9" t="s">
        <v>3362</v>
      </c>
      <c r="I1226" s="10">
        <v>45622</v>
      </c>
    </row>
    <row r="1227" spans="1:9" x14ac:dyDescent="0.15">
      <c r="A1227" s="9">
        <v>1226</v>
      </c>
      <c r="B1227" s="9" t="s">
        <v>9</v>
      </c>
      <c r="C1227" s="9">
        <v>1925</v>
      </c>
      <c r="D1227" s="10">
        <v>45715</v>
      </c>
      <c r="E1227" s="11" t="str">
        <f>+HYPERLINK("http://trademark.i-assist.jp/data/china/image_1925th/82198339.pdf","82198339")</f>
        <v>82198339</v>
      </c>
      <c r="F1227" s="12" t="s">
        <v>57</v>
      </c>
      <c r="G1227" s="9" t="s">
        <v>3363</v>
      </c>
      <c r="H1227" s="9" t="s">
        <v>3364</v>
      </c>
      <c r="I1227" s="10">
        <v>45622</v>
      </c>
    </row>
    <row r="1228" spans="1:9" x14ac:dyDescent="0.15">
      <c r="A1228" s="9">
        <v>1227</v>
      </c>
      <c r="B1228" s="9" t="s">
        <v>9</v>
      </c>
      <c r="C1228" s="9">
        <v>1925</v>
      </c>
      <c r="D1228" s="10">
        <v>45715</v>
      </c>
      <c r="E1228" s="11" t="str">
        <f>+HYPERLINK("http://trademark.i-assist.jp/data/china/image_1925th/82198394.pdf","82198394")</f>
        <v>82198394</v>
      </c>
      <c r="F1228" s="9" t="s">
        <v>3365</v>
      </c>
      <c r="G1228" s="9" t="s">
        <v>3366</v>
      </c>
      <c r="H1228" s="9" t="s">
        <v>3367</v>
      </c>
      <c r="I1228" s="10">
        <v>45622</v>
      </c>
    </row>
    <row r="1229" spans="1:9" x14ac:dyDescent="0.15">
      <c r="A1229" s="9">
        <v>1228</v>
      </c>
      <c r="B1229" s="9" t="s">
        <v>9</v>
      </c>
      <c r="C1229" s="9">
        <v>1925</v>
      </c>
      <c r="D1229" s="10">
        <v>45715</v>
      </c>
      <c r="E1229" s="11" t="str">
        <f>+HYPERLINK("http://trademark.i-assist.jp/data/china/image_1925th/82198580.pdf","82198580")</f>
        <v>82198580</v>
      </c>
      <c r="F1229" s="9" t="s">
        <v>3368</v>
      </c>
      <c r="G1229" s="9" t="s">
        <v>3369</v>
      </c>
      <c r="H1229" s="12" t="s">
        <v>3370</v>
      </c>
      <c r="I1229" s="10">
        <v>45622</v>
      </c>
    </row>
    <row r="1230" spans="1:9" x14ac:dyDescent="0.15">
      <c r="A1230" s="9">
        <v>1229</v>
      </c>
      <c r="B1230" s="9" t="s">
        <v>9</v>
      </c>
      <c r="C1230" s="9">
        <v>1925</v>
      </c>
      <c r="D1230" s="10">
        <v>45715</v>
      </c>
      <c r="E1230" s="11" t="str">
        <f>+HYPERLINK("http://trademark.i-assist.jp/data/china/image_1925th/82198632.pdf","82198632")</f>
        <v>82198632</v>
      </c>
      <c r="F1230" s="12" t="s">
        <v>3371</v>
      </c>
      <c r="G1230" s="9" t="s">
        <v>3372</v>
      </c>
      <c r="H1230" s="12" t="s">
        <v>3373</v>
      </c>
      <c r="I1230" s="10">
        <v>45622</v>
      </c>
    </row>
    <row r="1231" spans="1:9" x14ac:dyDescent="0.15">
      <c r="A1231" s="9">
        <v>1230</v>
      </c>
      <c r="B1231" s="9" t="s">
        <v>9</v>
      </c>
      <c r="C1231" s="9">
        <v>1925</v>
      </c>
      <c r="D1231" s="10">
        <v>45715</v>
      </c>
      <c r="E1231" s="11" t="str">
        <f>+HYPERLINK("http://trademark.i-assist.jp/data/china/image_1925th/82198683.pdf","82198683")</f>
        <v>82198683</v>
      </c>
      <c r="F1231" s="9" t="s">
        <v>3374</v>
      </c>
      <c r="G1231" s="9" t="s">
        <v>3375</v>
      </c>
      <c r="H1231" s="12" t="s">
        <v>3376</v>
      </c>
      <c r="I1231" s="10">
        <v>45622</v>
      </c>
    </row>
    <row r="1232" spans="1:9" x14ac:dyDescent="0.15">
      <c r="A1232" s="9">
        <v>1231</v>
      </c>
      <c r="B1232" s="9" t="s">
        <v>9</v>
      </c>
      <c r="C1232" s="9">
        <v>1925</v>
      </c>
      <c r="D1232" s="10">
        <v>45715</v>
      </c>
      <c r="E1232" s="11" t="str">
        <f>+HYPERLINK("http://trademark.i-assist.jp/data/china/image_1925th/82198898.pdf","82198898")</f>
        <v>82198898</v>
      </c>
      <c r="F1232" s="9" t="s">
        <v>3377</v>
      </c>
      <c r="G1232" s="9" t="s">
        <v>3378</v>
      </c>
      <c r="H1232" s="9" t="s">
        <v>3379</v>
      </c>
      <c r="I1232" s="10">
        <v>45622</v>
      </c>
    </row>
    <row r="1233" spans="1:9" x14ac:dyDescent="0.15">
      <c r="A1233" s="9">
        <v>1232</v>
      </c>
      <c r="B1233" s="9" t="s">
        <v>9</v>
      </c>
      <c r="C1233" s="9">
        <v>1925</v>
      </c>
      <c r="D1233" s="10">
        <v>45715</v>
      </c>
      <c r="E1233" s="11" t="str">
        <f>+HYPERLINK("http://trademark.i-assist.jp/data/china/image_1925th/82199042.pdf","82199042")</f>
        <v>82199042</v>
      </c>
      <c r="F1233" s="9" t="s">
        <v>3380</v>
      </c>
      <c r="G1233" s="9" t="s">
        <v>3381</v>
      </c>
      <c r="H1233" s="9" t="s">
        <v>3382</v>
      </c>
      <c r="I1233" s="10">
        <v>45622</v>
      </c>
    </row>
    <row r="1234" spans="1:9" x14ac:dyDescent="0.15">
      <c r="A1234" s="9">
        <v>1233</v>
      </c>
      <c r="B1234" s="9" t="s">
        <v>9</v>
      </c>
      <c r="C1234" s="9">
        <v>1925</v>
      </c>
      <c r="D1234" s="10">
        <v>45715</v>
      </c>
      <c r="E1234" s="11" t="str">
        <f>+HYPERLINK("http://trademark.i-assist.jp/data/china/image_1925th/82199100.pdf","82199100")</f>
        <v>82199100</v>
      </c>
      <c r="F1234" s="12" t="s">
        <v>3383</v>
      </c>
      <c r="G1234" s="9" t="s">
        <v>3384</v>
      </c>
      <c r="H1234" s="9" t="s">
        <v>3385</v>
      </c>
      <c r="I1234" s="10">
        <v>45622</v>
      </c>
    </row>
    <row r="1235" spans="1:9" x14ac:dyDescent="0.15">
      <c r="A1235" s="9">
        <v>1234</v>
      </c>
      <c r="B1235" s="9" t="s">
        <v>9</v>
      </c>
      <c r="C1235" s="9">
        <v>1925</v>
      </c>
      <c r="D1235" s="10">
        <v>45715</v>
      </c>
      <c r="E1235" s="11" t="str">
        <f>+HYPERLINK("http://trademark.i-assist.jp/data/china/image_1925th/82199306.pdf","82199306")</f>
        <v>82199306</v>
      </c>
      <c r="F1235" s="12" t="s">
        <v>3386</v>
      </c>
      <c r="G1235" s="12" t="s">
        <v>3077</v>
      </c>
      <c r="H1235" s="12" t="s">
        <v>3387</v>
      </c>
      <c r="I1235" s="10">
        <v>45622</v>
      </c>
    </row>
    <row r="1236" spans="1:9" x14ac:dyDescent="0.15">
      <c r="A1236" s="9">
        <v>1235</v>
      </c>
      <c r="B1236" s="9" t="s">
        <v>9</v>
      </c>
      <c r="C1236" s="9">
        <v>1925</v>
      </c>
      <c r="D1236" s="10">
        <v>45715</v>
      </c>
      <c r="E1236" s="11" t="str">
        <f>+HYPERLINK("http://trademark.i-assist.jp/data/china/image_1925th/82199326.pdf","82199326")</f>
        <v>82199326</v>
      </c>
      <c r="F1236" s="9" t="s">
        <v>3388</v>
      </c>
      <c r="G1236" s="12" t="s">
        <v>3389</v>
      </c>
      <c r="H1236" s="9" t="s">
        <v>3390</v>
      </c>
      <c r="I1236" s="10">
        <v>45622</v>
      </c>
    </row>
    <row r="1237" spans="1:9" x14ac:dyDescent="0.15">
      <c r="A1237" s="9">
        <v>1236</v>
      </c>
      <c r="B1237" s="9" t="s">
        <v>9</v>
      </c>
      <c r="C1237" s="9">
        <v>1925</v>
      </c>
      <c r="D1237" s="10">
        <v>45715</v>
      </c>
      <c r="E1237" s="11" t="str">
        <f>+HYPERLINK("http://trademark.i-assist.jp/data/china/image_1925th/82199940.pdf","82199940")</f>
        <v>82199940</v>
      </c>
      <c r="F1237" s="12" t="s">
        <v>3391</v>
      </c>
      <c r="G1237" s="9" t="s">
        <v>3392</v>
      </c>
      <c r="H1237" s="12" t="s">
        <v>3393</v>
      </c>
      <c r="I1237" s="10">
        <v>45622</v>
      </c>
    </row>
    <row r="1238" spans="1:9" x14ac:dyDescent="0.15">
      <c r="A1238" s="9">
        <v>1237</v>
      </c>
      <c r="B1238" s="9" t="s">
        <v>9</v>
      </c>
      <c r="C1238" s="9">
        <v>1925</v>
      </c>
      <c r="D1238" s="10">
        <v>45715</v>
      </c>
      <c r="E1238" s="11" t="str">
        <f>+HYPERLINK("http://trademark.i-assist.jp/data/china/image_1925th/82200321.pdf","82200321")</f>
        <v>82200321</v>
      </c>
      <c r="F1238" s="9" t="s">
        <v>3394</v>
      </c>
      <c r="G1238" s="9" t="s">
        <v>3395</v>
      </c>
      <c r="H1238" s="9" t="s">
        <v>3396</v>
      </c>
      <c r="I1238" s="10">
        <v>45622</v>
      </c>
    </row>
    <row r="1239" spans="1:9" x14ac:dyDescent="0.15">
      <c r="A1239" s="9">
        <v>1238</v>
      </c>
      <c r="B1239" s="9" t="s">
        <v>9</v>
      </c>
      <c r="C1239" s="9">
        <v>1925</v>
      </c>
      <c r="D1239" s="10">
        <v>45715</v>
      </c>
      <c r="E1239" s="11" t="str">
        <f>+HYPERLINK("http://trademark.i-assist.jp/data/china/image_1925th/82200537.pdf","82200537")</f>
        <v>82200537</v>
      </c>
      <c r="F1239" s="12" t="s">
        <v>3397</v>
      </c>
      <c r="G1239" s="9" t="s">
        <v>3398</v>
      </c>
      <c r="H1239" s="9" t="s">
        <v>3399</v>
      </c>
      <c r="I1239" s="10">
        <v>45622</v>
      </c>
    </row>
    <row r="1240" spans="1:9" x14ac:dyDescent="0.15">
      <c r="A1240" s="9">
        <v>1239</v>
      </c>
      <c r="B1240" s="9" t="s">
        <v>9</v>
      </c>
      <c r="C1240" s="9">
        <v>1925</v>
      </c>
      <c r="D1240" s="10">
        <v>45715</v>
      </c>
      <c r="E1240" s="11" t="str">
        <f>+HYPERLINK("http://trademark.i-assist.jp/data/china/image_1925th/82201013.pdf","82201013")</f>
        <v>82201013</v>
      </c>
      <c r="F1240" s="9" t="s">
        <v>3400</v>
      </c>
      <c r="G1240" s="9" t="s">
        <v>3401</v>
      </c>
      <c r="H1240" s="9" t="s">
        <v>3402</v>
      </c>
      <c r="I1240" s="10">
        <v>45622</v>
      </c>
    </row>
    <row r="1241" spans="1:9" x14ac:dyDescent="0.15">
      <c r="A1241" s="9">
        <v>1240</v>
      </c>
      <c r="B1241" s="9" t="s">
        <v>9</v>
      </c>
      <c r="C1241" s="9">
        <v>1925</v>
      </c>
      <c r="D1241" s="10">
        <v>45715</v>
      </c>
      <c r="E1241" s="11" t="str">
        <f>+HYPERLINK("http://trademark.i-assist.jp/data/china/image_1925th/82201559.pdf","82201559")</f>
        <v>82201559</v>
      </c>
      <c r="F1241" s="9" t="s">
        <v>3403</v>
      </c>
      <c r="G1241" s="9" t="s">
        <v>3404</v>
      </c>
      <c r="H1241" s="9" t="s">
        <v>3405</v>
      </c>
      <c r="I1241" s="10">
        <v>45622</v>
      </c>
    </row>
    <row r="1242" spans="1:9" x14ac:dyDescent="0.15">
      <c r="A1242" s="9">
        <v>1241</v>
      </c>
      <c r="B1242" s="9" t="s">
        <v>9</v>
      </c>
      <c r="C1242" s="9">
        <v>1925</v>
      </c>
      <c r="D1242" s="10">
        <v>45715</v>
      </c>
      <c r="E1242" s="11" t="str">
        <f>+HYPERLINK("http://trademark.i-assist.jp/data/china/image_1925th/82201598.pdf","82201598")</f>
        <v>82201598</v>
      </c>
      <c r="F1242" s="9" t="s">
        <v>3406</v>
      </c>
      <c r="G1242" s="9" t="s">
        <v>3407</v>
      </c>
      <c r="H1242" s="9" t="s">
        <v>3408</v>
      </c>
      <c r="I1242" s="10">
        <v>45623</v>
      </c>
    </row>
    <row r="1243" spans="1:9" x14ac:dyDescent="0.15">
      <c r="A1243" s="9">
        <v>1242</v>
      </c>
      <c r="B1243" s="9" t="s">
        <v>9</v>
      </c>
      <c r="C1243" s="9">
        <v>1925</v>
      </c>
      <c r="D1243" s="10">
        <v>45715</v>
      </c>
      <c r="E1243" s="11" t="str">
        <f>+HYPERLINK("http://trademark.i-assist.jp/data/china/image_1925th/82201798.pdf","82201798")</f>
        <v>82201798</v>
      </c>
      <c r="F1243" s="9" t="s">
        <v>3409</v>
      </c>
      <c r="G1243" s="9" t="s">
        <v>3410</v>
      </c>
      <c r="H1243" s="9" t="s">
        <v>3411</v>
      </c>
      <c r="I1243" s="10">
        <v>45623</v>
      </c>
    </row>
    <row r="1244" spans="1:9" x14ac:dyDescent="0.15">
      <c r="A1244" s="9">
        <v>1243</v>
      </c>
      <c r="B1244" s="9" t="s">
        <v>9</v>
      </c>
      <c r="C1244" s="9">
        <v>1925</v>
      </c>
      <c r="D1244" s="10">
        <v>45715</v>
      </c>
      <c r="E1244" s="11" t="str">
        <f>+HYPERLINK("http://trademark.i-assist.jp/data/china/image_1925th/82201984.pdf","82201984")</f>
        <v>82201984</v>
      </c>
      <c r="F1244" s="9" t="s">
        <v>3412</v>
      </c>
      <c r="G1244" s="9" t="s">
        <v>3413</v>
      </c>
      <c r="H1244" s="9" t="s">
        <v>3414</v>
      </c>
      <c r="I1244" s="10">
        <v>45623</v>
      </c>
    </row>
    <row r="1245" spans="1:9" x14ac:dyDescent="0.15">
      <c r="A1245" s="9">
        <v>1244</v>
      </c>
      <c r="B1245" s="9" t="s">
        <v>9</v>
      </c>
      <c r="C1245" s="9">
        <v>1925</v>
      </c>
      <c r="D1245" s="10">
        <v>45715</v>
      </c>
      <c r="E1245" s="11" t="str">
        <f>+HYPERLINK("http://trademark.i-assist.jp/data/china/image_1925th/82202451.pdf","82202451")</f>
        <v>82202451</v>
      </c>
      <c r="F1245" s="9" t="s">
        <v>3415</v>
      </c>
      <c r="G1245" s="9" t="s">
        <v>3416</v>
      </c>
      <c r="H1245" s="9" t="s">
        <v>3417</v>
      </c>
      <c r="I1245" s="10">
        <v>45623</v>
      </c>
    </row>
    <row r="1246" spans="1:9" x14ac:dyDescent="0.15">
      <c r="A1246" s="9">
        <v>1245</v>
      </c>
      <c r="B1246" s="9" t="s">
        <v>9</v>
      </c>
      <c r="C1246" s="9">
        <v>1925</v>
      </c>
      <c r="D1246" s="10">
        <v>45715</v>
      </c>
      <c r="E1246" s="11" t="str">
        <f>+HYPERLINK("http://trademark.i-assist.jp/data/china/image_1925th/82202688.pdf","82202688")</f>
        <v>82202688</v>
      </c>
      <c r="F1246" s="9" t="s">
        <v>3418</v>
      </c>
      <c r="G1246" s="9" t="s">
        <v>1042</v>
      </c>
      <c r="H1246" s="9" t="s">
        <v>3419</v>
      </c>
      <c r="I1246" s="10">
        <v>45623</v>
      </c>
    </row>
    <row r="1247" spans="1:9" x14ac:dyDescent="0.15">
      <c r="A1247" s="9">
        <v>1246</v>
      </c>
      <c r="B1247" s="9" t="s">
        <v>9</v>
      </c>
      <c r="C1247" s="9">
        <v>1925</v>
      </c>
      <c r="D1247" s="10">
        <v>45715</v>
      </c>
      <c r="E1247" s="11" t="str">
        <f>+HYPERLINK("http://trademark.i-assist.jp/data/china/image_1925th/82203112.pdf","82203112")</f>
        <v>82203112</v>
      </c>
      <c r="F1247" s="9" t="s">
        <v>3420</v>
      </c>
      <c r="G1247" s="9" t="s">
        <v>3421</v>
      </c>
      <c r="H1247" s="9" t="s">
        <v>3422</v>
      </c>
      <c r="I1247" s="10">
        <v>45623</v>
      </c>
    </row>
    <row r="1248" spans="1:9" x14ac:dyDescent="0.15">
      <c r="A1248" s="9">
        <v>1247</v>
      </c>
      <c r="B1248" s="9" t="s">
        <v>9</v>
      </c>
      <c r="C1248" s="9">
        <v>1925</v>
      </c>
      <c r="D1248" s="10">
        <v>45715</v>
      </c>
      <c r="E1248" s="11" t="str">
        <f>+HYPERLINK("http://trademark.i-assist.jp/data/china/image_1925th/82203234.pdf","82203234")</f>
        <v>82203234</v>
      </c>
      <c r="F1248" s="9" t="s">
        <v>3423</v>
      </c>
      <c r="G1248" s="9" t="s">
        <v>3424</v>
      </c>
      <c r="H1248" s="9" t="s">
        <v>3425</v>
      </c>
      <c r="I1248" s="10">
        <v>45623</v>
      </c>
    </row>
    <row r="1249" spans="1:9" x14ac:dyDescent="0.15">
      <c r="A1249" s="9">
        <v>1248</v>
      </c>
      <c r="B1249" s="9" t="s">
        <v>9</v>
      </c>
      <c r="C1249" s="9">
        <v>1925</v>
      </c>
      <c r="D1249" s="10">
        <v>45715</v>
      </c>
      <c r="E1249" s="11" t="str">
        <f>+HYPERLINK("http://trademark.i-assist.jp/data/china/image_1925th/82203561.pdf","82203561")</f>
        <v>82203561</v>
      </c>
      <c r="F1249" s="12" t="s">
        <v>3426</v>
      </c>
      <c r="G1249" s="9" t="s">
        <v>3427</v>
      </c>
      <c r="H1249" s="9" t="s">
        <v>3428</v>
      </c>
      <c r="I1249" s="10">
        <v>45623</v>
      </c>
    </row>
    <row r="1250" spans="1:9" x14ac:dyDescent="0.15">
      <c r="A1250" s="9">
        <v>1249</v>
      </c>
      <c r="B1250" s="9" t="s">
        <v>9</v>
      </c>
      <c r="C1250" s="9">
        <v>1925</v>
      </c>
      <c r="D1250" s="10">
        <v>45715</v>
      </c>
      <c r="E1250" s="11" t="str">
        <f>+HYPERLINK("http://trademark.i-assist.jp/data/china/image_1925th/82203657.pdf","82203657")</f>
        <v>82203657</v>
      </c>
      <c r="F1250" s="9" t="s">
        <v>3429</v>
      </c>
      <c r="G1250" s="9" t="s">
        <v>3430</v>
      </c>
      <c r="H1250" s="9" t="s">
        <v>3431</v>
      </c>
      <c r="I1250" s="10">
        <v>45623</v>
      </c>
    </row>
    <row r="1251" spans="1:9" x14ac:dyDescent="0.15">
      <c r="A1251" s="9">
        <v>1250</v>
      </c>
      <c r="B1251" s="9" t="s">
        <v>9</v>
      </c>
      <c r="C1251" s="9">
        <v>1925</v>
      </c>
      <c r="D1251" s="10">
        <v>45715</v>
      </c>
      <c r="E1251" s="11" t="str">
        <f>+HYPERLINK("http://trademark.i-assist.jp/data/china/image_1925th/82203742.pdf","82203742")</f>
        <v>82203742</v>
      </c>
      <c r="F1251" s="12" t="s">
        <v>3432</v>
      </c>
      <c r="G1251" s="9" t="s">
        <v>30</v>
      </c>
      <c r="H1251" s="9" t="s">
        <v>3433</v>
      </c>
      <c r="I1251" s="10">
        <v>45623</v>
      </c>
    </row>
    <row r="1252" spans="1:9" x14ac:dyDescent="0.15">
      <c r="A1252" s="9">
        <v>1251</v>
      </c>
      <c r="B1252" s="9" t="s">
        <v>9</v>
      </c>
      <c r="C1252" s="9">
        <v>1925</v>
      </c>
      <c r="D1252" s="10">
        <v>45715</v>
      </c>
      <c r="E1252" s="11" t="str">
        <f>+HYPERLINK("http://trademark.i-assist.jp/data/china/image_1925th/82203872.pdf","82203872")</f>
        <v>82203872</v>
      </c>
      <c r="F1252" s="9" t="s">
        <v>3434</v>
      </c>
      <c r="G1252" s="9" t="s">
        <v>3435</v>
      </c>
      <c r="H1252" s="12" t="s">
        <v>3436</v>
      </c>
      <c r="I1252" s="10">
        <v>45623</v>
      </c>
    </row>
    <row r="1253" spans="1:9" x14ac:dyDescent="0.15">
      <c r="A1253" s="9">
        <v>1252</v>
      </c>
      <c r="B1253" s="9" t="s">
        <v>9</v>
      </c>
      <c r="C1253" s="9">
        <v>1925</v>
      </c>
      <c r="D1253" s="10">
        <v>45715</v>
      </c>
      <c r="E1253" s="11" t="str">
        <f>+HYPERLINK("http://trademark.i-assist.jp/data/china/image_1925th/82204010.pdf","82204010")</f>
        <v>82204010</v>
      </c>
      <c r="F1253" s="9" t="s">
        <v>3437</v>
      </c>
      <c r="G1253" s="9" t="s">
        <v>3435</v>
      </c>
      <c r="H1253" s="9" t="s">
        <v>3438</v>
      </c>
      <c r="I1253" s="10">
        <v>45623</v>
      </c>
    </row>
    <row r="1254" spans="1:9" x14ac:dyDescent="0.15">
      <c r="A1254" s="9">
        <v>1253</v>
      </c>
      <c r="B1254" s="9" t="s">
        <v>9</v>
      </c>
      <c r="C1254" s="9">
        <v>1925</v>
      </c>
      <c r="D1254" s="10">
        <v>45715</v>
      </c>
      <c r="E1254" s="11" t="str">
        <f>+HYPERLINK("http://trademark.i-assist.jp/data/china/image_1925th/82204123.pdf","82204123")</f>
        <v>82204123</v>
      </c>
      <c r="F1254" s="9" t="s">
        <v>3439</v>
      </c>
      <c r="G1254" s="9" t="s">
        <v>3440</v>
      </c>
      <c r="H1254" s="9" t="s">
        <v>3441</v>
      </c>
      <c r="I1254" s="10">
        <v>45623</v>
      </c>
    </row>
    <row r="1255" spans="1:9" x14ac:dyDescent="0.15">
      <c r="A1255" s="9">
        <v>1254</v>
      </c>
      <c r="B1255" s="9" t="s">
        <v>9</v>
      </c>
      <c r="C1255" s="9">
        <v>1925</v>
      </c>
      <c r="D1255" s="10">
        <v>45715</v>
      </c>
      <c r="E1255" s="11" t="str">
        <f>+HYPERLINK("http://trademark.i-assist.jp/data/china/image_1925th/82204912.pdf","82204912")</f>
        <v>82204912</v>
      </c>
      <c r="F1255" s="9" t="s">
        <v>3442</v>
      </c>
      <c r="G1255" s="9" t="s">
        <v>3443</v>
      </c>
      <c r="H1255" s="9" t="s">
        <v>3444</v>
      </c>
      <c r="I1255" s="10">
        <v>45623</v>
      </c>
    </row>
    <row r="1256" spans="1:9" x14ac:dyDescent="0.15">
      <c r="A1256" s="9">
        <v>1255</v>
      </c>
      <c r="B1256" s="9" t="s">
        <v>9</v>
      </c>
      <c r="C1256" s="9">
        <v>1925</v>
      </c>
      <c r="D1256" s="10">
        <v>45715</v>
      </c>
      <c r="E1256" s="11" t="str">
        <f>+HYPERLINK("http://trademark.i-assist.jp/data/china/image_1925th/82205099.pdf","82205099")</f>
        <v>82205099</v>
      </c>
      <c r="F1256" s="9" t="s">
        <v>3445</v>
      </c>
      <c r="G1256" s="9" t="s">
        <v>3446</v>
      </c>
      <c r="H1256" s="9" t="s">
        <v>3447</v>
      </c>
      <c r="I1256" s="10">
        <v>45623</v>
      </c>
    </row>
    <row r="1257" spans="1:9" x14ac:dyDescent="0.15">
      <c r="A1257" s="9">
        <v>1256</v>
      </c>
      <c r="B1257" s="9" t="s">
        <v>9</v>
      </c>
      <c r="C1257" s="9">
        <v>1925</v>
      </c>
      <c r="D1257" s="10">
        <v>45715</v>
      </c>
      <c r="E1257" s="11" t="str">
        <f>+HYPERLINK("http://trademark.i-assist.jp/data/china/image_1925th/82205247.pdf","82205247")</f>
        <v>82205247</v>
      </c>
      <c r="F1257" s="9" t="s">
        <v>3448</v>
      </c>
      <c r="G1257" s="12" t="s">
        <v>3449</v>
      </c>
      <c r="H1257" s="9" t="s">
        <v>3450</v>
      </c>
      <c r="I1257" s="10">
        <v>45623</v>
      </c>
    </row>
    <row r="1258" spans="1:9" x14ac:dyDescent="0.15">
      <c r="A1258" s="9">
        <v>1257</v>
      </c>
      <c r="B1258" s="9" t="s">
        <v>9</v>
      </c>
      <c r="C1258" s="9">
        <v>1925</v>
      </c>
      <c r="D1258" s="10">
        <v>45715</v>
      </c>
      <c r="E1258" s="11" t="str">
        <f>+HYPERLINK("http://trademark.i-assist.jp/data/china/image_1925th/82205436.pdf","82205436")</f>
        <v>82205436</v>
      </c>
      <c r="F1258" s="12" t="s">
        <v>3451</v>
      </c>
      <c r="G1258" s="9" t="s">
        <v>3435</v>
      </c>
      <c r="H1258" s="9" t="s">
        <v>3452</v>
      </c>
      <c r="I1258" s="10">
        <v>45623</v>
      </c>
    </row>
    <row r="1259" spans="1:9" x14ac:dyDescent="0.15">
      <c r="A1259" s="9">
        <v>1258</v>
      </c>
      <c r="B1259" s="9" t="s">
        <v>9</v>
      </c>
      <c r="C1259" s="9">
        <v>1925</v>
      </c>
      <c r="D1259" s="10">
        <v>45715</v>
      </c>
      <c r="E1259" s="11" t="str">
        <f>+HYPERLINK("http://trademark.i-assist.jp/data/china/image_1925th/82205440.pdf","82205440")</f>
        <v>82205440</v>
      </c>
      <c r="F1259" s="9" t="s">
        <v>3453</v>
      </c>
      <c r="G1259" s="9" t="s">
        <v>3454</v>
      </c>
      <c r="H1259" s="9" t="s">
        <v>3455</v>
      </c>
      <c r="I1259" s="10">
        <v>45623</v>
      </c>
    </row>
    <row r="1260" spans="1:9" x14ac:dyDescent="0.15">
      <c r="A1260" s="9">
        <v>1259</v>
      </c>
      <c r="B1260" s="9" t="s">
        <v>9</v>
      </c>
      <c r="C1260" s="9">
        <v>1925</v>
      </c>
      <c r="D1260" s="10">
        <v>45715</v>
      </c>
      <c r="E1260" s="11" t="str">
        <f>+HYPERLINK("http://trademark.i-assist.jp/data/china/image_1925th/82205775.pdf","82205775")</f>
        <v>82205775</v>
      </c>
      <c r="F1260" s="9" t="s">
        <v>3456</v>
      </c>
      <c r="G1260" s="9" t="s">
        <v>3457</v>
      </c>
      <c r="H1260" s="9" t="s">
        <v>3458</v>
      </c>
      <c r="I1260" s="10">
        <v>45623</v>
      </c>
    </row>
    <row r="1261" spans="1:9" x14ac:dyDescent="0.15">
      <c r="A1261" s="9">
        <v>1260</v>
      </c>
      <c r="B1261" s="9" t="s">
        <v>9</v>
      </c>
      <c r="C1261" s="9">
        <v>1925</v>
      </c>
      <c r="D1261" s="10">
        <v>45715</v>
      </c>
      <c r="E1261" s="11" t="str">
        <f>+HYPERLINK("http://trademark.i-assist.jp/data/china/image_1925th/82205899.pdf","82205899")</f>
        <v>82205899</v>
      </c>
      <c r="F1261" s="9" t="s">
        <v>3459</v>
      </c>
      <c r="G1261" s="9" t="s">
        <v>3460</v>
      </c>
      <c r="H1261" s="9" t="s">
        <v>3461</v>
      </c>
      <c r="I1261" s="10">
        <v>45623</v>
      </c>
    </row>
    <row r="1262" spans="1:9" x14ac:dyDescent="0.15">
      <c r="A1262" s="9">
        <v>1261</v>
      </c>
      <c r="B1262" s="9" t="s">
        <v>9</v>
      </c>
      <c r="C1262" s="9">
        <v>1925</v>
      </c>
      <c r="D1262" s="10">
        <v>45715</v>
      </c>
      <c r="E1262" s="11" t="str">
        <f>+HYPERLINK("http://trademark.i-assist.jp/data/china/image_1925th/82206404.pdf","82206404")</f>
        <v>82206404</v>
      </c>
      <c r="F1262" s="9" t="s">
        <v>3462</v>
      </c>
      <c r="G1262" s="9" t="s">
        <v>3463</v>
      </c>
      <c r="H1262" s="9" t="s">
        <v>3464</v>
      </c>
      <c r="I1262" s="10">
        <v>45623</v>
      </c>
    </row>
    <row r="1263" spans="1:9" x14ac:dyDescent="0.15">
      <c r="A1263" s="9">
        <v>1262</v>
      </c>
      <c r="B1263" s="9" t="s">
        <v>9</v>
      </c>
      <c r="C1263" s="9">
        <v>1925</v>
      </c>
      <c r="D1263" s="10">
        <v>45715</v>
      </c>
      <c r="E1263" s="11" t="str">
        <f>+HYPERLINK("http://trademark.i-assist.jp/data/china/image_1925th/82206578.pdf","82206578")</f>
        <v>82206578</v>
      </c>
      <c r="F1263" s="9" t="s">
        <v>3465</v>
      </c>
      <c r="G1263" s="9" t="s">
        <v>3466</v>
      </c>
      <c r="H1263" s="9" t="s">
        <v>3467</v>
      </c>
      <c r="I1263" s="10">
        <v>45623</v>
      </c>
    </row>
    <row r="1264" spans="1:9" x14ac:dyDescent="0.15">
      <c r="A1264" s="9">
        <v>1263</v>
      </c>
      <c r="B1264" s="9" t="s">
        <v>9</v>
      </c>
      <c r="C1264" s="9">
        <v>1925</v>
      </c>
      <c r="D1264" s="10">
        <v>45715</v>
      </c>
      <c r="E1264" s="11" t="str">
        <f>+HYPERLINK("http://trademark.i-assist.jp/data/china/image_1925th/82206727.pdf","82206727")</f>
        <v>82206727</v>
      </c>
      <c r="F1264" s="9" t="s">
        <v>3468</v>
      </c>
      <c r="G1264" s="9" t="s">
        <v>3469</v>
      </c>
      <c r="H1264" s="9" t="s">
        <v>3470</v>
      </c>
      <c r="I1264" s="10">
        <v>45623</v>
      </c>
    </row>
    <row r="1265" spans="1:9" x14ac:dyDescent="0.15">
      <c r="A1265" s="9">
        <v>1264</v>
      </c>
      <c r="B1265" s="9" t="s">
        <v>9</v>
      </c>
      <c r="C1265" s="9">
        <v>1925</v>
      </c>
      <c r="D1265" s="10">
        <v>45715</v>
      </c>
      <c r="E1265" s="11" t="str">
        <f>+HYPERLINK("http://trademark.i-assist.jp/data/china/image_1925th/82207353.pdf","82207353")</f>
        <v>82207353</v>
      </c>
      <c r="F1265" s="9" t="s">
        <v>3471</v>
      </c>
      <c r="G1265" s="9" t="s">
        <v>3435</v>
      </c>
      <c r="H1265" s="9" t="s">
        <v>3472</v>
      </c>
      <c r="I1265" s="10">
        <v>45623</v>
      </c>
    </row>
    <row r="1266" spans="1:9" x14ac:dyDescent="0.15">
      <c r="A1266" s="9">
        <v>1265</v>
      </c>
      <c r="B1266" s="9" t="s">
        <v>9</v>
      </c>
      <c r="C1266" s="9">
        <v>1925</v>
      </c>
      <c r="D1266" s="10">
        <v>45715</v>
      </c>
      <c r="E1266" s="11" t="str">
        <f>+HYPERLINK("http://trademark.i-assist.jp/data/china/image_1925th/82207414.pdf","82207414")</f>
        <v>82207414</v>
      </c>
      <c r="F1266" s="9" t="s">
        <v>3473</v>
      </c>
      <c r="G1266" s="9" t="s">
        <v>1602</v>
      </c>
      <c r="H1266" s="9" t="s">
        <v>3474</v>
      </c>
      <c r="I1266" s="10">
        <v>45623</v>
      </c>
    </row>
    <row r="1267" spans="1:9" x14ac:dyDescent="0.15">
      <c r="A1267" s="9">
        <v>1266</v>
      </c>
      <c r="B1267" s="9" t="s">
        <v>9</v>
      </c>
      <c r="C1267" s="9">
        <v>1925</v>
      </c>
      <c r="D1267" s="10">
        <v>45715</v>
      </c>
      <c r="E1267" s="11" t="str">
        <f>+HYPERLINK("http://trademark.i-assist.jp/data/china/image_1925th/82207733.pdf","82207733")</f>
        <v>82207733</v>
      </c>
      <c r="F1267" s="9" t="s">
        <v>3475</v>
      </c>
      <c r="G1267" s="9" t="s">
        <v>3476</v>
      </c>
      <c r="H1267" s="9" t="s">
        <v>3477</v>
      </c>
      <c r="I1267" s="10">
        <v>45623</v>
      </c>
    </row>
    <row r="1268" spans="1:9" x14ac:dyDescent="0.15">
      <c r="A1268" s="9">
        <v>1267</v>
      </c>
      <c r="B1268" s="9" t="s">
        <v>9</v>
      </c>
      <c r="C1268" s="9">
        <v>1925</v>
      </c>
      <c r="D1268" s="10">
        <v>45715</v>
      </c>
      <c r="E1268" s="11" t="str">
        <f>+HYPERLINK("http://trademark.i-assist.jp/data/china/image_1925th/82208019.pdf","82208019")</f>
        <v>82208019</v>
      </c>
      <c r="F1268" s="12" t="s">
        <v>3478</v>
      </c>
      <c r="G1268" s="9" t="s">
        <v>3479</v>
      </c>
      <c r="H1268" s="9" t="s">
        <v>3480</v>
      </c>
      <c r="I1268" s="10">
        <v>45623</v>
      </c>
    </row>
    <row r="1269" spans="1:9" x14ac:dyDescent="0.15">
      <c r="A1269" s="9">
        <v>1268</v>
      </c>
      <c r="B1269" s="9" t="s">
        <v>9</v>
      </c>
      <c r="C1269" s="9">
        <v>1925</v>
      </c>
      <c r="D1269" s="10">
        <v>45715</v>
      </c>
      <c r="E1269" s="11" t="str">
        <f>+HYPERLINK("http://trademark.i-assist.jp/data/china/image_1925th/82208378.pdf","82208378")</f>
        <v>82208378</v>
      </c>
      <c r="F1269" s="9" t="s">
        <v>3481</v>
      </c>
      <c r="G1269" s="12" t="s">
        <v>3482</v>
      </c>
      <c r="H1269" s="9" t="s">
        <v>3483</v>
      </c>
      <c r="I1269" s="10">
        <v>45623</v>
      </c>
    </row>
    <row r="1270" spans="1:9" x14ac:dyDescent="0.15">
      <c r="A1270" s="9">
        <v>1269</v>
      </c>
      <c r="B1270" s="9" t="s">
        <v>9</v>
      </c>
      <c r="C1270" s="9">
        <v>1925</v>
      </c>
      <c r="D1270" s="10">
        <v>45715</v>
      </c>
      <c r="E1270" s="11" t="str">
        <f>+HYPERLINK("http://trademark.i-assist.jp/data/china/image_1925th/82208984.pdf","82208984")</f>
        <v>82208984</v>
      </c>
      <c r="F1270" s="9" t="s">
        <v>3484</v>
      </c>
      <c r="G1270" s="9" t="s">
        <v>3485</v>
      </c>
      <c r="H1270" s="9" t="s">
        <v>3486</v>
      </c>
      <c r="I1270" s="10">
        <v>45623</v>
      </c>
    </row>
    <row r="1271" spans="1:9" x14ac:dyDescent="0.15">
      <c r="A1271" s="9">
        <v>1270</v>
      </c>
      <c r="B1271" s="9" t="s">
        <v>9</v>
      </c>
      <c r="C1271" s="9">
        <v>1925</v>
      </c>
      <c r="D1271" s="10">
        <v>45715</v>
      </c>
      <c r="E1271" s="11" t="str">
        <f>+HYPERLINK("http://trademark.i-assist.jp/data/china/image_1925th/82209194.pdf","82209194")</f>
        <v>82209194</v>
      </c>
      <c r="F1271" s="9" t="s">
        <v>3487</v>
      </c>
      <c r="G1271" s="9" t="s">
        <v>3488</v>
      </c>
      <c r="H1271" s="9" t="s">
        <v>3489</v>
      </c>
      <c r="I1271" s="10">
        <v>45623</v>
      </c>
    </row>
    <row r="1272" spans="1:9" x14ac:dyDescent="0.15">
      <c r="A1272" s="9">
        <v>1271</v>
      </c>
      <c r="B1272" s="9" t="s">
        <v>9</v>
      </c>
      <c r="C1272" s="9">
        <v>1925</v>
      </c>
      <c r="D1272" s="10">
        <v>45715</v>
      </c>
      <c r="E1272" s="11" t="str">
        <f>+HYPERLINK("http://trademark.i-assist.jp/data/china/image_1925th/82209346.pdf","82209346")</f>
        <v>82209346</v>
      </c>
      <c r="F1272" s="12" t="s">
        <v>3490</v>
      </c>
      <c r="G1272" s="9" t="s">
        <v>3491</v>
      </c>
      <c r="H1272" s="9" t="s">
        <v>3492</v>
      </c>
      <c r="I1272" s="10">
        <v>45623</v>
      </c>
    </row>
    <row r="1273" spans="1:9" x14ac:dyDescent="0.15">
      <c r="A1273" s="9">
        <v>1272</v>
      </c>
      <c r="B1273" s="9" t="s">
        <v>9</v>
      </c>
      <c r="C1273" s="9">
        <v>1925</v>
      </c>
      <c r="D1273" s="10">
        <v>45715</v>
      </c>
      <c r="E1273" s="11" t="str">
        <f>+HYPERLINK("http://trademark.i-assist.jp/data/china/image_1925th/82209348.pdf","82209348")</f>
        <v>82209348</v>
      </c>
      <c r="F1273" s="9" t="s">
        <v>3493</v>
      </c>
      <c r="G1273" s="9" t="s">
        <v>3494</v>
      </c>
      <c r="H1273" s="9" t="s">
        <v>3495</v>
      </c>
      <c r="I1273" s="10">
        <v>45623</v>
      </c>
    </row>
    <row r="1274" spans="1:9" x14ac:dyDescent="0.15">
      <c r="A1274" s="9">
        <v>1273</v>
      </c>
      <c r="B1274" s="9" t="s">
        <v>9</v>
      </c>
      <c r="C1274" s="9">
        <v>1925</v>
      </c>
      <c r="D1274" s="10">
        <v>45715</v>
      </c>
      <c r="E1274" s="11" t="str">
        <f>+HYPERLINK("http://trademark.i-assist.jp/data/china/image_1925th/82209444.pdf","82209444")</f>
        <v>82209444</v>
      </c>
      <c r="F1274" s="9" t="s">
        <v>3496</v>
      </c>
      <c r="G1274" s="9" t="s">
        <v>3497</v>
      </c>
      <c r="H1274" s="12" t="s">
        <v>3498</v>
      </c>
      <c r="I1274" s="10">
        <v>45623</v>
      </c>
    </row>
    <row r="1275" spans="1:9" x14ac:dyDescent="0.15">
      <c r="A1275" s="9">
        <v>1274</v>
      </c>
      <c r="B1275" s="9" t="s">
        <v>9</v>
      </c>
      <c r="C1275" s="9">
        <v>1925</v>
      </c>
      <c r="D1275" s="10">
        <v>45715</v>
      </c>
      <c r="E1275" s="11" t="str">
        <f>+HYPERLINK("http://trademark.i-assist.jp/data/china/image_1925th/82209493.pdf","82209493")</f>
        <v>82209493</v>
      </c>
      <c r="F1275" s="9" t="s">
        <v>3499</v>
      </c>
      <c r="G1275" s="9" t="s">
        <v>3500</v>
      </c>
      <c r="H1275" s="9" t="s">
        <v>3501</v>
      </c>
      <c r="I1275" s="10">
        <v>45623</v>
      </c>
    </row>
    <row r="1276" spans="1:9" x14ac:dyDescent="0.15">
      <c r="A1276" s="9">
        <v>1275</v>
      </c>
      <c r="B1276" s="9" t="s">
        <v>9</v>
      </c>
      <c r="C1276" s="9">
        <v>1925</v>
      </c>
      <c r="D1276" s="10">
        <v>45715</v>
      </c>
      <c r="E1276" s="11" t="str">
        <f>+HYPERLINK("http://trademark.i-assist.jp/data/china/image_1925th/82209808.pdf","82209808")</f>
        <v>82209808</v>
      </c>
      <c r="F1276" s="9" t="s">
        <v>3502</v>
      </c>
      <c r="G1276" s="12" t="s">
        <v>3503</v>
      </c>
      <c r="H1276" s="9" t="s">
        <v>3504</v>
      </c>
      <c r="I1276" s="10">
        <v>45623</v>
      </c>
    </row>
    <row r="1277" spans="1:9" x14ac:dyDescent="0.15">
      <c r="A1277" s="9">
        <v>1276</v>
      </c>
      <c r="B1277" s="9" t="s">
        <v>9</v>
      </c>
      <c r="C1277" s="9">
        <v>1925</v>
      </c>
      <c r="D1277" s="10">
        <v>45715</v>
      </c>
      <c r="E1277" s="11" t="str">
        <f>+HYPERLINK("http://trademark.i-assist.jp/data/china/image_1925th/82209919.pdf","82209919")</f>
        <v>82209919</v>
      </c>
      <c r="F1277" s="12" t="s">
        <v>3505</v>
      </c>
      <c r="G1277" s="12" t="s">
        <v>3506</v>
      </c>
      <c r="H1277" s="9" t="s">
        <v>3507</v>
      </c>
      <c r="I1277" s="10">
        <v>45623</v>
      </c>
    </row>
    <row r="1278" spans="1:9" x14ac:dyDescent="0.15">
      <c r="A1278" s="9">
        <v>1277</v>
      </c>
      <c r="B1278" s="9" t="s">
        <v>9</v>
      </c>
      <c r="C1278" s="9">
        <v>1925</v>
      </c>
      <c r="D1278" s="10">
        <v>45715</v>
      </c>
      <c r="E1278" s="11" t="str">
        <f>+HYPERLINK("http://trademark.i-assist.jp/data/china/image_1925th/82210133.pdf","82210133")</f>
        <v>82210133</v>
      </c>
      <c r="F1278" s="9" t="s">
        <v>3508</v>
      </c>
      <c r="G1278" s="9" t="s">
        <v>3485</v>
      </c>
      <c r="H1278" s="9" t="s">
        <v>3509</v>
      </c>
      <c r="I1278" s="10">
        <v>45623</v>
      </c>
    </row>
    <row r="1279" spans="1:9" x14ac:dyDescent="0.15">
      <c r="A1279" s="9">
        <v>1278</v>
      </c>
      <c r="B1279" s="9" t="s">
        <v>9</v>
      </c>
      <c r="C1279" s="9">
        <v>1925</v>
      </c>
      <c r="D1279" s="10">
        <v>45715</v>
      </c>
      <c r="E1279" s="11" t="str">
        <f>+HYPERLINK("http://trademark.i-assist.jp/data/china/image_1925th/82210195.pdf","82210195")</f>
        <v>82210195</v>
      </c>
      <c r="F1279" s="9" t="s">
        <v>3510</v>
      </c>
      <c r="G1279" s="9" t="s">
        <v>1602</v>
      </c>
      <c r="H1279" s="9" t="s">
        <v>3511</v>
      </c>
      <c r="I1279" s="10">
        <v>45623</v>
      </c>
    </row>
    <row r="1280" spans="1:9" x14ac:dyDescent="0.15">
      <c r="A1280" s="9">
        <v>1279</v>
      </c>
      <c r="B1280" s="9" t="s">
        <v>9</v>
      </c>
      <c r="C1280" s="9">
        <v>1925</v>
      </c>
      <c r="D1280" s="10">
        <v>45715</v>
      </c>
      <c r="E1280" s="11" t="str">
        <f>+HYPERLINK("http://trademark.i-assist.jp/data/china/image_1925th/82210318.pdf","82210318")</f>
        <v>82210318</v>
      </c>
      <c r="F1280" s="9" t="s">
        <v>3512</v>
      </c>
      <c r="G1280" s="9" t="s">
        <v>3513</v>
      </c>
      <c r="H1280" s="9" t="s">
        <v>3514</v>
      </c>
      <c r="I1280" s="10">
        <v>45623</v>
      </c>
    </row>
    <row r="1281" spans="1:9" x14ac:dyDescent="0.15">
      <c r="A1281" s="9">
        <v>1280</v>
      </c>
      <c r="B1281" s="9" t="s">
        <v>9</v>
      </c>
      <c r="C1281" s="9">
        <v>1925</v>
      </c>
      <c r="D1281" s="10">
        <v>45715</v>
      </c>
      <c r="E1281" s="11" t="str">
        <f>+HYPERLINK("http://trademark.i-assist.jp/data/china/image_1925th/82210354.pdf","82210354")</f>
        <v>82210354</v>
      </c>
      <c r="F1281" s="9" t="s">
        <v>3515</v>
      </c>
      <c r="G1281" s="12" t="s">
        <v>3516</v>
      </c>
      <c r="H1281" s="9" t="s">
        <v>3517</v>
      </c>
      <c r="I1281" s="10">
        <v>45623</v>
      </c>
    </row>
    <row r="1282" spans="1:9" x14ac:dyDescent="0.15">
      <c r="A1282" s="9">
        <v>1281</v>
      </c>
      <c r="B1282" s="9" t="s">
        <v>9</v>
      </c>
      <c r="C1282" s="9">
        <v>1925</v>
      </c>
      <c r="D1282" s="10">
        <v>45715</v>
      </c>
      <c r="E1282" s="11" t="str">
        <f>+HYPERLINK("http://trademark.i-assist.jp/data/china/image_1925th/82210734.pdf","82210734")</f>
        <v>82210734</v>
      </c>
      <c r="F1282" s="9" t="s">
        <v>3518</v>
      </c>
      <c r="G1282" s="9" t="s">
        <v>3519</v>
      </c>
      <c r="H1282" s="9" t="s">
        <v>3520</v>
      </c>
      <c r="I1282" s="10">
        <v>45623</v>
      </c>
    </row>
    <row r="1283" spans="1:9" x14ac:dyDescent="0.15">
      <c r="A1283" s="9">
        <v>1282</v>
      </c>
      <c r="B1283" s="9" t="s">
        <v>9</v>
      </c>
      <c r="C1283" s="9">
        <v>1925</v>
      </c>
      <c r="D1283" s="10">
        <v>45715</v>
      </c>
      <c r="E1283" s="11" t="str">
        <f>+HYPERLINK("http://trademark.i-assist.jp/data/china/image_1925th/82210872.pdf","82210872")</f>
        <v>82210872</v>
      </c>
      <c r="F1283" s="9" t="s">
        <v>3521</v>
      </c>
      <c r="G1283" s="12" t="s">
        <v>3522</v>
      </c>
      <c r="H1283" s="9" t="s">
        <v>3523</v>
      </c>
      <c r="I1283" s="10">
        <v>45623</v>
      </c>
    </row>
    <row r="1284" spans="1:9" x14ac:dyDescent="0.15">
      <c r="A1284" s="9">
        <v>1283</v>
      </c>
      <c r="B1284" s="9" t="s">
        <v>9</v>
      </c>
      <c r="C1284" s="9">
        <v>1925</v>
      </c>
      <c r="D1284" s="10">
        <v>45715</v>
      </c>
      <c r="E1284" s="11" t="str">
        <f>+HYPERLINK("http://trademark.i-assist.jp/data/china/image_1925th/82210896.pdf","82210896")</f>
        <v>82210896</v>
      </c>
      <c r="F1284" s="9" t="s">
        <v>3524</v>
      </c>
      <c r="G1284" s="12" t="s">
        <v>3525</v>
      </c>
      <c r="H1284" s="9" t="s">
        <v>3526</v>
      </c>
      <c r="I1284" s="10">
        <v>45623</v>
      </c>
    </row>
    <row r="1285" spans="1:9" x14ac:dyDescent="0.15">
      <c r="A1285" s="9">
        <v>1284</v>
      </c>
      <c r="B1285" s="9" t="s">
        <v>9</v>
      </c>
      <c r="C1285" s="9">
        <v>1925</v>
      </c>
      <c r="D1285" s="10">
        <v>45715</v>
      </c>
      <c r="E1285" s="11" t="str">
        <f>+HYPERLINK("http://trademark.i-assist.jp/data/china/image_1925th/82211046.pdf","82211046")</f>
        <v>82211046</v>
      </c>
      <c r="F1285" s="9" t="s">
        <v>3527</v>
      </c>
      <c r="G1285" s="9" t="s">
        <v>3528</v>
      </c>
      <c r="H1285" s="9" t="s">
        <v>3529</v>
      </c>
      <c r="I1285" s="10">
        <v>45623</v>
      </c>
    </row>
    <row r="1286" spans="1:9" x14ac:dyDescent="0.15">
      <c r="A1286" s="9">
        <v>1285</v>
      </c>
      <c r="B1286" s="9" t="s">
        <v>9</v>
      </c>
      <c r="C1286" s="9">
        <v>1925</v>
      </c>
      <c r="D1286" s="10">
        <v>45715</v>
      </c>
      <c r="E1286" s="11" t="str">
        <f>+HYPERLINK("http://trademark.i-assist.jp/data/china/image_1925th/82211365.pdf","82211365")</f>
        <v>82211365</v>
      </c>
      <c r="F1286" s="12" t="s">
        <v>3530</v>
      </c>
      <c r="G1286" s="12" t="s">
        <v>3531</v>
      </c>
      <c r="H1286" s="9" t="s">
        <v>3532</v>
      </c>
      <c r="I1286" s="10">
        <v>45623</v>
      </c>
    </row>
    <row r="1287" spans="1:9" x14ac:dyDescent="0.15">
      <c r="A1287" s="9">
        <v>1286</v>
      </c>
      <c r="B1287" s="9" t="s">
        <v>9</v>
      </c>
      <c r="C1287" s="9">
        <v>1925</v>
      </c>
      <c r="D1287" s="10">
        <v>45715</v>
      </c>
      <c r="E1287" s="11" t="str">
        <f>+HYPERLINK("http://trademark.i-assist.jp/data/china/image_1925th/82211453.pdf","82211453")</f>
        <v>82211453</v>
      </c>
      <c r="F1287" s="9" t="s">
        <v>3533</v>
      </c>
      <c r="G1287" s="12" t="s">
        <v>3534</v>
      </c>
      <c r="H1287" s="9" t="s">
        <v>3535</v>
      </c>
      <c r="I1287" s="10">
        <v>45623</v>
      </c>
    </row>
    <row r="1288" spans="1:9" x14ac:dyDescent="0.15">
      <c r="A1288" s="9">
        <v>1287</v>
      </c>
      <c r="B1288" s="9" t="s">
        <v>9</v>
      </c>
      <c r="C1288" s="9">
        <v>1925</v>
      </c>
      <c r="D1288" s="10">
        <v>45715</v>
      </c>
      <c r="E1288" s="11" t="str">
        <f>+HYPERLINK("http://trademark.i-assist.jp/data/china/image_1925th/82212484.pdf","82212484")</f>
        <v>82212484</v>
      </c>
      <c r="F1288" s="9" t="s">
        <v>3536</v>
      </c>
      <c r="G1288" s="9" t="s">
        <v>3537</v>
      </c>
      <c r="H1288" s="9" t="s">
        <v>3538</v>
      </c>
      <c r="I1288" s="10">
        <v>45623</v>
      </c>
    </row>
    <row r="1289" spans="1:9" x14ac:dyDescent="0.15">
      <c r="A1289" s="9">
        <v>1288</v>
      </c>
      <c r="B1289" s="9" t="s">
        <v>9</v>
      </c>
      <c r="C1289" s="9">
        <v>1925</v>
      </c>
      <c r="D1289" s="10">
        <v>45715</v>
      </c>
      <c r="E1289" s="11" t="str">
        <f>+HYPERLINK("http://trademark.i-assist.jp/data/china/image_1925th/82212520.pdf","82212520")</f>
        <v>82212520</v>
      </c>
      <c r="F1289" s="9" t="s">
        <v>3539</v>
      </c>
      <c r="G1289" s="9" t="s">
        <v>3540</v>
      </c>
      <c r="H1289" s="9" t="s">
        <v>3541</v>
      </c>
      <c r="I1289" s="10">
        <v>45623</v>
      </c>
    </row>
    <row r="1290" spans="1:9" x14ac:dyDescent="0.15">
      <c r="A1290" s="9">
        <v>1289</v>
      </c>
      <c r="B1290" s="9" t="s">
        <v>9</v>
      </c>
      <c r="C1290" s="9">
        <v>1925</v>
      </c>
      <c r="D1290" s="10">
        <v>45715</v>
      </c>
      <c r="E1290" s="11" t="str">
        <f>+HYPERLINK("http://trademark.i-assist.jp/data/china/image_1925th/82212598.pdf","82212598")</f>
        <v>82212598</v>
      </c>
      <c r="F1290" s="9" t="s">
        <v>3542</v>
      </c>
      <c r="G1290" s="9" t="s">
        <v>3543</v>
      </c>
      <c r="H1290" s="9" t="s">
        <v>3544</v>
      </c>
      <c r="I1290" s="10">
        <v>45623</v>
      </c>
    </row>
    <row r="1291" spans="1:9" x14ac:dyDescent="0.15">
      <c r="A1291" s="9">
        <v>1290</v>
      </c>
      <c r="B1291" s="9" t="s">
        <v>9</v>
      </c>
      <c r="C1291" s="9">
        <v>1925</v>
      </c>
      <c r="D1291" s="10">
        <v>45715</v>
      </c>
      <c r="E1291" s="11" t="str">
        <f>+HYPERLINK("http://trademark.i-assist.jp/data/china/image_1925th/82212926.pdf","82212926")</f>
        <v>82212926</v>
      </c>
      <c r="F1291" s="9" t="s">
        <v>3545</v>
      </c>
      <c r="G1291" s="9" t="s">
        <v>3546</v>
      </c>
      <c r="H1291" s="9" t="s">
        <v>3547</v>
      </c>
      <c r="I1291" s="10">
        <v>45623</v>
      </c>
    </row>
    <row r="1292" spans="1:9" x14ac:dyDescent="0.15">
      <c r="A1292" s="9">
        <v>1291</v>
      </c>
      <c r="B1292" s="9" t="s">
        <v>9</v>
      </c>
      <c r="C1292" s="9">
        <v>1925</v>
      </c>
      <c r="D1292" s="10">
        <v>45715</v>
      </c>
      <c r="E1292" s="11" t="str">
        <f>+HYPERLINK("http://trademark.i-assist.jp/data/china/image_1925th/82213696.pdf","82213696")</f>
        <v>82213696</v>
      </c>
      <c r="F1292" s="9" t="s">
        <v>3548</v>
      </c>
      <c r="G1292" s="9" t="s">
        <v>3549</v>
      </c>
      <c r="H1292" s="9" t="s">
        <v>3550</v>
      </c>
      <c r="I1292" s="10">
        <v>45623</v>
      </c>
    </row>
    <row r="1293" spans="1:9" x14ac:dyDescent="0.15">
      <c r="A1293" s="9">
        <v>1292</v>
      </c>
      <c r="B1293" s="9" t="s">
        <v>9</v>
      </c>
      <c r="C1293" s="9">
        <v>1925</v>
      </c>
      <c r="D1293" s="10">
        <v>45715</v>
      </c>
      <c r="E1293" s="11" t="str">
        <f>+HYPERLINK("http://trademark.i-assist.jp/data/china/image_1925th/82213932.pdf","82213932")</f>
        <v>82213932</v>
      </c>
      <c r="F1293" s="9" t="s">
        <v>3551</v>
      </c>
      <c r="G1293" s="9" t="s">
        <v>3552</v>
      </c>
      <c r="H1293" s="9" t="s">
        <v>3553</v>
      </c>
      <c r="I1293" s="10">
        <v>45623</v>
      </c>
    </row>
    <row r="1294" spans="1:9" x14ac:dyDescent="0.15">
      <c r="A1294" s="9">
        <v>1293</v>
      </c>
      <c r="B1294" s="9" t="s">
        <v>9</v>
      </c>
      <c r="C1294" s="9">
        <v>1925</v>
      </c>
      <c r="D1294" s="10">
        <v>45715</v>
      </c>
      <c r="E1294" s="11" t="str">
        <f>+HYPERLINK("http://trademark.i-assist.jp/data/china/image_1925th/82214024.pdf","82214024")</f>
        <v>82214024</v>
      </c>
      <c r="F1294" s="9" t="s">
        <v>3554</v>
      </c>
      <c r="G1294" s="9" t="s">
        <v>3555</v>
      </c>
      <c r="H1294" s="9" t="s">
        <v>3556</v>
      </c>
      <c r="I1294" s="10">
        <v>45623</v>
      </c>
    </row>
    <row r="1295" spans="1:9" x14ac:dyDescent="0.15">
      <c r="A1295" s="9">
        <v>1294</v>
      </c>
      <c r="B1295" s="9" t="s">
        <v>9</v>
      </c>
      <c r="C1295" s="9">
        <v>1925</v>
      </c>
      <c r="D1295" s="10">
        <v>45715</v>
      </c>
      <c r="E1295" s="11" t="str">
        <f>+HYPERLINK("http://trademark.i-assist.jp/data/china/image_1925th/82214400.pdf","82214400")</f>
        <v>82214400</v>
      </c>
      <c r="F1295" s="9" t="s">
        <v>3557</v>
      </c>
      <c r="G1295" s="9" t="s">
        <v>3558</v>
      </c>
      <c r="H1295" s="9" t="s">
        <v>3559</v>
      </c>
      <c r="I1295" s="10">
        <v>45623</v>
      </c>
    </row>
    <row r="1296" spans="1:9" x14ac:dyDescent="0.15">
      <c r="A1296" s="9">
        <v>1295</v>
      </c>
      <c r="B1296" s="9" t="s">
        <v>9</v>
      </c>
      <c r="C1296" s="9">
        <v>1925</v>
      </c>
      <c r="D1296" s="10">
        <v>45715</v>
      </c>
      <c r="E1296" s="11" t="str">
        <f>+HYPERLINK("http://trademark.i-assist.jp/data/china/image_1925th/82214420.pdf","82214420")</f>
        <v>82214420</v>
      </c>
      <c r="F1296" s="9" t="s">
        <v>3560</v>
      </c>
      <c r="G1296" s="9" t="s">
        <v>3561</v>
      </c>
      <c r="H1296" s="9" t="s">
        <v>3562</v>
      </c>
      <c r="I1296" s="10">
        <v>45623</v>
      </c>
    </row>
    <row r="1297" spans="1:9" x14ac:dyDescent="0.15">
      <c r="A1297" s="9">
        <v>1296</v>
      </c>
      <c r="B1297" s="9" t="s">
        <v>9</v>
      </c>
      <c r="C1297" s="9">
        <v>1925</v>
      </c>
      <c r="D1297" s="10">
        <v>45715</v>
      </c>
      <c r="E1297" s="11" t="str">
        <f>+HYPERLINK("http://trademark.i-assist.jp/data/china/image_1925th/82214472.pdf","82214472")</f>
        <v>82214472</v>
      </c>
      <c r="F1297" s="9" t="s">
        <v>3563</v>
      </c>
      <c r="G1297" s="9" t="s">
        <v>3564</v>
      </c>
      <c r="H1297" s="12" t="s">
        <v>3565</v>
      </c>
      <c r="I1297" s="10">
        <v>45623</v>
      </c>
    </row>
    <row r="1298" spans="1:9" x14ac:dyDescent="0.15">
      <c r="A1298" s="9">
        <v>1297</v>
      </c>
      <c r="B1298" s="9" t="s">
        <v>9</v>
      </c>
      <c r="C1298" s="9">
        <v>1925</v>
      </c>
      <c r="D1298" s="10">
        <v>45715</v>
      </c>
      <c r="E1298" s="11" t="str">
        <f>+HYPERLINK("http://trademark.i-assist.jp/data/china/image_1925th/82214520.pdf","82214520")</f>
        <v>82214520</v>
      </c>
      <c r="F1298" s="9" t="s">
        <v>3566</v>
      </c>
      <c r="G1298" s="9" t="s">
        <v>3567</v>
      </c>
      <c r="H1298" s="9" t="s">
        <v>3568</v>
      </c>
      <c r="I1298" s="10">
        <v>45623</v>
      </c>
    </row>
    <row r="1299" spans="1:9" x14ac:dyDescent="0.15">
      <c r="A1299" s="9">
        <v>1298</v>
      </c>
      <c r="B1299" s="9" t="s">
        <v>9</v>
      </c>
      <c r="C1299" s="9">
        <v>1925</v>
      </c>
      <c r="D1299" s="10">
        <v>45715</v>
      </c>
      <c r="E1299" s="11" t="str">
        <f>+HYPERLINK("http://trademark.i-assist.jp/data/china/image_1925th/82214557.pdf","82214557")</f>
        <v>82214557</v>
      </c>
      <c r="F1299" s="12" t="s">
        <v>3569</v>
      </c>
      <c r="G1299" s="9" t="s">
        <v>3570</v>
      </c>
      <c r="H1299" s="9" t="s">
        <v>3571</v>
      </c>
      <c r="I1299" s="10">
        <v>45623</v>
      </c>
    </row>
    <row r="1300" spans="1:9" x14ac:dyDescent="0.15">
      <c r="A1300" s="9">
        <v>1299</v>
      </c>
      <c r="B1300" s="9" t="s">
        <v>9</v>
      </c>
      <c r="C1300" s="9">
        <v>1925</v>
      </c>
      <c r="D1300" s="10">
        <v>45715</v>
      </c>
      <c r="E1300" s="11" t="str">
        <f>+HYPERLINK("http://trademark.i-assist.jp/data/china/image_1925th/82214586.pdf","82214586")</f>
        <v>82214586</v>
      </c>
      <c r="F1300" s="9" t="s">
        <v>3572</v>
      </c>
      <c r="G1300" s="9" t="s">
        <v>3573</v>
      </c>
      <c r="H1300" s="9" t="s">
        <v>3574</v>
      </c>
      <c r="I1300" s="10">
        <v>45623</v>
      </c>
    </row>
    <row r="1301" spans="1:9" x14ac:dyDescent="0.15">
      <c r="A1301" s="9">
        <v>1300</v>
      </c>
      <c r="B1301" s="9" t="s">
        <v>9</v>
      </c>
      <c r="C1301" s="9">
        <v>1925</v>
      </c>
      <c r="D1301" s="10">
        <v>45715</v>
      </c>
      <c r="E1301" s="11" t="str">
        <f>+HYPERLINK("http://trademark.i-assist.jp/data/china/image_1925th/82214982.pdf","82214982")</f>
        <v>82214982</v>
      </c>
      <c r="F1301" s="9" t="s">
        <v>3575</v>
      </c>
      <c r="G1301" s="9" t="s">
        <v>3576</v>
      </c>
      <c r="H1301" s="9" t="s">
        <v>3577</v>
      </c>
      <c r="I1301" s="10">
        <v>45623</v>
      </c>
    </row>
    <row r="1302" spans="1:9" x14ac:dyDescent="0.15">
      <c r="A1302" s="9">
        <v>1301</v>
      </c>
      <c r="B1302" s="9" t="s">
        <v>9</v>
      </c>
      <c r="C1302" s="9">
        <v>1925</v>
      </c>
      <c r="D1302" s="10">
        <v>45715</v>
      </c>
      <c r="E1302" s="11" t="str">
        <f>+HYPERLINK("http://trademark.i-assist.jp/data/china/image_1925th/82215158.pdf","82215158")</f>
        <v>82215158</v>
      </c>
      <c r="F1302" s="12" t="s">
        <v>3578</v>
      </c>
      <c r="G1302" s="9" t="s">
        <v>3579</v>
      </c>
      <c r="H1302" s="9" t="s">
        <v>3580</v>
      </c>
      <c r="I1302" s="10">
        <v>45623</v>
      </c>
    </row>
    <row r="1303" spans="1:9" x14ac:dyDescent="0.15">
      <c r="A1303" s="9">
        <v>1302</v>
      </c>
      <c r="B1303" s="9" t="s">
        <v>9</v>
      </c>
      <c r="C1303" s="9">
        <v>1925</v>
      </c>
      <c r="D1303" s="10">
        <v>45715</v>
      </c>
      <c r="E1303" s="11" t="str">
        <f>+HYPERLINK("http://trademark.i-assist.jp/data/china/image_1925th/82215175.pdf","82215175")</f>
        <v>82215175</v>
      </c>
      <c r="F1303" s="12" t="s">
        <v>57</v>
      </c>
      <c r="G1303" s="12" t="s">
        <v>3581</v>
      </c>
      <c r="H1303" s="9" t="s">
        <v>3582</v>
      </c>
      <c r="I1303" s="10">
        <v>45623</v>
      </c>
    </row>
    <row r="1304" spans="1:9" x14ac:dyDescent="0.15">
      <c r="A1304" s="9">
        <v>1303</v>
      </c>
      <c r="B1304" s="9" t="s">
        <v>9</v>
      </c>
      <c r="C1304" s="9">
        <v>1925</v>
      </c>
      <c r="D1304" s="10">
        <v>45715</v>
      </c>
      <c r="E1304" s="11" t="str">
        <f>+HYPERLINK("http://trademark.i-assist.jp/data/china/image_1925th/82215334.pdf","82215334")</f>
        <v>82215334</v>
      </c>
      <c r="F1304" s="9" t="s">
        <v>3583</v>
      </c>
      <c r="G1304" s="9" t="s">
        <v>3584</v>
      </c>
      <c r="H1304" s="9" t="s">
        <v>3585</v>
      </c>
      <c r="I1304" s="10">
        <v>45623</v>
      </c>
    </row>
    <row r="1305" spans="1:9" x14ac:dyDescent="0.15">
      <c r="A1305" s="9">
        <v>1304</v>
      </c>
      <c r="B1305" s="9" t="s">
        <v>9</v>
      </c>
      <c r="C1305" s="9">
        <v>1925</v>
      </c>
      <c r="D1305" s="10">
        <v>45715</v>
      </c>
      <c r="E1305" s="11" t="str">
        <f>+HYPERLINK("http://trademark.i-assist.jp/data/china/image_1925th/82215349.pdf","82215349")</f>
        <v>82215349</v>
      </c>
      <c r="F1305" s="9" t="s">
        <v>3586</v>
      </c>
      <c r="G1305" s="9" t="s">
        <v>3587</v>
      </c>
      <c r="H1305" s="9" t="s">
        <v>3588</v>
      </c>
      <c r="I1305" s="10">
        <v>45623</v>
      </c>
    </row>
    <row r="1306" spans="1:9" x14ac:dyDescent="0.15">
      <c r="A1306" s="9">
        <v>1305</v>
      </c>
      <c r="B1306" s="9" t="s">
        <v>9</v>
      </c>
      <c r="C1306" s="9">
        <v>1925</v>
      </c>
      <c r="D1306" s="10">
        <v>45715</v>
      </c>
      <c r="E1306" s="11" t="str">
        <f>+HYPERLINK("http://trademark.i-assist.jp/data/china/image_1925th/82215378.pdf","82215378")</f>
        <v>82215378</v>
      </c>
      <c r="F1306" s="9" t="s">
        <v>3589</v>
      </c>
      <c r="G1306" s="9" t="s">
        <v>3590</v>
      </c>
      <c r="H1306" s="12" t="s">
        <v>3591</v>
      </c>
      <c r="I1306" s="10">
        <v>45623</v>
      </c>
    </row>
    <row r="1307" spans="1:9" x14ac:dyDescent="0.15">
      <c r="A1307" s="9">
        <v>1306</v>
      </c>
      <c r="B1307" s="9" t="s">
        <v>9</v>
      </c>
      <c r="C1307" s="9">
        <v>1925</v>
      </c>
      <c r="D1307" s="10">
        <v>45715</v>
      </c>
      <c r="E1307" s="11" t="str">
        <f>+HYPERLINK("http://trademark.i-assist.jp/data/china/image_1925th/82215736.pdf","82215736")</f>
        <v>82215736</v>
      </c>
      <c r="F1307" s="12" t="s">
        <v>57</v>
      </c>
      <c r="G1307" s="12" t="s">
        <v>3592</v>
      </c>
      <c r="H1307" s="9" t="s">
        <v>3593</v>
      </c>
      <c r="I1307" s="10">
        <v>45623</v>
      </c>
    </row>
    <row r="1308" spans="1:9" x14ac:dyDescent="0.15">
      <c r="A1308" s="9">
        <v>1307</v>
      </c>
      <c r="B1308" s="9" t="s">
        <v>9</v>
      </c>
      <c r="C1308" s="9">
        <v>1925</v>
      </c>
      <c r="D1308" s="10">
        <v>45715</v>
      </c>
      <c r="E1308" s="11" t="str">
        <f>+HYPERLINK("http://trademark.i-assist.jp/data/china/image_1925th/82216026.pdf","82216026")</f>
        <v>82216026</v>
      </c>
      <c r="F1308" s="9" t="s">
        <v>3594</v>
      </c>
      <c r="G1308" s="9" t="s">
        <v>3595</v>
      </c>
      <c r="H1308" s="9" t="s">
        <v>3596</v>
      </c>
      <c r="I1308" s="10">
        <v>45623</v>
      </c>
    </row>
    <row r="1309" spans="1:9" x14ac:dyDescent="0.15">
      <c r="A1309" s="9">
        <v>1308</v>
      </c>
      <c r="B1309" s="9" t="s">
        <v>9</v>
      </c>
      <c r="C1309" s="9">
        <v>1925</v>
      </c>
      <c r="D1309" s="10">
        <v>45715</v>
      </c>
      <c r="E1309" s="11" t="str">
        <f>+HYPERLINK("http://trademark.i-assist.jp/data/china/image_1925th/82216251.pdf","82216251")</f>
        <v>82216251</v>
      </c>
      <c r="F1309" s="12" t="s">
        <v>3597</v>
      </c>
      <c r="G1309" s="9" t="s">
        <v>3598</v>
      </c>
      <c r="H1309" s="9" t="s">
        <v>3599</v>
      </c>
      <c r="I1309" s="10">
        <v>45623</v>
      </c>
    </row>
    <row r="1310" spans="1:9" x14ac:dyDescent="0.15">
      <c r="A1310" s="9">
        <v>1309</v>
      </c>
      <c r="B1310" s="9" t="s">
        <v>9</v>
      </c>
      <c r="C1310" s="9">
        <v>1925</v>
      </c>
      <c r="D1310" s="10">
        <v>45715</v>
      </c>
      <c r="E1310" s="11" t="str">
        <f>+HYPERLINK("http://trademark.i-assist.jp/data/china/image_1925th/82216447.pdf","82216447")</f>
        <v>82216447</v>
      </c>
      <c r="F1310" s="12" t="s">
        <v>3600</v>
      </c>
      <c r="G1310" s="9" t="s">
        <v>2546</v>
      </c>
      <c r="H1310" s="12" t="s">
        <v>3601</v>
      </c>
      <c r="I1310" s="10">
        <v>45623</v>
      </c>
    </row>
    <row r="1311" spans="1:9" x14ac:dyDescent="0.15">
      <c r="A1311" s="9">
        <v>1310</v>
      </c>
      <c r="B1311" s="9" t="s">
        <v>9</v>
      </c>
      <c r="C1311" s="9">
        <v>1925</v>
      </c>
      <c r="D1311" s="10">
        <v>45715</v>
      </c>
      <c r="E1311" s="11" t="str">
        <f>+HYPERLINK("http://trademark.i-assist.jp/data/china/image_1925th/82216600.pdf","82216600")</f>
        <v>82216600</v>
      </c>
      <c r="F1311" s="9" t="s">
        <v>3602</v>
      </c>
      <c r="G1311" s="9" t="s">
        <v>3603</v>
      </c>
      <c r="H1311" s="9" t="s">
        <v>3604</v>
      </c>
      <c r="I1311" s="10">
        <v>45623</v>
      </c>
    </row>
    <row r="1312" spans="1:9" x14ac:dyDescent="0.15">
      <c r="A1312" s="9">
        <v>1311</v>
      </c>
      <c r="B1312" s="9" t="s">
        <v>9</v>
      </c>
      <c r="C1312" s="9">
        <v>1925</v>
      </c>
      <c r="D1312" s="10">
        <v>45715</v>
      </c>
      <c r="E1312" s="11" t="str">
        <f>+HYPERLINK("http://trademark.i-assist.jp/data/china/image_1925th/82216621.pdf","82216621")</f>
        <v>82216621</v>
      </c>
      <c r="F1312" s="9" t="s">
        <v>3605</v>
      </c>
      <c r="G1312" s="9" t="s">
        <v>1602</v>
      </c>
      <c r="H1312" s="9" t="s">
        <v>3606</v>
      </c>
      <c r="I1312" s="10">
        <v>45623</v>
      </c>
    </row>
    <row r="1313" spans="1:9" x14ac:dyDescent="0.15">
      <c r="A1313" s="9">
        <v>1312</v>
      </c>
      <c r="B1313" s="9" t="s">
        <v>9</v>
      </c>
      <c r="C1313" s="9">
        <v>1925</v>
      </c>
      <c r="D1313" s="10">
        <v>45715</v>
      </c>
      <c r="E1313" s="11" t="str">
        <f>+HYPERLINK("http://trademark.i-assist.jp/data/china/image_1925th/82216664.pdf","82216664")</f>
        <v>82216664</v>
      </c>
      <c r="F1313" s="9" t="s">
        <v>3607</v>
      </c>
      <c r="G1313" s="9" t="s">
        <v>3608</v>
      </c>
      <c r="H1313" s="9" t="s">
        <v>3609</v>
      </c>
      <c r="I1313" s="10">
        <v>45623</v>
      </c>
    </row>
    <row r="1314" spans="1:9" x14ac:dyDescent="0.15">
      <c r="A1314" s="9">
        <v>1313</v>
      </c>
      <c r="B1314" s="9" t="s">
        <v>9</v>
      </c>
      <c r="C1314" s="9">
        <v>1925</v>
      </c>
      <c r="D1314" s="10">
        <v>45715</v>
      </c>
      <c r="E1314" s="11" t="str">
        <f>+HYPERLINK("http://trademark.i-assist.jp/data/china/image_1925th/82216706.pdf","82216706")</f>
        <v>82216706</v>
      </c>
      <c r="F1314" s="9" t="s">
        <v>3610</v>
      </c>
      <c r="G1314" s="9" t="s">
        <v>3611</v>
      </c>
      <c r="H1314" s="9" t="s">
        <v>3612</v>
      </c>
      <c r="I1314" s="10">
        <v>45623</v>
      </c>
    </row>
    <row r="1315" spans="1:9" x14ac:dyDescent="0.15">
      <c r="A1315" s="9">
        <v>1314</v>
      </c>
      <c r="B1315" s="9" t="s">
        <v>9</v>
      </c>
      <c r="C1315" s="9">
        <v>1925</v>
      </c>
      <c r="D1315" s="10">
        <v>45715</v>
      </c>
      <c r="E1315" s="11" t="str">
        <f>+HYPERLINK("http://trademark.i-assist.jp/data/china/image_1925th/82217032.pdf","82217032")</f>
        <v>82217032</v>
      </c>
      <c r="F1315" s="9" t="s">
        <v>3613</v>
      </c>
      <c r="G1315" s="9" t="s">
        <v>1602</v>
      </c>
      <c r="H1315" s="9" t="s">
        <v>3614</v>
      </c>
      <c r="I1315" s="10">
        <v>45623</v>
      </c>
    </row>
    <row r="1316" spans="1:9" x14ac:dyDescent="0.15">
      <c r="A1316" s="9">
        <v>1315</v>
      </c>
      <c r="B1316" s="9" t="s">
        <v>9</v>
      </c>
      <c r="C1316" s="9">
        <v>1925</v>
      </c>
      <c r="D1316" s="10">
        <v>45715</v>
      </c>
      <c r="E1316" s="11" t="str">
        <f>+HYPERLINK("http://trademark.i-assist.jp/data/china/image_1925th/82217327.pdf","82217327")</f>
        <v>82217327</v>
      </c>
      <c r="F1316" s="12" t="s">
        <v>3615</v>
      </c>
      <c r="G1316" s="9" t="s">
        <v>3616</v>
      </c>
      <c r="H1316" s="9" t="s">
        <v>3617</v>
      </c>
      <c r="I1316" s="10">
        <v>45623</v>
      </c>
    </row>
    <row r="1317" spans="1:9" x14ac:dyDescent="0.15">
      <c r="A1317" s="9">
        <v>1316</v>
      </c>
      <c r="B1317" s="9" t="s">
        <v>9</v>
      </c>
      <c r="C1317" s="9">
        <v>1925</v>
      </c>
      <c r="D1317" s="10">
        <v>45715</v>
      </c>
      <c r="E1317" s="11" t="str">
        <f>+HYPERLINK("http://trademark.i-assist.jp/data/china/image_1925th/82217363.pdf","82217363")</f>
        <v>82217363</v>
      </c>
      <c r="F1317" s="9" t="s">
        <v>3618</v>
      </c>
      <c r="G1317" s="9" t="s">
        <v>1602</v>
      </c>
      <c r="H1317" s="9" t="s">
        <v>3619</v>
      </c>
      <c r="I1317" s="10">
        <v>45623</v>
      </c>
    </row>
    <row r="1318" spans="1:9" x14ac:dyDescent="0.15">
      <c r="A1318" s="9">
        <v>1317</v>
      </c>
      <c r="B1318" s="9" t="s">
        <v>9</v>
      </c>
      <c r="C1318" s="9">
        <v>1925</v>
      </c>
      <c r="D1318" s="10">
        <v>45715</v>
      </c>
      <c r="E1318" s="11" t="str">
        <f>+HYPERLINK("http://trademark.i-assist.jp/data/china/image_1925th/82217635.pdf","82217635")</f>
        <v>82217635</v>
      </c>
      <c r="F1318" s="12" t="s">
        <v>3620</v>
      </c>
      <c r="G1318" s="9" t="s">
        <v>3621</v>
      </c>
      <c r="H1318" s="9" t="s">
        <v>3622</v>
      </c>
      <c r="I1318" s="10">
        <v>45623</v>
      </c>
    </row>
    <row r="1319" spans="1:9" x14ac:dyDescent="0.15">
      <c r="A1319" s="9">
        <v>1318</v>
      </c>
      <c r="B1319" s="9" t="s">
        <v>9</v>
      </c>
      <c r="C1319" s="9">
        <v>1925</v>
      </c>
      <c r="D1319" s="10">
        <v>45715</v>
      </c>
      <c r="E1319" s="11" t="str">
        <f>+HYPERLINK("http://trademark.i-assist.jp/data/china/image_1925th/82217811.pdf","82217811")</f>
        <v>82217811</v>
      </c>
      <c r="F1319" s="9" t="s">
        <v>3623</v>
      </c>
      <c r="G1319" s="9" t="s">
        <v>1042</v>
      </c>
      <c r="H1319" s="9" t="s">
        <v>3624</v>
      </c>
      <c r="I1319" s="10">
        <v>45623</v>
      </c>
    </row>
    <row r="1320" spans="1:9" x14ac:dyDescent="0.15">
      <c r="A1320" s="9">
        <v>1319</v>
      </c>
      <c r="B1320" s="9" t="s">
        <v>9</v>
      </c>
      <c r="C1320" s="9">
        <v>1925</v>
      </c>
      <c r="D1320" s="10">
        <v>45715</v>
      </c>
      <c r="E1320" s="11" t="str">
        <f>+HYPERLINK("http://trademark.i-assist.jp/data/china/image_1925th/82217901.pdf","82217901")</f>
        <v>82217901</v>
      </c>
      <c r="F1320" s="12" t="s">
        <v>3625</v>
      </c>
      <c r="G1320" s="9" t="s">
        <v>3626</v>
      </c>
      <c r="H1320" s="9" t="s">
        <v>3627</v>
      </c>
      <c r="I1320" s="10">
        <v>45623</v>
      </c>
    </row>
    <row r="1321" spans="1:9" x14ac:dyDescent="0.15">
      <c r="A1321" s="9">
        <v>1320</v>
      </c>
      <c r="B1321" s="9" t="s">
        <v>9</v>
      </c>
      <c r="C1321" s="9">
        <v>1925</v>
      </c>
      <c r="D1321" s="10">
        <v>45715</v>
      </c>
      <c r="E1321" s="11" t="str">
        <f>+HYPERLINK("http://trademark.i-assist.jp/data/china/image_1925th/82217959.pdf","82217959")</f>
        <v>82217959</v>
      </c>
      <c r="F1321" s="12" t="s">
        <v>3628</v>
      </c>
      <c r="G1321" s="12" t="s">
        <v>3629</v>
      </c>
      <c r="H1321" s="9" t="s">
        <v>3630</v>
      </c>
      <c r="I1321" s="10">
        <v>45623</v>
      </c>
    </row>
    <row r="1322" spans="1:9" x14ac:dyDescent="0.15">
      <c r="A1322" s="9">
        <v>1321</v>
      </c>
      <c r="B1322" s="9" t="s">
        <v>9</v>
      </c>
      <c r="C1322" s="9">
        <v>1925</v>
      </c>
      <c r="D1322" s="10">
        <v>45715</v>
      </c>
      <c r="E1322" s="11" t="str">
        <f>+HYPERLINK("http://trademark.i-assist.jp/data/china/image_1925th/82218113.pdf","82218113")</f>
        <v>82218113</v>
      </c>
      <c r="F1322" s="12" t="s">
        <v>3631</v>
      </c>
      <c r="G1322" s="9" t="s">
        <v>3632</v>
      </c>
      <c r="H1322" s="9" t="s">
        <v>3633</v>
      </c>
      <c r="I1322" s="10">
        <v>45623</v>
      </c>
    </row>
    <row r="1323" spans="1:9" x14ac:dyDescent="0.15">
      <c r="A1323" s="9">
        <v>1322</v>
      </c>
      <c r="B1323" s="9" t="s">
        <v>9</v>
      </c>
      <c r="C1323" s="9">
        <v>1925</v>
      </c>
      <c r="D1323" s="10">
        <v>45715</v>
      </c>
      <c r="E1323" s="11" t="str">
        <f>+HYPERLINK("http://trademark.i-assist.jp/data/china/image_1925th/82218732.pdf","82218732")</f>
        <v>82218732</v>
      </c>
      <c r="F1323" s="12" t="s">
        <v>3634</v>
      </c>
      <c r="G1323" s="12" t="s">
        <v>3635</v>
      </c>
      <c r="H1323" s="9" t="s">
        <v>3636</v>
      </c>
      <c r="I1323" s="10">
        <v>45623</v>
      </c>
    </row>
    <row r="1324" spans="1:9" x14ac:dyDescent="0.15">
      <c r="A1324" s="9">
        <v>1323</v>
      </c>
      <c r="B1324" s="9" t="s">
        <v>9</v>
      </c>
      <c r="C1324" s="9">
        <v>1925</v>
      </c>
      <c r="D1324" s="10">
        <v>45715</v>
      </c>
      <c r="E1324" s="11" t="str">
        <f>+HYPERLINK("http://trademark.i-assist.jp/data/china/image_1925th/82218889.pdf","82218889")</f>
        <v>82218889</v>
      </c>
      <c r="F1324" s="9" t="s">
        <v>3637</v>
      </c>
      <c r="G1324" s="9" t="s">
        <v>3638</v>
      </c>
      <c r="H1324" s="9" t="s">
        <v>3639</v>
      </c>
      <c r="I1324" s="10">
        <v>45623</v>
      </c>
    </row>
    <row r="1325" spans="1:9" x14ac:dyDescent="0.15">
      <c r="A1325" s="9">
        <v>1324</v>
      </c>
      <c r="B1325" s="9" t="s">
        <v>9</v>
      </c>
      <c r="C1325" s="9">
        <v>1925</v>
      </c>
      <c r="D1325" s="10">
        <v>45715</v>
      </c>
      <c r="E1325" s="11" t="str">
        <f>+HYPERLINK("http://trademark.i-assist.jp/data/china/image_1925th/82218918.pdf","82218918")</f>
        <v>82218918</v>
      </c>
      <c r="F1325" s="12" t="s">
        <v>3640</v>
      </c>
      <c r="G1325" s="9" t="s">
        <v>3641</v>
      </c>
      <c r="H1325" s="9" t="s">
        <v>3642</v>
      </c>
      <c r="I1325" s="10">
        <v>45623</v>
      </c>
    </row>
    <row r="1326" spans="1:9" x14ac:dyDescent="0.15">
      <c r="A1326" s="9">
        <v>1325</v>
      </c>
      <c r="B1326" s="9" t="s">
        <v>9</v>
      </c>
      <c r="C1326" s="9">
        <v>1925</v>
      </c>
      <c r="D1326" s="10">
        <v>45715</v>
      </c>
      <c r="E1326" s="11" t="str">
        <f>+HYPERLINK("http://trademark.i-assist.jp/data/china/image_1925th/82219304.pdf","82219304")</f>
        <v>82219304</v>
      </c>
      <c r="F1326" s="9" t="s">
        <v>3643</v>
      </c>
      <c r="G1326" s="12" t="s">
        <v>3503</v>
      </c>
      <c r="H1326" s="12" t="s">
        <v>3644</v>
      </c>
      <c r="I1326" s="10">
        <v>45623</v>
      </c>
    </row>
    <row r="1327" spans="1:9" x14ac:dyDescent="0.15">
      <c r="A1327" s="9">
        <v>1326</v>
      </c>
      <c r="B1327" s="9" t="s">
        <v>9</v>
      </c>
      <c r="C1327" s="9">
        <v>1925</v>
      </c>
      <c r="D1327" s="10">
        <v>45715</v>
      </c>
      <c r="E1327" s="11" t="str">
        <f>+HYPERLINK("http://trademark.i-assist.jp/data/china/image_1925th/82219334.pdf","82219334")</f>
        <v>82219334</v>
      </c>
      <c r="F1327" s="9" t="s">
        <v>3645</v>
      </c>
      <c r="G1327" s="9" t="s">
        <v>3646</v>
      </c>
      <c r="H1327" s="9" t="s">
        <v>3647</v>
      </c>
      <c r="I1327" s="10">
        <v>45623</v>
      </c>
    </row>
    <row r="1328" spans="1:9" x14ac:dyDescent="0.15">
      <c r="A1328" s="9">
        <v>1327</v>
      </c>
      <c r="B1328" s="9" t="s">
        <v>9</v>
      </c>
      <c r="C1328" s="9">
        <v>1925</v>
      </c>
      <c r="D1328" s="10">
        <v>45715</v>
      </c>
      <c r="E1328" s="11" t="str">
        <f>+HYPERLINK("http://trademark.i-assist.jp/data/china/image_1925th/82219465.pdf","82219465")</f>
        <v>82219465</v>
      </c>
      <c r="F1328" s="9" t="s">
        <v>3648</v>
      </c>
      <c r="G1328" s="9" t="s">
        <v>3649</v>
      </c>
      <c r="H1328" s="9" t="s">
        <v>3650</v>
      </c>
      <c r="I1328" s="10">
        <v>45623</v>
      </c>
    </row>
    <row r="1329" spans="1:9" x14ac:dyDescent="0.15">
      <c r="A1329" s="9">
        <v>1328</v>
      </c>
      <c r="B1329" s="9" t="s">
        <v>9</v>
      </c>
      <c r="C1329" s="9">
        <v>1925</v>
      </c>
      <c r="D1329" s="10">
        <v>45715</v>
      </c>
      <c r="E1329" s="11" t="str">
        <f>+HYPERLINK("http://trademark.i-assist.jp/data/china/image_1925th/82219714.pdf","82219714")</f>
        <v>82219714</v>
      </c>
      <c r="F1329" s="9" t="s">
        <v>3651</v>
      </c>
      <c r="G1329" s="9" t="s">
        <v>3652</v>
      </c>
      <c r="H1329" s="9" t="s">
        <v>3653</v>
      </c>
      <c r="I1329" s="10">
        <v>45623</v>
      </c>
    </row>
    <row r="1330" spans="1:9" x14ac:dyDescent="0.15">
      <c r="A1330" s="9">
        <v>1329</v>
      </c>
      <c r="B1330" s="9" t="s">
        <v>9</v>
      </c>
      <c r="C1330" s="9">
        <v>1925</v>
      </c>
      <c r="D1330" s="10">
        <v>45715</v>
      </c>
      <c r="E1330" s="11" t="str">
        <f>+HYPERLINK("http://trademark.i-assist.jp/data/china/image_1925th/82219918.pdf","82219918")</f>
        <v>82219918</v>
      </c>
      <c r="F1330" s="9" t="s">
        <v>3654</v>
      </c>
      <c r="G1330" s="9" t="s">
        <v>3655</v>
      </c>
      <c r="H1330" s="9" t="s">
        <v>3656</v>
      </c>
      <c r="I1330" s="10">
        <v>45623</v>
      </c>
    </row>
    <row r="1331" spans="1:9" x14ac:dyDescent="0.15">
      <c r="A1331" s="9">
        <v>1330</v>
      </c>
      <c r="B1331" s="9" t="s">
        <v>9</v>
      </c>
      <c r="C1331" s="9">
        <v>1925</v>
      </c>
      <c r="D1331" s="10">
        <v>45715</v>
      </c>
      <c r="E1331" s="11" t="str">
        <f>+HYPERLINK("http://trademark.i-assist.jp/data/china/image_1925th/82219934.pdf","82219934")</f>
        <v>82219934</v>
      </c>
      <c r="F1331" s="9" t="s">
        <v>3657</v>
      </c>
      <c r="G1331" s="9" t="s">
        <v>3655</v>
      </c>
      <c r="H1331" s="9" t="s">
        <v>3658</v>
      </c>
      <c r="I1331" s="10">
        <v>45623</v>
      </c>
    </row>
    <row r="1332" spans="1:9" x14ac:dyDescent="0.15">
      <c r="A1332" s="9">
        <v>1331</v>
      </c>
      <c r="B1332" s="9" t="s">
        <v>9</v>
      </c>
      <c r="C1332" s="9">
        <v>1925</v>
      </c>
      <c r="D1332" s="10">
        <v>45715</v>
      </c>
      <c r="E1332" s="11" t="str">
        <f>+HYPERLINK("http://trademark.i-assist.jp/data/china/image_1925th/82219943.pdf","82219943")</f>
        <v>82219943</v>
      </c>
      <c r="F1332" s="9" t="s">
        <v>3659</v>
      </c>
      <c r="G1332" s="9" t="s">
        <v>28</v>
      </c>
      <c r="H1332" s="9" t="s">
        <v>3660</v>
      </c>
      <c r="I1332" s="10">
        <v>45623</v>
      </c>
    </row>
    <row r="1333" spans="1:9" x14ac:dyDescent="0.15">
      <c r="A1333" s="9">
        <v>1332</v>
      </c>
      <c r="B1333" s="9" t="s">
        <v>9</v>
      </c>
      <c r="C1333" s="9">
        <v>1925</v>
      </c>
      <c r="D1333" s="10">
        <v>45715</v>
      </c>
      <c r="E1333" s="11" t="str">
        <f>+HYPERLINK("http://trademark.i-assist.jp/data/china/image_1925th/82220026.pdf","82220026")</f>
        <v>82220026</v>
      </c>
      <c r="F1333" s="9" t="s">
        <v>3661</v>
      </c>
      <c r="G1333" s="9" t="s">
        <v>3662</v>
      </c>
      <c r="H1333" s="9" t="s">
        <v>3663</v>
      </c>
      <c r="I1333" s="10">
        <v>45623</v>
      </c>
    </row>
    <row r="1334" spans="1:9" x14ac:dyDescent="0.15">
      <c r="A1334" s="9">
        <v>1333</v>
      </c>
      <c r="B1334" s="9" t="s">
        <v>9</v>
      </c>
      <c r="C1334" s="9">
        <v>1925</v>
      </c>
      <c r="D1334" s="10">
        <v>45715</v>
      </c>
      <c r="E1334" s="11" t="str">
        <f>+HYPERLINK("http://trademark.i-assist.jp/data/china/image_1925th/82220131.pdf","82220131")</f>
        <v>82220131</v>
      </c>
      <c r="F1334" s="9" t="s">
        <v>3664</v>
      </c>
      <c r="G1334" s="9" t="s">
        <v>3665</v>
      </c>
      <c r="H1334" s="9" t="s">
        <v>3666</v>
      </c>
      <c r="I1334" s="10">
        <v>45623</v>
      </c>
    </row>
    <row r="1335" spans="1:9" x14ac:dyDescent="0.15">
      <c r="A1335" s="9">
        <v>1334</v>
      </c>
      <c r="B1335" s="9" t="s">
        <v>9</v>
      </c>
      <c r="C1335" s="9">
        <v>1925</v>
      </c>
      <c r="D1335" s="10">
        <v>45715</v>
      </c>
      <c r="E1335" s="11" t="str">
        <f>+HYPERLINK("http://trademark.i-assist.jp/data/china/image_1925th/82220237.pdf","82220237")</f>
        <v>82220237</v>
      </c>
      <c r="F1335" s="13" t="s">
        <v>3667</v>
      </c>
      <c r="G1335" s="12" t="s">
        <v>3668</v>
      </c>
      <c r="H1335" s="9" t="s">
        <v>3669</v>
      </c>
      <c r="I1335" s="10">
        <v>45623</v>
      </c>
    </row>
    <row r="1336" spans="1:9" x14ac:dyDescent="0.15">
      <c r="A1336" s="9">
        <v>1335</v>
      </c>
      <c r="B1336" s="9" t="s">
        <v>9</v>
      </c>
      <c r="C1336" s="9">
        <v>1925</v>
      </c>
      <c r="D1336" s="10">
        <v>45715</v>
      </c>
      <c r="E1336" s="11" t="str">
        <f>+HYPERLINK("http://trademark.i-assist.jp/data/china/image_1925th/82220761.pdf","82220761")</f>
        <v>82220761</v>
      </c>
      <c r="F1336" s="12" t="s">
        <v>3670</v>
      </c>
      <c r="G1336" s="9" t="s">
        <v>3671</v>
      </c>
      <c r="H1336" s="9" t="s">
        <v>3672</v>
      </c>
      <c r="I1336" s="10">
        <v>45623</v>
      </c>
    </row>
    <row r="1337" spans="1:9" x14ac:dyDescent="0.15">
      <c r="A1337" s="9">
        <v>1336</v>
      </c>
      <c r="B1337" s="9" t="s">
        <v>9</v>
      </c>
      <c r="C1337" s="9">
        <v>1925</v>
      </c>
      <c r="D1337" s="10">
        <v>45715</v>
      </c>
      <c r="E1337" s="11" t="str">
        <f>+HYPERLINK("http://trademark.i-assist.jp/data/china/image_1925th/82221023.pdf","82221023")</f>
        <v>82221023</v>
      </c>
      <c r="F1337" s="12" t="s">
        <v>3673</v>
      </c>
      <c r="G1337" s="12" t="s">
        <v>3674</v>
      </c>
      <c r="H1337" s="9" t="s">
        <v>3675</v>
      </c>
      <c r="I1337" s="10">
        <v>45623</v>
      </c>
    </row>
    <row r="1338" spans="1:9" x14ac:dyDescent="0.15">
      <c r="A1338" s="9">
        <v>1337</v>
      </c>
      <c r="B1338" s="9" t="s">
        <v>9</v>
      </c>
      <c r="C1338" s="9">
        <v>1925</v>
      </c>
      <c r="D1338" s="10">
        <v>45715</v>
      </c>
      <c r="E1338" s="11" t="str">
        <f>+HYPERLINK("http://trademark.i-assist.jp/data/china/image_1925th/82221279.pdf","82221279")</f>
        <v>82221279</v>
      </c>
      <c r="F1338" s="9" t="s">
        <v>3676</v>
      </c>
      <c r="G1338" s="9" t="s">
        <v>3677</v>
      </c>
      <c r="H1338" s="9" t="s">
        <v>3678</v>
      </c>
      <c r="I1338" s="10">
        <v>45623</v>
      </c>
    </row>
    <row r="1339" spans="1:9" x14ac:dyDescent="0.15">
      <c r="A1339" s="9">
        <v>1338</v>
      </c>
      <c r="B1339" s="9" t="s">
        <v>9</v>
      </c>
      <c r="C1339" s="9">
        <v>1925</v>
      </c>
      <c r="D1339" s="10">
        <v>45715</v>
      </c>
      <c r="E1339" s="11" t="str">
        <f>+HYPERLINK("http://trademark.i-assist.jp/data/china/image_1925th/82221337.pdf","82221337")</f>
        <v>82221337</v>
      </c>
      <c r="F1339" s="9" t="s">
        <v>3679</v>
      </c>
      <c r="G1339" s="9" t="s">
        <v>3680</v>
      </c>
      <c r="H1339" s="9" t="s">
        <v>3681</v>
      </c>
      <c r="I1339" s="10">
        <v>45623</v>
      </c>
    </row>
    <row r="1340" spans="1:9" x14ac:dyDescent="0.15">
      <c r="A1340" s="9">
        <v>1339</v>
      </c>
      <c r="B1340" s="9" t="s">
        <v>9</v>
      </c>
      <c r="C1340" s="9">
        <v>1925</v>
      </c>
      <c r="D1340" s="10">
        <v>45715</v>
      </c>
      <c r="E1340" s="11" t="str">
        <f>+HYPERLINK("http://trademark.i-assist.jp/data/china/image_1925th/82221577.pdf","82221577")</f>
        <v>82221577</v>
      </c>
      <c r="F1340" s="12" t="s">
        <v>57</v>
      </c>
      <c r="G1340" s="9" t="s">
        <v>3682</v>
      </c>
      <c r="H1340" s="12" t="s">
        <v>3683</v>
      </c>
      <c r="I1340" s="10">
        <v>45623</v>
      </c>
    </row>
    <row r="1341" spans="1:9" x14ac:dyDescent="0.15">
      <c r="A1341" s="9">
        <v>1340</v>
      </c>
      <c r="B1341" s="9" t="s">
        <v>9</v>
      </c>
      <c r="C1341" s="9">
        <v>1925</v>
      </c>
      <c r="D1341" s="10">
        <v>45715</v>
      </c>
      <c r="E1341" s="11" t="str">
        <f>+HYPERLINK("http://trademark.i-assist.jp/data/china/image_1925th/82221581.pdf","82221581")</f>
        <v>82221581</v>
      </c>
      <c r="F1341" s="9" t="s">
        <v>3684</v>
      </c>
      <c r="G1341" s="9" t="s">
        <v>3685</v>
      </c>
      <c r="H1341" s="9" t="s">
        <v>3686</v>
      </c>
      <c r="I1341" s="10">
        <v>45623</v>
      </c>
    </row>
    <row r="1342" spans="1:9" x14ac:dyDescent="0.15">
      <c r="A1342" s="9">
        <v>1341</v>
      </c>
      <c r="B1342" s="9" t="s">
        <v>9</v>
      </c>
      <c r="C1342" s="9">
        <v>1925</v>
      </c>
      <c r="D1342" s="10">
        <v>45715</v>
      </c>
      <c r="E1342" s="11" t="str">
        <f>+HYPERLINK("http://trademark.i-assist.jp/data/china/image_1925th/82221654.pdf","82221654")</f>
        <v>82221654</v>
      </c>
      <c r="F1342" s="9" t="s">
        <v>3687</v>
      </c>
      <c r="G1342" s="9" t="s">
        <v>3576</v>
      </c>
      <c r="H1342" s="9" t="s">
        <v>3688</v>
      </c>
      <c r="I1342" s="10">
        <v>45623</v>
      </c>
    </row>
    <row r="1343" spans="1:9" x14ac:dyDescent="0.15">
      <c r="A1343" s="9">
        <v>1342</v>
      </c>
      <c r="B1343" s="9" t="s">
        <v>9</v>
      </c>
      <c r="C1343" s="9">
        <v>1925</v>
      </c>
      <c r="D1343" s="10">
        <v>45715</v>
      </c>
      <c r="E1343" s="11" t="str">
        <f>+HYPERLINK("http://trademark.i-assist.jp/data/china/image_1925th/82222205.pdf","82222205")</f>
        <v>82222205</v>
      </c>
      <c r="F1343" s="12" t="s">
        <v>57</v>
      </c>
      <c r="G1343" s="9" t="s">
        <v>3689</v>
      </c>
      <c r="H1343" s="9" t="s">
        <v>3690</v>
      </c>
      <c r="I1343" s="10">
        <v>45623</v>
      </c>
    </row>
    <row r="1344" spans="1:9" x14ac:dyDescent="0.15">
      <c r="A1344" s="9">
        <v>1343</v>
      </c>
      <c r="B1344" s="9" t="s">
        <v>9</v>
      </c>
      <c r="C1344" s="9">
        <v>1925</v>
      </c>
      <c r="D1344" s="10">
        <v>45715</v>
      </c>
      <c r="E1344" s="11" t="str">
        <f>+HYPERLINK("http://trademark.i-assist.jp/data/china/image_1925th/82222216.pdf","82222216")</f>
        <v>82222216</v>
      </c>
      <c r="F1344" s="12" t="s">
        <v>57</v>
      </c>
      <c r="G1344" s="9" t="s">
        <v>3691</v>
      </c>
      <c r="H1344" s="9" t="s">
        <v>3692</v>
      </c>
      <c r="I1344" s="10">
        <v>45623</v>
      </c>
    </row>
    <row r="1345" spans="1:9" x14ac:dyDescent="0.15">
      <c r="A1345" s="9">
        <v>1344</v>
      </c>
      <c r="B1345" s="9" t="s">
        <v>9</v>
      </c>
      <c r="C1345" s="9">
        <v>1925</v>
      </c>
      <c r="D1345" s="10">
        <v>45715</v>
      </c>
      <c r="E1345" s="11" t="str">
        <f>+HYPERLINK("http://trademark.i-assist.jp/data/china/image_1925th/82222609.pdf","82222609")</f>
        <v>82222609</v>
      </c>
      <c r="F1345" s="9" t="s">
        <v>3693</v>
      </c>
      <c r="G1345" s="9" t="s">
        <v>3694</v>
      </c>
      <c r="H1345" s="9" t="s">
        <v>3695</v>
      </c>
      <c r="I1345" s="10">
        <v>45623</v>
      </c>
    </row>
    <row r="1346" spans="1:9" x14ac:dyDescent="0.15">
      <c r="A1346" s="9">
        <v>1345</v>
      </c>
      <c r="B1346" s="9" t="s">
        <v>9</v>
      </c>
      <c r="C1346" s="9">
        <v>1925</v>
      </c>
      <c r="D1346" s="10">
        <v>45715</v>
      </c>
      <c r="E1346" s="11" t="str">
        <f>+HYPERLINK("http://trademark.i-assist.jp/data/china/image_1925th/82223133.pdf","82223133")</f>
        <v>82223133</v>
      </c>
      <c r="F1346" s="9" t="s">
        <v>3696</v>
      </c>
      <c r="G1346" s="9" t="s">
        <v>3697</v>
      </c>
      <c r="H1346" s="9" t="s">
        <v>3698</v>
      </c>
      <c r="I1346" s="10">
        <v>45623</v>
      </c>
    </row>
    <row r="1347" spans="1:9" x14ac:dyDescent="0.15">
      <c r="A1347" s="9">
        <v>1346</v>
      </c>
      <c r="B1347" s="9" t="s">
        <v>9</v>
      </c>
      <c r="C1347" s="9">
        <v>1925</v>
      </c>
      <c r="D1347" s="10">
        <v>45715</v>
      </c>
      <c r="E1347" s="11" t="str">
        <f>+HYPERLINK("http://trademark.i-assist.jp/data/china/image_1925th/82223685.pdf","82223685")</f>
        <v>82223685</v>
      </c>
      <c r="F1347" s="9" t="s">
        <v>3699</v>
      </c>
      <c r="G1347" s="9" t="s">
        <v>3700</v>
      </c>
      <c r="H1347" s="12" t="s">
        <v>3701</v>
      </c>
      <c r="I1347" s="10">
        <v>45623</v>
      </c>
    </row>
    <row r="1348" spans="1:9" x14ac:dyDescent="0.15">
      <c r="A1348" s="9">
        <v>1347</v>
      </c>
      <c r="B1348" s="9" t="s">
        <v>9</v>
      </c>
      <c r="C1348" s="9">
        <v>1925</v>
      </c>
      <c r="D1348" s="10">
        <v>45715</v>
      </c>
      <c r="E1348" s="11" t="str">
        <f>+HYPERLINK("http://trademark.i-assist.jp/data/china/image_1925th/82223762.pdf","82223762")</f>
        <v>82223762</v>
      </c>
      <c r="F1348" s="9" t="s">
        <v>3702</v>
      </c>
      <c r="G1348" s="9" t="s">
        <v>3703</v>
      </c>
      <c r="H1348" s="9" t="s">
        <v>3704</v>
      </c>
      <c r="I1348" s="10">
        <v>45623</v>
      </c>
    </row>
    <row r="1349" spans="1:9" x14ac:dyDescent="0.15">
      <c r="A1349" s="9">
        <v>1348</v>
      </c>
      <c r="B1349" s="9" t="s">
        <v>9</v>
      </c>
      <c r="C1349" s="9">
        <v>1925</v>
      </c>
      <c r="D1349" s="10">
        <v>45715</v>
      </c>
      <c r="E1349" s="11" t="str">
        <f>+HYPERLINK("http://trademark.i-assist.jp/data/china/image_1925th/82223771.pdf","82223771")</f>
        <v>82223771</v>
      </c>
      <c r="F1349" s="12" t="s">
        <v>57</v>
      </c>
      <c r="G1349" s="9" t="s">
        <v>3705</v>
      </c>
      <c r="H1349" s="9" t="s">
        <v>3706</v>
      </c>
      <c r="I1349" s="10">
        <v>45623</v>
      </c>
    </row>
    <row r="1350" spans="1:9" x14ac:dyDescent="0.15">
      <c r="A1350" s="9">
        <v>1349</v>
      </c>
      <c r="B1350" s="9" t="s">
        <v>9</v>
      </c>
      <c r="C1350" s="9">
        <v>1925</v>
      </c>
      <c r="D1350" s="10">
        <v>45715</v>
      </c>
      <c r="E1350" s="11" t="str">
        <f>+HYPERLINK("http://trademark.i-assist.jp/data/china/image_1925th/82223909.pdf","82223909")</f>
        <v>82223909</v>
      </c>
      <c r="F1350" s="9" t="s">
        <v>3707</v>
      </c>
      <c r="G1350" s="9" t="s">
        <v>3708</v>
      </c>
      <c r="H1350" s="9" t="s">
        <v>3709</v>
      </c>
      <c r="I1350" s="10">
        <v>45623</v>
      </c>
    </row>
    <row r="1351" spans="1:9" x14ac:dyDescent="0.15">
      <c r="A1351" s="9">
        <v>1350</v>
      </c>
      <c r="B1351" s="9" t="s">
        <v>9</v>
      </c>
      <c r="C1351" s="9">
        <v>1925</v>
      </c>
      <c r="D1351" s="10">
        <v>45715</v>
      </c>
      <c r="E1351" s="11" t="str">
        <f>+HYPERLINK("http://trademark.i-assist.jp/data/china/image_1925th/82224042.pdf","82224042")</f>
        <v>82224042</v>
      </c>
      <c r="F1351" s="9" t="s">
        <v>3710</v>
      </c>
      <c r="G1351" s="9" t="s">
        <v>3435</v>
      </c>
      <c r="H1351" s="9" t="s">
        <v>3711</v>
      </c>
      <c r="I1351" s="10">
        <v>45623</v>
      </c>
    </row>
    <row r="1352" spans="1:9" x14ac:dyDescent="0.15">
      <c r="A1352" s="9">
        <v>1351</v>
      </c>
      <c r="B1352" s="9" t="s">
        <v>9</v>
      </c>
      <c r="C1352" s="9">
        <v>1925</v>
      </c>
      <c r="D1352" s="10">
        <v>45715</v>
      </c>
      <c r="E1352" s="11" t="str">
        <f>+HYPERLINK("http://trademark.i-assist.jp/data/china/image_1925th/82224133.pdf","82224133")</f>
        <v>82224133</v>
      </c>
      <c r="F1352" s="9" t="s">
        <v>3712</v>
      </c>
      <c r="G1352" s="9" t="s">
        <v>3713</v>
      </c>
      <c r="H1352" s="9" t="s">
        <v>3714</v>
      </c>
      <c r="I1352" s="10">
        <v>45623</v>
      </c>
    </row>
    <row r="1353" spans="1:9" x14ac:dyDescent="0.15">
      <c r="A1353" s="9">
        <v>1352</v>
      </c>
      <c r="B1353" s="9" t="s">
        <v>9</v>
      </c>
      <c r="C1353" s="9">
        <v>1925</v>
      </c>
      <c r="D1353" s="10">
        <v>45715</v>
      </c>
      <c r="E1353" s="11" t="str">
        <f>+HYPERLINK("http://trademark.i-assist.jp/data/china/image_1925th/82224474.pdf","82224474")</f>
        <v>82224474</v>
      </c>
      <c r="F1353" s="9" t="s">
        <v>3715</v>
      </c>
      <c r="G1353" s="9" t="s">
        <v>3716</v>
      </c>
      <c r="H1353" s="9" t="s">
        <v>3717</v>
      </c>
      <c r="I1353" s="10">
        <v>45623</v>
      </c>
    </row>
    <row r="1354" spans="1:9" x14ac:dyDescent="0.15">
      <c r="A1354" s="9">
        <v>1353</v>
      </c>
      <c r="B1354" s="9" t="s">
        <v>9</v>
      </c>
      <c r="C1354" s="9">
        <v>1925</v>
      </c>
      <c r="D1354" s="10">
        <v>45715</v>
      </c>
      <c r="E1354" s="11" t="str">
        <f>+HYPERLINK("http://trademark.i-assist.jp/data/china/image_1925th/82224515.pdf","82224515")</f>
        <v>82224515</v>
      </c>
      <c r="F1354" s="9" t="s">
        <v>3718</v>
      </c>
      <c r="G1354" s="9" t="s">
        <v>3697</v>
      </c>
      <c r="H1354" s="9" t="s">
        <v>3719</v>
      </c>
      <c r="I1354" s="10">
        <v>45623</v>
      </c>
    </row>
    <row r="1355" spans="1:9" x14ac:dyDescent="0.15">
      <c r="A1355" s="9">
        <v>1354</v>
      </c>
      <c r="B1355" s="9" t="s">
        <v>9</v>
      </c>
      <c r="C1355" s="9">
        <v>1925</v>
      </c>
      <c r="D1355" s="10">
        <v>45715</v>
      </c>
      <c r="E1355" s="11" t="str">
        <f>+HYPERLINK("http://trademark.i-assist.jp/data/china/image_1925th/82224643.pdf","82224643")</f>
        <v>82224643</v>
      </c>
      <c r="F1355" s="9" t="s">
        <v>3720</v>
      </c>
      <c r="G1355" s="9" t="s">
        <v>3721</v>
      </c>
      <c r="H1355" s="9" t="s">
        <v>3722</v>
      </c>
      <c r="I1355" s="10">
        <v>45623</v>
      </c>
    </row>
    <row r="1356" spans="1:9" x14ac:dyDescent="0.15">
      <c r="A1356" s="9">
        <v>1355</v>
      </c>
      <c r="B1356" s="9" t="s">
        <v>9</v>
      </c>
      <c r="C1356" s="9">
        <v>1925</v>
      </c>
      <c r="D1356" s="10">
        <v>45715</v>
      </c>
      <c r="E1356" s="11" t="str">
        <f>+HYPERLINK("http://trademark.i-assist.jp/data/china/image_1925th/82224827.pdf","82224827")</f>
        <v>82224827</v>
      </c>
      <c r="F1356" s="9" t="s">
        <v>3723</v>
      </c>
      <c r="G1356" s="9" t="s">
        <v>3724</v>
      </c>
      <c r="H1356" s="9" t="s">
        <v>3725</v>
      </c>
      <c r="I1356" s="10">
        <v>45623</v>
      </c>
    </row>
    <row r="1357" spans="1:9" x14ac:dyDescent="0.15">
      <c r="A1357" s="9">
        <v>1356</v>
      </c>
      <c r="B1357" s="9" t="s">
        <v>9</v>
      </c>
      <c r="C1357" s="9">
        <v>1925</v>
      </c>
      <c r="D1357" s="10">
        <v>45715</v>
      </c>
      <c r="E1357" s="11" t="str">
        <f>+HYPERLINK("http://trademark.i-assist.jp/data/china/image_1925th/82225449.pdf","82225449")</f>
        <v>82225449</v>
      </c>
      <c r="F1357" s="12" t="s">
        <v>3726</v>
      </c>
      <c r="G1357" s="9" t="s">
        <v>3443</v>
      </c>
      <c r="H1357" s="9" t="s">
        <v>3727</v>
      </c>
      <c r="I1357" s="10">
        <v>45623</v>
      </c>
    </row>
    <row r="1358" spans="1:9" x14ac:dyDescent="0.15">
      <c r="A1358" s="9">
        <v>1357</v>
      </c>
      <c r="B1358" s="9" t="s">
        <v>9</v>
      </c>
      <c r="C1358" s="9">
        <v>1925</v>
      </c>
      <c r="D1358" s="10">
        <v>45715</v>
      </c>
      <c r="E1358" s="11" t="str">
        <f>+HYPERLINK("http://trademark.i-assist.jp/data/china/image_1925th/82225664.pdf","82225664")</f>
        <v>82225664</v>
      </c>
      <c r="F1358" s="9" t="s">
        <v>3728</v>
      </c>
      <c r="G1358" s="9" t="s">
        <v>3729</v>
      </c>
      <c r="H1358" s="9" t="s">
        <v>3730</v>
      </c>
      <c r="I1358" s="10">
        <v>45623</v>
      </c>
    </row>
    <row r="1359" spans="1:9" x14ac:dyDescent="0.15">
      <c r="A1359" s="9">
        <v>1358</v>
      </c>
      <c r="B1359" s="9" t="s">
        <v>9</v>
      </c>
      <c r="C1359" s="9">
        <v>1925</v>
      </c>
      <c r="D1359" s="10">
        <v>45715</v>
      </c>
      <c r="E1359" s="11" t="str">
        <f>+HYPERLINK("http://trademark.i-assist.jp/data/china/image_1925th/82225836.pdf","82225836")</f>
        <v>82225836</v>
      </c>
      <c r="F1359" s="12" t="s">
        <v>3731</v>
      </c>
      <c r="G1359" s="9" t="s">
        <v>3732</v>
      </c>
      <c r="H1359" s="9" t="s">
        <v>3733</v>
      </c>
      <c r="I1359" s="10">
        <v>45623</v>
      </c>
    </row>
    <row r="1360" spans="1:9" x14ac:dyDescent="0.15">
      <c r="A1360" s="9">
        <v>1359</v>
      </c>
      <c r="B1360" s="9" t="s">
        <v>9</v>
      </c>
      <c r="C1360" s="9">
        <v>1925</v>
      </c>
      <c r="D1360" s="10">
        <v>45715</v>
      </c>
      <c r="E1360" s="11" t="str">
        <f>+HYPERLINK("http://trademark.i-assist.jp/data/china/image_1925th/82226058.pdf","82226058")</f>
        <v>82226058</v>
      </c>
      <c r="F1360" s="9" t="s">
        <v>3734</v>
      </c>
      <c r="G1360" s="9" t="s">
        <v>3735</v>
      </c>
      <c r="H1360" s="9" t="s">
        <v>3736</v>
      </c>
      <c r="I1360" s="10">
        <v>45623</v>
      </c>
    </row>
    <row r="1361" spans="1:9" x14ac:dyDescent="0.15">
      <c r="A1361" s="9">
        <v>1360</v>
      </c>
      <c r="B1361" s="9" t="s">
        <v>9</v>
      </c>
      <c r="C1361" s="9">
        <v>1925</v>
      </c>
      <c r="D1361" s="10">
        <v>45715</v>
      </c>
      <c r="E1361" s="11" t="str">
        <f>+HYPERLINK("http://trademark.i-assist.jp/data/china/image_1925th/82226166.pdf","82226166")</f>
        <v>82226166</v>
      </c>
      <c r="F1361" s="12" t="s">
        <v>3625</v>
      </c>
      <c r="G1361" s="9" t="s">
        <v>3626</v>
      </c>
      <c r="H1361" s="9" t="s">
        <v>3737</v>
      </c>
      <c r="I1361" s="10">
        <v>45623</v>
      </c>
    </row>
    <row r="1362" spans="1:9" x14ac:dyDescent="0.15">
      <c r="A1362" s="9">
        <v>1361</v>
      </c>
      <c r="B1362" s="9" t="s">
        <v>9</v>
      </c>
      <c r="C1362" s="9">
        <v>1925</v>
      </c>
      <c r="D1362" s="10">
        <v>45715</v>
      </c>
      <c r="E1362" s="11" t="str">
        <f>+HYPERLINK("http://trademark.i-assist.jp/data/china/image_1925th/82226226.pdf","82226226")</f>
        <v>82226226</v>
      </c>
      <c r="F1362" s="12" t="s">
        <v>57</v>
      </c>
      <c r="G1362" s="9" t="s">
        <v>3738</v>
      </c>
      <c r="H1362" s="9" t="s">
        <v>3739</v>
      </c>
      <c r="I1362" s="10">
        <v>45623</v>
      </c>
    </row>
    <row r="1363" spans="1:9" x14ac:dyDescent="0.15">
      <c r="A1363" s="9">
        <v>1362</v>
      </c>
      <c r="B1363" s="9" t="s">
        <v>9</v>
      </c>
      <c r="C1363" s="9">
        <v>1925</v>
      </c>
      <c r="D1363" s="10">
        <v>45715</v>
      </c>
      <c r="E1363" s="11" t="str">
        <f>+HYPERLINK("http://trademark.i-assist.jp/data/china/image_1925th/82226341.pdf","82226341")</f>
        <v>82226341</v>
      </c>
      <c r="F1363" s="9" t="s">
        <v>3740</v>
      </c>
      <c r="G1363" s="9" t="s">
        <v>3741</v>
      </c>
      <c r="H1363" s="9" t="s">
        <v>3742</v>
      </c>
      <c r="I1363" s="10">
        <v>45623</v>
      </c>
    </row>
    <row r="1364" spans="1:9" x14ac:dyDescent="0.15">
      <c r="A1364" s="9">
        <v>1363</v>
      </c>
      <c r="B1364" s="9" t="s">
        <v>9</v>
      </c>
      <c r="C1364" s="9">
        <v>1925</v>
      </c>
      <c r="D1364" s="10">
        <v>45715</v>
      </c>
      <c r="E1364" s="11" t="str">
        <f>+HYPERLINK("http://trademark.i-assist.jp/data/china/image_1925th/82226454.pdf","82226454")</f>
        <v>82226454</v>
      </c>
      <c r="F1364" s="9" t="s">
        <v>3743</v>
      </c>
      <c r="G1364" s="9" t="s">
        <v>3735</v>
      </c>
      <c r="H1364" s="9" t="s">
        <v>3744</v>
      </c>
      <c r="I1364" s="10">
        <v>45623</v>
      </c>
    </row>
    <row r="1365" spans="1:9" x14ac:dyDescent="0.15">
      <c r="A1365" s="9">
        <v>1364</v>
      </c>
      <c r="B1365" s="9" t="s">
        <v>9</v>
      </c>
      <c r="C1365" s="9">
        <v>1925</v>
      </c>
      <c r="D1365" s="10">
        <v>45715</v>
      </c>
      <c r="E1365" s="11" t="str">
        <f>+HYPERLINK("http://trademark.i-assist.jp/data/china/image_1925th/82226508.pdf","82226508")</f>
        <v>82226508</v>
      </c>
      <c r="F1365" s="9" t="s">
        <v>3745</v>
      </c>
      <c r="G1365" s="9" t="s">
        <v>3746</v>
      </c>
      <c r="H1365" s="9" t="s">
        <v>3747</v>
      </c>
      <c r="I1365" s="10">
        <v>45623</v>
      </c>
    </row>
    <row r="1366" spans="1:9" x14ac:dyDescent="0.15">
      <c r="A1366" s="9">
        <v>1365</v>
      </c>
      <c r="B1366" s="9" t="s">
        <v>9</v>
      </c>
      <c r="C1366" s="9">
        <v>1925</v>
      </c>
      <c r="D1366" s="10">
        <v>45715</v>
      </c>
      <c r="E1366" s="11" t="str">
        <f>+HYPERLINK("http://trademark.i-assist.jp/data/china/image_1925th/82226544.pdf","82226544")</f>
        <v>82226544</v>
      </c>
      <c r="F1366" s="9" t="s">
        <v>3748</v>
      </c>
      <c r="G1366" s="12" t="s">
        <v>3749</v>
      </c>
      <c r="H1366" s="9" t="s">
        <v>3750</v>
      </c>
      <c r="I1366" s="10">
        <v>45623</v>
      </c>
    </row>
    <row r="1367" spans="1:9" x14ac:dyDescent="0.15">
      <c r="A1367" s="9">
        <v>1366</v>
      </c>
      <c r="B1367" s="9" t="s">
        <v>9</v>
      </c>
      <c r="C1367" s="9">
        <v>1925</v>
      </c>
      <c r="D1367" s="10">
        <v>45715</v>
      </c>
      <c r="E1367" s="11" t="str">
        <f>+HYPERLINK("http://trademark.i-assist.jp/data/china/image_1925th/82226979.pdf","82226979")</f>
        <v>82226979</v>
      </c>
      <c r="F1367" s="12" t="s">
        <v>3751</v>
      </c>
      <c r="G1367" s="9" t="s">
        <v>3752</v>
      </c>
      <c r="H1367" s="9" t="s">
        <v>3753</v>
      </c>
      <c r="I1367" s="10">
        <v>45624</v>
      </c>
    </row>
    <row r="1368" spans="1:9" x14ac:dyDescent="0.15">
      <c r="A1368" s="9">
        <v>1367</v>
      </c>
      <c r="B1368" s="9" t="s">
        <v>9</v>
      </c>
      <c r="C1368" s="9">
        <v>1925</v>
      </c>
      <c r="D1368" s="10">
        <v>45715</v>
      </c>
      <c r="E1368" s="11" t="str">
        <f>+HYPERLINK("http://trademark.i-assist.jp/data/china/image_1925th/82227151.pdf","82227151")</f>
        <v>82227151</v>
      </c>
      <c r="F1368" s="12" t="s">
        <v>3754</v>
      </c>
      <c r="G1368" s="9" t="s">
        <v>3755</v>
      </c>
      <c r="H1368" s="9" t="s">
        <v>3756</v>
      </c>
      <c r="I1368" s="10">
        <v>45624</v>
      </c>
    </row>
    <row r="1369" spans="1:9" x14ac:dyDescent="0.15">
      <c r="A1369" s="9">
        <v>1368</v>
      </c>
      <c r="B1369" s="9" t="s">
        <v>9</v>
      </c>
      <c r="C1369" s="9">
        <v>1925</v>
      </c>
      <c r="D1369" s="10">
        <v>45715</v>
      </c>
      <c r="E1369" s="11" t="str">
        <f>+HYPERLINK("http://trademark.i-assist.jp/data/china/image_1925th/82227181.pdf","82227181")</f>
        <v>82227181</v>
      </c>
      <c r="F1369" s="9" t="s">
        <v>3757</v>
      </c>
      <c r="G1369" s="9" t="s">
        <v>3758</v>
      </c>
      <c r="H1369" s="9" t="s">
        <v>3759</v>
      </c>
      <c r="I1369" s="10">
        <v>45624</v>
      </c>
    </row>
    <row r="1370" spans="1:9" x14ac:dyDescent="0.15">
      <c r="A1370" s="9">
        <v>1369</v>
      </c>
      <c r="B1370" s="9" t="s">
        <v>9</v>
      </c>
      <c r="C1370" s="9">
        <v>1925</v>
      </c>
      <c r="D1370" s="10">
        <v>45715</v>
      </c>
      <c r="E1370" s="11" t="str">
        <f>+HYPERLINK("http://trademark.i-assist.jp/data/china/image_1925th/82227665.pdf","82227665")</f>
        <v>82227665</v>
      </c>
      <c r="F1370" s="12" t="s">
        <v>3760</v>
      </c>
      <c r="G1370" s="9" t="s">
        <v>3761</v>
      </c>
      <c r="H1370" s="9" t="s">
        <v>3762</v>
      </c>
      <c r="I1370" s="10">
        <v>45624</v>
      </c>
    </row>
    <row r="1371" spans="1:9" x14ac:dyDescent="0.15">
      <c r="A1371" s="9">
        <v>1370</v>
      </c>
      <c r="B1371" s="9" t="s">
        <v>9</v>
      </c>
      <c r="C1371" s="9">
        <v>1925</v>
      </c>
      <c r="D1371" s="10">
        <v>45715</v>
      </c>
      <c r="E1371" s="11" t="str">
        <f>+HYPERLINK("http://trademark.i-assist.jp/data/china/image_1925th/82227784.pdf","82227784")</f>
        <v>82227784</v>
      </c>
      <c r="F1371" s="12" t="s">
        <v>3763</v>
      </c>
      <c r="G1371" s="9" t="s">
        <v>3764</v>
      </c>
      <c r="H1371" s="9" t="s">
        <v>3765</v>
      </c>
      <c r="I1371" s="10">
        <v>45624</v>
      </c>
    </row>
    <row r="1372" spans="1:9" x14ac:dyDescent="0.15">
      <c r="A1372" s="9">
        <v>1371</v>
      </c>
      <c r="B1372" s="9" t="s">
        <v>9</v>
      </c>
      <c r="C1372" s="9">
        <v>1925</v>
      </c>
      <c r="D1372" s="10">
        <v>45715</v>
      </c>
      <c r="E1372" s="11" t="str">
        <f>+HYPERLINK("http://trademark.i-assist.jp/data/china/image_1925th/82227898.pdf","82227898")</f>
        <v>82227898</v>
      </c>
      <c r="F1372" s="12" t="s">
        <v>3766</v>
      </c>
      <c r="G1372" s="12" t="s">
        <v>3767</v>
      </c>
      <c r="H1372" s="9" t="s">
        <v>3768</v>
      </c>
      <c r="I1372" s="10">
        <v>45624</v>
      </c>
    </row>
    <row r="1373" spans="1:9" x14ac:dyDescent="0.15">
      <c r="A1373" s="9">
        <v>1372</v>
      </c>
      <c r="B1373" s="9" t="s">
        <v>9</v>
      </c>
      <c r="C1373" s="9">
        <v>1925</v>
      </c>
      <c r="D1373" s="10">
        <v>45715</v>
      </c>
      <c r="E1373" s="11" t="str">
        <f>+HYPERLINK("http://trademark.i-assist.jp/data/china/image_1925th/82228160.pdf","82228160")</f>
        <v>82228160</v>
      </c>
      <c r="F1373" s="9" t="s">
        <v>3769</v>
      </c>
      <c r="G1373" s="9" t="s">
        <v>3770</v>
      </c>
      <c r="H1373" s="9" t="s">
        <v>3771</v>
      </c>
      <c r="I1373" s="10">
        <v>45624</v>
      </c>
    </row>
    <row r="1374" spans="1:9" x14ac:dyDescent="0.15">
      <c r="A1374" s="9">
        <v>1373</v>
      </c>
      <c r="B1374" s="9" t="s">
        <v>9</v>
      </c>
      <c r="C1374" s="9">
        <v>1925</v>
      </c>
      <c r="D1374" s="10">
        <v>45715</v>
      </c>
      <c r="E1374" s="11" t="str">
        <f>+HYPERLINK("http://trademark.i-assist.jp/data/china/image_1925th/82228383.pdf","82228383")</f>
        <v>82228383</v>
      </c>
      <c r="F1374" s="12" t="s">
        <v>57</v>
      </c>
      <c r="G1374" s="9" t="s">
        <v>3772</v>
      </c>
      <c r="H1374" s="12" t="s">
        <v>3773</v>
      </c>
      <c r="I1374" s="10">
        <v>45624</v>
      </c>
    </row>
    <row r="1375" spans="1:9" x14ac:dyDescent="0.15">
      <c r="A1375" s="9">
        <v>1374</v>
      </c>
      <c r="B1375" s="9" t="s">
        <v>9</v>
      </c>
      <c r="C1375" s="9">
        <v>1925</v>
      </c>
      <c r="D1375" s="10">
        <v>45715</v>
      </c>
      <c r="E1375" s="11" t="str">
        <f>+HYPERLINK("http://trademark.i-assist.jp/data/china/image_1925th/82228441.pdf","82228441")</f>
        <v>82228441</v>
      </c>
      <c r="F1375" s="12" t="s">
        <v>3774</v>
      </c>
      <c r="G1375" s="9" t="s">
        <v>3775</v>
      </c>
      <c r="H1375" s="9" t="s">
        <v>3776</v>
      </c>
      <c r="I1375" s="10">
        <v>45624</v>
      </c>
    </row>
    <row r="1376" spans="1:9" x14ac:dyDescent="0.15">
      <c r="A1376" s="9">
        <v>1375</v>
      </c>
      <c r="B1376" s="9" t="s">
        <v>9</v>
      </c>
      <c r="C1376" s="9">
        <v>1925</v>
      </c>
      <c r="D1376" s="10">
        <v>45715</v>
      </c>
      <c r="E1376" s="11" t="str">
        <f>+HYPERLINK("http://trademark.i-assist.jp/data/china/image_1925th/82229034.pdf","82229034")</f>
        <v>82229034</v>
      </c>
      <c r="F1376" s="13" t="s">
        <v>3777</v>
      </c>
      <c r="G1376" s="9" t="s">
        <v>3778</v>
      </c>
      <c r="H1376" s="9" t="s">
        <v>3779</v>
      </c>
      <c r="I1376" s="10">
        <v>45624</v>
      </c>
    </row>
    <row r="1377" spans="1:9" x14ac:dyDescent="0.15">
      <c r="A1377" s="9">
        <v>1376</v>
      </c>
      <c r="B1377" s="9" t="s">
        <v>9</v>
      </c>
      <c r="C1377" s="9">
        <v>1925</v>
      </c>
      <c r="D1377" s="10">
        <v>45715</v>
      </c>
      <c r="E1377" s="11" t="str">
        <f>+HYPERLINK("http://trademark.i-assist.jp/data/china/image_1925th/82229326.pdf","82229326")</f>
        <v>82229326</v>
      </c>
      <c r="F1377" s="9" t="s">
        <v>3780</v>
      </c>
      <c r="G1377" s="9" t="s">
        <v>3781</v>
      </c>
      <c r="H1377" s="9" t="s">
        <v>3782</v>
      </c>
      <c r="I1377" s="10">
        <v>45624</v>
      </c>
    </row>
    <row r="1378" spans="1:9" x14ac:dyDescent="0.15">
      <c r="A1378" s="9">
        <v>1377</v>
      </c>
      <c r="B1378" s="9" t="s">
        <v>9</v>
      </c>
      <c r="C1378" s="9">
        <v>1925</v>
      </c>
      <c r="D1378" s="10">
        <v>45715</v>
      </c>
      <c r="E1378" s="11" t="str">
        <f>+HYPERLINK("http://trademark.i-assist.jp/data/china/image_1925th/82229334.pdf","82229334")</f>
        <v>82229334</v>
      </c>
      <c r="F1378" s="9" t="s">
        <v>3783</v>
      </c>
      <c r="G1378" s="12" t="s">
        <v>3784</v>
      </c>
      <c r="H1378" s="9" t="s">
        <v>3785</v>
      </c>
      <c r="I1378" s="10">
        <v>45624</v>
      </c>
    </row>
    <row r="1379" spans="1:9" x14ac:dyDescent="0.15">
      <c r="A1379" s="9">
        <v>1378</v>
      </c>
      <c r="B1379" s="9" t="s">
        <v>9</v>
      </c>
      <c r="C1379" s="9">
        <v>1925</v>
      </c>
      <c r="D1379" s="10">
        <v>45715</v>
      </c>
      <c r="E1379" s="11" t="str">
        <f>+HYPERLINK("http://trademark.i-assist.jp/data/china/image_1925th/82229432.pdf","82229432")</f>
        <v>82229432</v>
      </c>
      <c r="F1379" s="9" t="s">
        <v>3786</v>
      </c>
      <c r="G1379" s="9" t="s">
        <v>3787</v>
      </c>
      <c r="H1379" s="12" t="s">
        <v>3788</v>
      </c>
      <c r="I1379" s="10">
        <v>45624</v>
      </c>
    </row>
    <row r="1380" spans="1:9" x14ac:dyDescent="0.15">
      <c r="A1380" s="9">
        <v>1379</v>
      </c>
      <c r="B1380" s="9" t="s">
        <v>9</v>
      </c>
      <c r="C1380" s="9">
        <v>1925</v>
      </c>
      <c r="D1380" s="10">
        <v>45715</v>
      </c>
      <c r="E1380" s="11" t="str">
        <f>+HYPERLINK("http://trademark.i-assist.jp/data/china/image_1925th/82229599.pdf","82229599")</f>
        <v>82229599</v>
      </c>
      <c r="F1380" s="12" t="s">
        <v>3789</v>
      </c>
      <c r="G1380" s="9" t="s">
        <v>3790</v>
      </c>
      <c r="H1380" s="9" t="s">
        <v>3791</v>
      </c>
      <c r="I1380" s="10">
        <v>45624</v>
      </c>
    </row>
    <row r="1381" spans="1:9" x14ac:dyDescent="0.15">
      <c r="A1381" s="9">
        <v>1380</v>
      </c>
      <c r="B1381" s="9" t="s">
        <v>9</v>
      </c>
      <c r="C1381" s="9">
        <v>1925</v>
      </c>
      <c r="D1381" s="10">
        <v>45715</v>
      </c>
      <c r="E1381" s="11" t="str">
        <f>+HYPERLINK("http://trademark.i-assist.jp/data/china/image_1925th/82229663.pdf","82229663")</f>
        <v>82229663</v>
      </c>
      <c r="F1381" s="12" t="s">
        <v>3792</v>
      </c>
      <c r="G1381" s="12" t="s">
        <v>3793</v>
      </c>
      <c r="H1381" s="9" t="s">
        <v>3794</v>
      </c>
      <c r="I1381" s="10">
        <v>45624</v>
      </c>
    </row>
    <row r="1382" spans="1:9" x14ac:dyDescent="0.15">
      <c r="A1382" s="9">
        <v>1381</v>
      </c>
      <c r="B1382" s="9" t="s">
        <v>9</v>
      </c>
      <c r="C1382" s="9">
        <v>1925</v>
      </c>
      <c r="D1382" s="10">
        <v>45715</v>
      </c>
      <c r="E1382" s="11" t="str">
        <f>+HYPERLINK("http://trademark.i-assist.jp/data/china/image_1925th/82229890.pdf","82229890")</f>
        <v>82229890</v>
      </c>
      <c r="F1382" s="9" t="s">
        <v>3795</v>
      </c>
      <c r="G1382" s="9" t="s">
        <v>3761</v>
      </c>
      <c r="H1382" s="9" t="s">
        <v>3796</v>
      </c>
      <c r="I1382" s="10">
        <v>45624</v>
      </c>
    </row>
    <row r="1383" spans="1:9" x14ac:dyDescent="0.15">
      <c r="A1383" s="9">
        <v>1382</v>
      </c>
      <c r="B1383" s="9" t="s">
        <v>9</v>
      </c>
      <c r="C1383" s="9">
        <v>1925</v>
      </c>
      <c r="D1383" s="10">
        <v>45715</v>
      </c>
      <c r="E1383" s="11" t="str">
        <f>+HYPERLINK("http://trademark.i-assist.jp/data/china/image_1925th/82230148.pdf","82230148")</f>
        <v>82230148</v>
      </c>
      <c r="F1383" s="12" t="s">
        <v>3797</v>
      </c>
      <c r="G1383" s="12" t="s">
        <v>3798</v>
      </c>
      <c r="H1383" s="9" t="s">
        <v>3799</v>
      </c>
      <c r="I1383" s="10">
        <v>45624</v>
      </c>
    </row>
    <row r="1384" spans="1:9" x14ac:dyDescent="0.15">
      <c r="A1384" s="9">
        <v>1383</v>
      </c>
      <c r="B1384" s="9" t="s">
        <v>9</v>
      </c>
      <c r="C1384" s="9">
        <v>1925</v>
      </c>
      <c r="D1384" s="10">
        <v>45715</v>
      </c>
      <c r="E1384" s="11" t="str">
        <f>+HYPERLINK("http://trademark.i-assist.jp/data/china/image_1925th/82230205.pdf","82230205")</f>
        <v>82230205</v>
      </c>
      <c r="F1384" s="9" t="s">
        <v>3800</v>
      </c>
      <c r="G1384" s="9" t="s">
        <v>3801</v>
      </c>
      <c r="H1384" s="9" t="s">
        <v>3802</v>
      </c>
      <c r="I1384" s="10">
        <v>45624</v>
      </c>
    </row>
    <row r="1385" spans="1:9" x14ac:dyDescent="0.15">
      <c r="A1385" s="9">
        <v>1384</v>
      </c>
      <c r="B1385" s="9" t="s">
        <v>9</v>
      </c>
      <c r="C1385" s="9">
        <v>1925</v>
      </c>
      <c r="D1385" s="10">
        <v>45715</v>
      </c>
      <c r="E1385" s="11" t="str">
        <f>+HYPERLINK("http://trademark.i-assist.jp/data/china/image_1925th/82230570.pdf","82230570")</f>
        <v>82230570</v>
      </c>
      <c r="F1385" s="9" t="s">
        <v>3803</v>
      </c>
      <c r="G1385" s="9" t="s">
        <v>3804</v>
      </c>
      <c r="H1385" s="9" t="s">
        <v>3805</v>
      </c>
      <c r="I1385" s="10">
        <v>45624</v>
      </c>
    </row>
    <row r="1386" spans="1:9" x14ac:dyDescent="0.15">
      <c r="A1386" s="9">
        <v>1385</v>
      </c>
      <c r="B1386" s="9" t="s">
        <v>9</v>
      </c>
      <c r="C1386" s="9">
        <v>1925</v>
      </c>
      <c r="D1386" s="10">
        <v>45715</v>
      </c>
      <c r="E1386" s="11" t="str">
        <f>+HYPERLINK("http://trademark.i-assist.jp/data/china/image_1925th/82230649.pdf","82230649")</f>
        <v>82230649</v>
      </c>
      <c r="F1386" s="9" t="s">
        <v>3806</v>
      </c>
      <c r="G1386" s="9" t="s">
        <v>3807</v>
      </c>
      <c r="H1386" s="9" t="s">
        <v>3808</v>
      </c>
      <c r="I1386" s="10">
        <v>45624</v>
      </c>
    </row>
    <row r="1387" spans="1:9" x14ac:dyDescent="0.15">
      <c r="A1387" s="9">
        <v>1386</v>
      </c>
      <c r="B1387" s="9" t="s">
        <v>9</v>
      </c>
      <c r="C1387" s="9">
        <v>1925</v>
      </c>
      <c r="D1387" s="10">
        <v>45715</v>
      </c>
      <c r="E1387" s="11" t="str">
        <f>+HYPERLINK("http://trademark.i-assist.jp/data/china/image_1925th/82230949.pdf","82230949")</f>
        <v>82230949</v>
      </c>
      <c r="F1387" s="9" t="s">
        <v>3809</v>
      </c>
      <c r="G1387" s="9" t="s">
        <v>3810</v>
      </c>
      <c r="H1387" s="9" t="s">
        <v>3811</v>
      </c>
      <c r="I1387" s="10">
        <v>45624</v>
      </c>
    </row>
    <row r="1388" spans="1:9" x14ac:dyDescent="0.15">
      <c r="A1388" s="9">
        <v>1387</v>
      </c>
      <c r="B1388" s="9" t="s">
        <v>9</v>
      </c>
      <c r="C1388" s="9">
        <v>1925</v>
      </c>
      <c r="D1388" s="10">
        <v>45715</v>
      </c>
      <c r="E1388" s="11" t="str">
        <f>+HYPERLINK("http://trademark.i-assist.jp/data/china/image_1925th/82230987.pdf","82230987")</f>
        <v>82230987</v>
      </c>
      <c r="F1388" s="9" t="s">
        <v>3812</v>
      </c>
      <c r="G1388" s="9" t="s">
        <v>3813</v>
      </c>
      <c r="H1388" s="9" t="s">
        <v>3814</v>
      </c>
      <c r="I1388" s="10">
        <v>45624</v>
      </c>
    </row>
    <row r="1389" spans="1:9" x14ac:dyDescent="0.15">
      <c r="A1389" s="9">
        <v>1388</v>
      </c>
      <c r="B1389" s="9" t="s">
        <v>9</v>
      </c>
      <c r="C1389" s="9">
        <v>1925</v>
      </c>
      <c r="D1389" s="10">
        <v>45715</v>
      </c>
      <c r="E1389" s="11" t="str">
        <f>+HYPERLINK("http://trademark.i-assist.jp/data/china/image_1925th/82231801.pdf","82231801")</f>
        <v>82231801</v>
      </c>
      <c r="F1389" s="9" t="s">
        <v>3815</v>
      </c>
      <c r="G1389" s="12" t="s">
        <v>3816</v>
      </c>
      <c r="H1389" s="9" t="s">
        <v>3817</v>
      </c>
      <c r="I1389" s="10">
        <v>45624</v>
      </c>
    </row>
    <row r="1390" spans="1:9" x14ac:dyDescent="0.15">
      <c r="A1390" s="9">
        <v>1389</v>
      </c>
      <c r="B1390" s="9" t="s">
        <v>9</v>
      </c>
      <c r="C1390" s="9">
        <v>1925</v>
      </c>
      <c r="D1390" s="10">
        <v>45715</v>
      </c>
      <c r="E1390" s="11" t="str">
        <f>+HYPERLINK("http://trademark.i-assist.jp/data/china/image_1925th/82231854.pdf","82231854")</f>
        <v>82231854</v>
      </c>
      <c r="F1390" s="9" t="s">
        <v>3818</v>
      </c>
      <c r="G1390" s="9" t="s">
        <v>3819</v>
      </c>
      <c r="H1390" s="9" t="s">
        <v>3820</v>
      </c>
      <c r="I1390" s="10">
        <v>45624</v>
      </c>
    </row>
    <row r="1391" spans="1:9" x14ac:dyDescent="0.15">
      <c r="A1391" s="9">
        <v>1390</v>
      </c>
      <c r="B1391" s="9" t="s">
        <v>9</v>
      </c>
      <c r="C1391" s="9">
        <v>1925</v>
      </c>
      <c r="D1391" s="10">
        <v>45715</v>
      </c>
      <c r="E1391" s="11" t="str">
        <f>+HYPERLINK("http://trademark.i-assist.jp/data/china/image_1925th/82232163.pdf","82232163")</f>
        <v>82232163</v>
      </c>
      <c r="F1391" s="12" t="s">
        <v>3821</v>
      </c>
      <c r="G1391" s="12" t="s">
        <v>3822</v>
      </c>
      <c r="H1391" s="9" t="s">
        <v>3823</v>
      </c>
      <c r="I1391" s="10">
        <v>45624</v>
      </c>
    </row>
    <row r="1392" spans="1:9" x14ac:dyDescent="0.15">
      <c r="A1392" s="9">
        <v>1391</v>
      </c>
      <c r="B1392" s="9" t="s">
        <v>9</v>
      </c>
      <c r="C1392" s="9">
        <v>1925</v>
      </c>
      <c r="D1392" s="10">
        <v>45715</v>
      </c>
      <c r="E1392" s="11" t="str">
        <f>+HYPERLINK("http://trademark.i-assist.jp/data/china/image_1925th/82232226.pdf","82232226")</f>
        <v>82232226</v>
      </c>
      <c r="F1392" s="9" t="s">
        <v>3769</v>
      </c>
      <c r="G1392" s="9" t="s">
        <v>3770</v>
      </c>
      <c r="H1392" s="9" t="s">
        <v>3824</v>
      </c>
      <c r="I1392" s="10">
        <v>45624</v>
      </c>
    </row>
    <row r="1393" spans="1:9" x14ac:dyDescent="0.15">
      <c r="A1393" s="9">
        <v>1392</v>
      </c>
      <c r="B1393" s="9" t="s">
        <v>9</v>
      </c>
      <c r="C1393" s="9">
        <v>1925</v>
      </c>
      <c r="D1393" s="10">
        <v>45715</v>
      </c>
      <c r="E1393" s="11" t="str">
        <f>+HYPERLINK("http://trademark.i-assist.jp/data/china/image_1925th/82232240.pdf","82232240")</f>
        <v>82232240</v>
      </c>
      <c r="F1393" s="12" t="s">
        <v>3825</v>
      </c>
      <c r="G1393" s="9" t="s">
        <v>2116</v>
      </c>
      <c r="H1393" s="9" t="s">
        <v>3826</v>
      </c>
      <c r="I1393" s="10">
        <v>45624</v>
      </c>
    </row>
    <row r="1394" spans="1:9" x14ac:dyDescent="0.15">
      <c r="A1394" s="9">
        <v>1393</v>
      </c>
      <c r="B1394" s="9" t="s">
        <v>9</v>
      </c>
      <c r="C1394" s="9">
        <v>1925</v>
      </c>
      <c r="D1394" s="10">
        <v>45715</v>
      </c>
      <c r="E1394" s="11" t="str">
        <f>+HYPERLINK("http://trademark.i-assist.jp/data/china/image_1925th/82232817.pdf","82232817")</f>
        <v>82232817</v>
      </c>
      <c r="F1394" s="9" t="s">
        <v>3827</v>
      </c>
      <c r="G1394" s="9" t="s">
        <v>3828</v>
      </c>
      <c r="H1394" s="9" t="s">
        <v>3829</v>
      </c>
      <c r="I1394" s="10">
        <v>45624</v>
      </c>
    </row>
    <row r="1395" spans="1:9" x14ac:dyDescent="0.15">
      <c r="A1395" s="9">
        <v>1394</v>
      </c>
      <c r="B1395" s="9" t="s">
        <v>9</v>
      </c>
      <c r="C1395" s="9">
        <v>1925</v>
      </c>
      <c r="D1395" s="10">
        <v>45715</v>
      </c>
      <c r="E1395" s="11" t="str">
        <f>+HYPERLINK("http://trademark.i-assist.jp/data/china/image_1925th/82232960.pdf","82232960")</f>
        <v>82232960</v>
      </c>
      <c r="F1395" s="12" t="s">
        <v>57</v>
      </c>
      <c r="G1395" s="12" t="s">
        <v>3830</v>
      </c>
      <c r="H1395" s="9" t="s">
        <v>3831</v>
      </c>
      <c r="I1395" s="10">
        <v>45624</v>
      </c>
    </row>
    <row r="1396" spans="1:9" x14ac:dyDescent="0.15">
      <c r="A1396" s="9">
        <v>1395</v>
      </c>
      <c r="B1396" s="9" t="s">
        <v>9</v>
      </c>
      <c r="C1396" s="9">
        <v>1925</v>
      </c>
      <c r="D1396" s="10">
        <v>45715</v>
      </c>
      <c r="E1396" s="11" t="str">
        <f>+HYPERLINK("http://trademark.i-assist.jp/data/china/image_1925th/82233018.pdf","82233018")</f>
        <v>82233018</v>
      </c>
      <c r="F1396" s="9" t="s">
        <v>3832</v>
      </c>
      <c r="G1396" s="9" t="s">
        <v>3833</v>
      </c>
      <c r="H1396" s="9" t="s">
        <v>3834</v>
      </c>
      <c r="I1396" s="10">
        <v>45624</v>
      </c>
    </row>
    <row r="1397" spans="1:9" x14ac:dyDescent="0.15">
      <c r="A1397" s="9">
        <v>1396</v>
      </c>
      <c r="B1397" s="9" t="s">
        <v>9</v>
      </c>
      <c r="C1397" s="9">
        <v>1925</v>
      </c>
      <c r="D1397" s="10">
        <v>45715</v>
      </c>
      <c r="E1397" s="11" t="str">
        <f>+HYPERLINK("http://trademark.i-assist.jp/data/china/image_1925th/82233036.pdf","82233036")</f>
        <v>82233036</v>
      </c>
      <c r="F1397" s="12" t="s">
        <v>3835</v>
      </c>
      <c r="G1397" s="12" t="s">
        <v>3836</v>
      </c>
      <c r="H1397" s="9" t="s">
        <v>3837</v>
      </c>
      <c r="I1397" s="10">
        <v>45624</v>
      </c>
    </row>
    <row r="1398" spans="1:9" x14ac:dyDescent="0.15">
      <c r="A1398" s="9">
        <v>1397</v>
      </c>
      <c r="B1398" s="9" t="s">
        <v>9</v>
      </c>
      <c r="C1398" s="9">
        <v>1925</v>
      </c>
      <c r="D1398" s="10">
        <v>45715</v>
      </c>
      <c r="E1398" s="11" t="str">
        <f>+HYPERLINK("http://trademark.i-assist.jp/data/china/image_1925th/82233170.pdf","82233170")</f>
        <v>82233170</v>
      </c>
      <c r="F1398" s="9" t="s">
        <v>3838</v>
      </c>
      <c r="G1398" s="9" t="s">
        <v>3839</v>
      </c>
      <c r="H1398" s="9" t="s">
        <v>3840</v>
      </c>
      <c r="I1398" s="10">
        <v>45624</v>
      </c>
    </row>
    <row r="1399" spans="1:9" x14ac:dyDescent="0.15">
      <c r="A1399" s="9">
        <v>1398</v>
      </c>
      <c r="B1399" s="9" t="s">
        <v>9</v>
      </c>
      <c r="C1399" s="9">
        <v>1925</v>
      </c>
      <c r="D1399" s="10">
        <v>45715</v>
      </c>
      <c r="E1399" s="11" t="str">
        <f>+HYPERLINK("http://trademark.i-assist.jp/data/china/image_1925th/82233175.pdf","82233175")</f>
        <v>82233175</v>
      </c>
      <c r="F1399" s="9" t="s">
        <v>3841</v>
      </c>
      <c r="G1399" s="9" t="s">
        <v>3839</v>
      </c>
      <c r="H1399" s="9" t="s">
        <v>3842</v>
      </c>
      <c r="I1399" s="10">
        <v>45624</v>
      </c>
    </row>
    <row r="1400" spans="1:9" x14ac:dyDescent="0.15">
      <c r="A1400" s="9">
        <v>1399</v>
      </c>
      <c r="B1400" s="9" t="s">
        <v>9</v>
      </c>
      <c r="C1400" s="9">
        <v>1925</v>
      </c>
      <c r="D1400" s="10">
        <v>45715</v>
      </c>
      <c r="E1400" s="11" t="str">
        <f>+HYPERLINK("http://trademark.i-assist.jp/data/china/image_1925th/82233268.pdf","82233268")</f>
        <v>82233268</v>
      </c>
      <c r="F1400" s="9" t="s">
        <v>3843</v>
      </c>
      <c r="G1400" s="9" t="s">
        <v>3761</v>
      </c>
      <c r="H1400" s="9" t="s">
        <v>3844</v>
      </c>
      <c r="I1400" s="10">
        <v>45624</v>
      </c>
    </row>
    <row r="1401" spans="1:9" x14ac:dyDescent="0.15">
      <c r="A1401" s="9">
        <v>1400</v>
      </c>
      <c r="B1401" s="9" t="s">
        <v>9</v>
      </c>
      <c r="C1401" s="9">
        <v>1925</v>
      </c>
      <c r="D1401" s="10">
        <v>45715</v>
      </c>
      <c r="E1401" s="11" t="str">
        <f>+HYPERLINK("http://trademark.i-assist.jp/data/china/image_1925th/82233331.pdf","82233331")</f>
        <v>82233331</v>
      </c>
      <c r="F1401" s="9" t="s">
        <v>3845</v>
      </c>
      <c r="G1401" s="9" t="s">
        <v>3846</v>
      </c>
      <c r="H1401" s="9" t="s">
        <v>3847</v>
      </c>
      <c r="I1401" s="10">
        <v>45624</v>
      </c>
    </row>
    <row r="1402" spans="1:9" x14ac:dyDescent="0.15">
      <c r="A1402" s="9">
        <v>1401</v>
      </c>
      <c r="B1402" s="9" t="s">
        <v>9</v>
      </c>
      <c r="C1402" s="9">
        <v>1925</v>
      </c>
      <c r="D1402" s="10">
        <v>45715</v>
      </c>
      <c r="E1402" s="11" t="str">
        <f>+HYPERLINK("http://trademark.i-assist.jp/data/china/image_1925th/82233338.pdf","82233338")</f>
        <v>82233338</v>
      </c>
      <c r="F1402" s="9" t="s">
        <v>3848</v>
      </c>
      <c r="G1402" s="9" t="s">
        <v>3849</v>
      </c>
      <c r="H1402" s="9" t="s">
        <v>3850</v>
      </c>
      <c r="I1402" s="10">
        <v>45624</v>
      </c>
    </row>
    <row r="1403" spans="1:9" x14ac:dyDescent="0.15">
      <c r="A1403" s="9">
        <v>1402</v>
      </c>
      <c r="B1403" s="9" t="s">
        <v>9</v>
      </c>
      <c r="C1403" s="9">
        <v>1925</v>
      </c>
      <c r="D1403" s="10">
        <v>45715</v>
      </c>
      <c r="E1403" s="11" t="str">
        <f>+HYPERLINK("http://trademark.i-assist.jp/data/china/image_1925th/82233398.pdf","82233398")</f>
        <v>82233398</v>
      </c>
      <c r="F1403" s="9" t="s">
        <v>3851</v>
      </c>
      <c r="G1403" s="9" t="s">
        <v>3852</v>
      </c>
      <c r="H1403" s="9" t="s">
        <v>3853</v>
      </c>
      <c r="I1403" s="10">
        <v>45624</v>
      </c>
    </row>
    <row r="1404" spans="1:9" x14ac:dyDescent="0.15">
      <c r="A1404" s="9">
        <v>1403</v>
      </c>
      <c r="B1404" s="9" t="s">
        <v>9</v>
      </c>
      <c r="C1404" s="9">
        <v>1925</v>
      </c>
      <c r="D1404" s="10">
        <v>45715</v>
      </c>
      <c r="E1404" s="11" t="str">
        <f>+HYPERLINK("http://trademark.i-assist.jp/data/china/image_1925th/82233441.pdf","82233441")</f>
        <v>82233441</v>
      </c>
      <c r="F1404" s="9" t="s">
        <v>3854</v>
      </c>
      <c r="G1404" s="9" t="s">
        <v>3855</v>
      </c>
      <c r="H1404" s="9" t="s">
        <v>3856</v>
      </c>
      <c r="I1404" s="10">
        <v>45624</v>
      </c>
    </row>
    <row r="1405" spans="1:9" x14ac:dyDescent="0.15">
      <c r="A1405" s="9">
        <v>1404</v>
      </c>
      <c r="B1405" s="9" t="s">
        <v>9</v>
      </c>
      <c r="C1405" s="9">
        <v>1925</v>
      </c>
      <c r="D1405" s="10">
        <v>45715</v>
      </c>
      <c r="E1405" s="11" t="str">
        <f>+HYPERLINK("http://trademark.i-assist.jp/data/china/image_1925th/82233630.pdf","82233630")</f>
        <v>82233630</v>
      </c>
      <c r="F1405" s="9" t="s">
        <v>3857</v>
      </c>
      <c r="G1405" s="9" t="s">
        <v>3858</v>
      </c>
      <c r="H1405" s="9" t="s">
        <v>3859</v>
      </c>
      <c r="I1405" s="10">
        <v>45624</v>
      </c>
    </row>
    <row r="1406" spans="1:9" x14ac:dyDescent="0.15">
      <c r="A1406" s="9">
        <v>1405</v>
      </c>
      <c r="B1406" s="9" t="s">
        <v>9</v>
      </c>
      <c r="C1406" s="9">
        <v>1925</v>
      </c>
      <c r="D1406" s="10">
        <v>45715</v>
      </c>
      <c r="E1406" s="11" t="str">
        <f>+HYPERLINK("http://trademark.i-assist.jp/data/china/image_1925th/82233732.pdf","82233732")</f>
        <v>82233732</v>
      </c>
      <c r="F1406" s="12" t="s">
        <v>3860</v>
      </c>
      <c r="G1406" s="12" t="s">
        <v>3861</v>
      </c>
      <c r="H1406" s="9" t="s">
        <v>3862</v>
      </c>
      <c r="I1406" s="10">
        <v>45624</v>
      </c>
    </row>
    <row r="1407" spans="1:9" x14ac:dyDescent="0.15">
      <c r="A1407" s="9">
        <v>1406</v>
      </c>
      <c r="B1407" s="9" t="s">
        <v>9</v>
      </c>
      <c r="C1407" s="9">
        <v>1925</v>
      </c>
      <c r="D1407" s="10">
        <v>45715</v>
      </c>
      <c r="E1407" s="11" t="str">
        <f>+HYPERLINK("http://trademark.i-assist.jp/data/china/image_1925th/82233866.pdf","82233866")</f>
        <v>82233866</v>
      </c>
      <c r="F1407" s="12" t="s">
        <v>3863</v>
      </c>
      <c r="G1407" s="12" t="s">
        <v>3864</v>
      </c>
      <c r="H1407" s="9" t="s">
        <v>3865</v>
      </c>
      <c r="I1407" s="10">
        <v>45624</v>
      </c>
    </row>
    <row r="1408" spans="1:9" x14ac:dyDescent="0.15">
      <c r="A1408" s="9">
        <v>1407</v>
      </c>
      <c r="B1408" s="9" t="s">
        <v>9</v>
      </c>
      <c r="C1408" s="9">
        <v>1925</v>
      </c>
      <c r="D1408" s="10">
        <v>45715</v>
      </c>
      <c r="E1408" s="11" t="str">
        <f>+HYPERLINK("http://trademark.i-assist.jp/data/china/image_1925th/82234127.pdf","82234127")</f>
        <v>82234127</v>
      </c>
      <c r="F1408" s="9" t="s">
        <v>3866</v>
      </c>
      <c r="G1408" s="9" t="s">
        <v>3761</v>
      </c>
      <c r="H1408" s="9" t="s">
        <v>3867</v>
      </c>
      <c r="I1408" s="10">
        <v>45624</v>
      </c>
    </row>
    <row r="1409" spans="1:9" x14ac:dyDescent="0.15">
      <c r="A1409" s="9">
        <v>1408</v>
      </c>
      <c r="B1409" s="9" t="s">
        <v>9</v>
      </c>
      <c r="C1409" s="9">
        <v>1925</v>
      </c>
      <c r="D1409" s="10">
        <v>45715</v>
      </c>
      <c r="E1409" s="11" t="str">
        <f>+HYPERLINK("http://trademark.i-assist.jp/data/china/image_1925th/82234289.pdf","82234289")</f>
        <v>82234289</v>
      </c>
      <c r="F1409" s="9" t="s">
        <v>3868</v>
      </c>
      <c r="G1409" s="9" t="s">
        <v>518</v>
      </c>
      <c r="H1409" s="9" t="s">
        <v>3869</v>
      </c>
      <c r="I1409" s="10">
        <v>45624</v>
      </c>
    </row>
    <row r="1410" spans="1:9" x14ac:dyDescent="0.15">
      <c r="A1410" s="9">
        <v>1409</v>
      </c>
      <c r="B1410" s="9" t="s">
        <v>9</v>
      </c>
      <c r="C1410" s="9">
        <v>1925</v>
      </c>
      <c r="D1410" s="10">
        <v>45715</v>
      </c>
      <c r="E1410" s="11" t="str">
        <f>+HYPERLINK("http://trademark.i-assist.jp/data/china/image_1925th/82234440.pdf","82234440")</f>
        <v>82234440</v>
      </c>
      <c r="F1410" s="9" t="s">
        <v>3870</v>
      </c>
      <c r="G1410" s="12" t="s">
        <v>3871</v>
      </c>
      <c r="H1410" s="9" t="s">
        <v>3872</v>
      </c>
      <c r="I1410" s="10">
        <v>45624</v>
      </c>
    </row>
    <row r="1411" spans="1:9" x14ac:dyDescent="0.15">
      <c r="A1411" s="9">
        <v>1410</v>
      </c>
      <c r="B1411" s="9" t="s">
        <v>9</v>
      </c>
      <c r="C1411" s="9">
        <v>1925</v>
      </c>
      <c r="D1411" s="10">
        <v>45715</v>
      </c>
      <c r="E1411" s="11" t="str">
        <f>+HYPERLINK("http://trademark.i-assist.jp/data/china/image_1925th/82234871.pdf","82234871")</f>
        <v>82234871</v>
      </c>
      <c r="F1411" s="9" t="s">
        <v>3873</v>
      </c>
      <c r="G1411" s="12" t="s">
        <v>3861</v>
      </c>
      <c r="H1411" s="9" t="s">
        <v>3874</v>
      </c>
      <c r="I1411" s="10">
        <v>45624</v>
      </c>
    </row>
    <row r="1412" spans="1:9" x14ac:dyDescent="0.15">
      <c r="A1412" s="9">
        <v>1411</v>
      </c>
      <c r="B1412" s="9" t="s">
        <v>9</v>
      </c>
      <c r="C1412" s="9">
        <v>1925</v>
      </c>
      <c r="D1412" s="10">
        <v>45715</v>
      </c>
      <c r="E1412" s="11" t="str">
        <f>+HYPERLINK("http://trademark.i-assist.jp/data/china/image_1925th/82235095.pdf","82235095")</f>
        <v>82235095</v>
      </c>
      <c r="F1412" s="9" t="s">
        <v>3875</v>
      </c>
      <c r="G1412" s="12" t="s">
        <v>3876</v>
      </c>
      <c r="H1412" s="9" t="s">
        <v>3877</v>
      </c>
      <c r="I1412" s="10">
        <v>45624</v>
      </c>
    </row>
    <row r="1413" spans="1:9" x14ac:dyDescent="0.15">
      <c r="A1413" s="9">
        <v>1412</v>
      </c>
      <c r="B1413" s="9" t="s">
        <v>9</v>
      </c>
      <c r="C1413" s="9">
        <v>1925</v>
      </c>
      <c r="D1413" s="10">
        <v>45715</v>
      </c>
      <c r="E1413" s="11" t="str">
        <f>+HYPERLINK("http://trademark.i-assist.jp/data/china/image_1925th/82235115.pdf","82235115")</f>
        <v>82235115</v>
      </c>
      <c r="F1413" s="12" t="s">
        <v>57</v>
      </c>
      <c r="G1413" s="9" t="s">
        <v>3878</v>
      </c>
      <c r="H1413" s="12" t="s">
        <v>3879</v>
      </c>
      <c r="I1413" s="10">
        <v>45624</v>
      </c>
    </row>
    <row r="1414" spans="1:9" x14ac:dyDescent="0.15">
      <c r="A1414" s="9">
        <v>1413</v>
      </c>
      <c r="B1414" s="9" t="s">
        <v>9</v>
      </c>
      <c r="C1414" s="9">
        <v>1925</v>
      </c>
      <c r="D1414" s="10">
        <v>45715</v>
      </c>
      <c r="E1414" s="11" t="str">
        <f>+HYPERLINK("http://trademark.i-assist.jp/data/china/image_1925th/82235657.pdf","82235657")</f>
        <v>82235657</v>
      </c>
      <c r="F1414" s="9" t="s">
        <v>3880</v>
      </c>
      <c r="G1414" s="9" t="s">
        <v>3881</v>
      </c>
      <c r="H1414" s="9" t="s">
        <v>3882</v>
      </c>
      <c r="I1414" s="10">
        <v>45624</v>
      </c>
    </row>
    <row r="1415" spans="1:9" x14ac:dyDescent="0.15">
      <c r="A1415" s="9">
        <v>1414</v>
      </c>
      <c r="B1415" s="9" t="s">
        <v>9</v>
      </c>
      <c r="C1415" s="9">
        <v>1925</v>
      </c>
      <c r="D1415" s="10">
        <v>45715</v>
      </c>
      <c r="E1415" s="11" t="str">
        <f>+HYPERLINK("http://trademark.i-assist.jp/data/china/image_1925th/82235683.pdf","82235683")</f>
        <v>82235683</v>
      </c>
      <c r="F1415" s="9" t="s">
        <v>3883</v>
      </c>
      <c r="G1415" s="9" t="s">
        <v>3884</v>
      </c>
      <c r="H1415" s="9" t="s">
        <v>3885</v>
      </c>
      <c r="I1415" s="10">
        <v>45624</v>
      </c>
    </row>
    <row r="1416" spans="1:9" x14ac:dyDescent="0.15">
      <c r="A1416" s="9">
        <v>1415</v>
      </c>
      <c r="B1416" s="9" t="s">
        <v>9</v>
      </c>
      <c r="C1416" s="9">
        <v>1925</v>
      </c>
      <c r="D1416" s="10">
        <v>45715</v>
      </c>
      <c r="E1416" s="11" t="str">
        <f>+HYPERLINK("http://trademark.i-assist.jp/data/china/image_1925th/82236083.pdf","82236083")</f>
        <v>82236083</v>
      </c>
      <c r="F1416" s="12" t="s">
        <v>3886</v>
      </c>
      <c r="G1416" s="9" t="s">
        <v>3887</v>
      </c>
      <c r="H1416" s="9" t="s">
        <v>3888</v>
      </c>
      <c r="I1416" s="10">
        <v>45624</v>
      </c>
    </row>
    <row r="1417" spans="1:9" x14ac:dyDescent="0.15">
      <c r="A1417" s="9">
        <v>1416</v>
      </c>
      <c r="B1417" s="9" t="s">
        <v>9</v>
      </c>
      <c r="C1417" s="9">
        <v>1925</v>
      </c>
      <c r="D1417" s="10">
        <v>45715</v>
      </c>
      <c r="E1417" s="11" t="str">
        <f>+HYPERLINK("http://trademark.i-assist.jp/data/china/image_1925th/82236281.pdf","82236281")</f>
        <v>82236281</v>
      </c>
      <c r="F1417" s="9" t="s">
        <v>3889</v>
      </c>
      <c r="G1417" s="9" t="s">
        <v>3890</v>
      </c>
      <c r="H1417" s="9" t="s">
        <v>3891</v>
      </c>
      <c r="I1417" s="10">
        <v>45624</v>
      </c>
    </row>
    <row r="1418" spans="1:9" x14ac:dyDescent="0.15">
      <c r="A1418" s="9">
        <v>1417</v>
      </c>
      <c r="B1418" s="9" t="s">
        <v>9</v>
      </c>
      <c r="C1418" s="9">
        <v>1925</v>
      </c>
      <c r="D1418" s="10">
        <v>45715</v>
      </c>
      <c r="E1418" s="11" t="str">
        <f>+HYPERLINK("http://trademark.i-assist.jp/data/china/image_1925th/82236311.pdf","82236311")</f>
        <v>82236311</v>
      </c>
      <c r="F1418" s="9" t="s">
        <v>3892</v>
      </c>
      <c r="G1418" s="12" t="s">
        <v>3893</v>
      </c>
      <c r="H1418" s="9" t="s">
        <v>3894</v>
      </c>
      <c r="I1418" s="10">
        <v>45624</v>
      </c>
    </row>
    <row r="1419" spans="1:9" x14ac:dyDescent="0.15">
      <c r="A1419" s="9">
        <v>1418</v>
      </c>
      <c r="B1419" s="9" t="s">
        <v>9</v>
      </c>
      <c r="C1419" s="9">
        <v>1925</v>
      </c>
      <c r="D1419" s="10">
        <v>45715</v>
      </c>
      <c r="E1419" s="11" t="str">
        <f>+HYPERLINK("http://trademark.i-assist.jp/data/china/image_1925th/82236535.pdf","82236535")</f>
        <v>82236535</v>
      </c>
      <c r="F1419" s="9" t="s">
        <v>3895</v>
      </c>
      <c r="G1419" s="9" t="s">
        <v>3896</v>
      </c>
      <c r="H1419" s="12" t="s">
        <v>3897</v>
      </c>
      <c r="I1419" s="10">
        <v>45624</v>
      </c>
    </row>
    <row r="1420" spans="1:9" x14ac:dyDescent="0.15">
      <c r="A1420" s="9">
        <v>1419</v>
      </c>
      <c r="B1420" s="9" t="s">
        <v>9</v>
      </c>
      <c r="C1420" s="9">
        <v>1925</v>
      </c>
      <c r="D1420" s="10">
        <v>45715</v>
      </c>
      <c r="E1420" s="11" t="str">
        <f>+HYPERLINK("http://trademark.i-assist.jp/data/china/image_1925th/82236847.pdf","82236847")</f>
        <v>82236847</v>
      </c>
      <c r="F1420" s="12" t="s">
        <v>57</v>
      </c>
      <c r="G1420" s="12" t="s">
        <v>3898</v>
      </c>
      <c r="H1420" s="9" t="s">
        <v>3899</v>
      </c>
      <c r="I1420" s="10">
        <v>45624</v>
      </c>
    </row>
    <row r="1421" spans="1:9" x14ac:dyDescent="0.15">
      <c r="A1421" s="9">
        <v>1420</v>
      </c>
      <c r="B1421" s="9" t="s">
        <v>9</v>
      </c>
      <c r="C1421" s="9">
        <v>1925</v>
      </c>
      <c r="D1421" s="10">
        <v>45715</v>
      </c>
      <c r="E1421" s="11" t="str">
        <f>+HYPERLINK("http://trademark.i-assist.jp/data/china/image_1925th/82236900.pdf","82236900")</f>
        <v>82236900</v>
      </c>
      <c r="F1421" s="9" t="s">
        <v>3900</v>
      </c>
      <c r="G1421" s="12" t="s">
        <v>3901</v>
      </c>
      <c r="H1421" s="9" t="s">
        <v>3902</v>
      </c>
      <c r="I1421" s="10">
        <v>45624</v>
      </c>
    </row>
    <row r="1422" spans="1:9" x14ac:dyDescent="0.15">
      <c r="A1422" s="9">
        <v>1421</v>
      </c>
      <c r="B1422" s="9" t="s">
        <v>9</v>
      </c>
      <c r="C1422" s="9">
        <v>1925</v>
      </c>
      <c r="D1422" s="10">
        <v>45715</v>
      </c>
      <c r="E1422" s="11" t="str">
        <f>+HYPERLINK("http://trademark.i-assist.jp/data/china/image_1925th/82237235.pdf","82237235")</f>
        <v>82237235</v>
      </c>
      <c r="F1422" s="9" t="s">
        <v>3903</v>
      </c>
      <c r="G1422" s="9" t="s">
        <v>3884</v>
      </c>
      <c r="H1422" s="9" t="s">
        <v>3904</v>
      </c>
      <c r="I1422" s="10">
        <v>45624</v>
      </c>
    </row>
    <row r="1423" spans="1:9" x14ac:dyDescent="0.15">
      <c r="A1423" s="9">
        <v>1422</v>
      </c>
      <c r="B1423" s="9" t="s">
        <v>9</v>
      </c>
      <c r="C1423" s="9">
        <v>1925</v>
      </c>
      <c r="D1423" s="10">
        <v>45715</v>
      </c>
      <c r="E1423" s="11" t="str">
        <f>+HYPERLINK("http://trademark.i-assist.jp/data/china/image_1925th/82237403.pdf","82237403")</f>
        <v>82237403</v>
      </c>
      <c r="F1423" s="9" t="s">
        <v>3905</v>
      </c>
      <c r="G1423" s="9" t="s">
        <v>3906</v>
      </c>
      <c r="H1423" s="9" t="s">
        <v>3907</v>
      </c>
      <c r="I1423" s="10">
        <v>45624</v>
      </c>
    </row>
    <row r="1424" spans="1:9" x14ac:dyDescent="0.15">
      <c r="A1424" s="9">
        <v>1423</v>
      </c>
      <c r="B1424" s="9" t="s">
        <v>9</v>
      </c>
      <c r="C1424" s="9">
        <v>1925</v>
      </c>
      <c r="D1424" s="10">
        <v>45715</v>
      </c>
      <c r="E1424" s="11" t="str">
        <f>+HYPERLINK("http://trademark.i-assist.jp/data/china/image_1925th/82237654.pdf","82237654")</f>
        <v>82237654</v>
      </c>
      <c r="F1424" s="9" t="s">
        <v>3908</v>
      </c>
      <c r="G1424" s="9" t="s">
        <v>3598</v>
      </c>
      <c r="H1424" s="9" t="s">
        <v>3909</v>
      </c>
      <c r="I1424" s="10">
        <v>45624</v>
      </c>
    </row>
    <row r="1425" spans="1:9" x14ac:dyDescent="0.15">
      <c r="A1425" s="9">
        <v>1424</v>
      </c>
      <c r="B1425" s="9" t="s">
        <v>9</v>
      </c>
      <c r="C1425" s="9">
        <v>1925</v>
      </c>
      <c r="D1425" s="10">
        <v>45715</v>
      </c>
      <c r="E1425" s="11" t="str">
        <f>+HYPERLINK("http://trademark.i-assist.jp/data/china/image_1925th/82237820.pdf","82237820")</f>
        <v>82237820</v>
      </c>
      <c r="F1425" s="13" t="s">
        <v>3910</v>
      </c>
      <c r="G1425" s="12" t="s">
        <v>500</v>
      </c>
      <c r="H1425" s="9" t="s">
        <v>3911</v>
      </c>
      <c r="I1425" s="10">
        <v>45624</v>
      </c>
    </row>
    <row r="1426" spans="1:9" x14ac:dyDescent="0.15">
      <c r="A1426" s="9">
        <v>1425</v>
      </c>
      <c r="B1426" s="9" t="s">
        <v>9</v>
      </c>
      <c r="C1426" s="9">
        <v>1925</v>
      </c>
      <c r="D1426" s="10">
        <v>45715</v>
      </c>
      <c r="E1426" s="11" t="str">
        <f>+HYPERLINK("http://trademark.i-assist.jp/data/china/image_1925th/82238171.pdf","82238171")</f>
        <v>82238171</v>
      </c>
      <c r="F1426" s="9" t="s">
        <v>3912</v>
      </c>
      <c r="G1426" s="9" t="s">
        <v>3913</v>
      </c>
      <c r="H1426" s="9" t="s">
        <v>3914</v>
      </c>
      <c r="I1426" s="10">
        <v>45624</v>
      </c>
    </row>
    <row r="1427" spans="1:9" x14ac:dyDescent="0.15">
      <c r="A1427" s="9">
        <v>1426</v>
      </c>
      <c r="B1427" s="9" t="s">
        <v>9</v>
      </c>
      <c r="C1427" s="9">
        <v>1925</v>
      </c>
      <c r="D1427" s="10">
        <v>45715</v>
      </c>
      <c r="E1427" s="11" t="str">
        <f>+HYPERLINK("http://trademark.i-assist.jp/data/china/image_1925th/82238181.pdf","82238181")</f>
        <v>82238181</v>
      </c>
      <c r="F1427" s="9" t="s">
        <v>3915</v>
      </c>
      <c r="G1427" s="9" t="s">
        <v>3916</v>
      </c>
      <c r="H1427" s="9" t="s">
        <v>3917</v>
      </c>
      <c r="I1427" s="10">
        <v>45624</v>
      </c>
    </row>
    <row r="1428" spans="1:9" x14ac:dyDescent="0.15">
      <c r="A1428" s="9">
        <v>1427</v>
      </c>
      <c r="B1428" s="9" t="s">
        <v>9</v>
      </c>
      <c r="C1428" s="9">
        <v>1925</v>
      </c>
      <c r="D1428" s="10">
        <v>45715</v>
      </c>
      <c r="E1428" s="11" t="str">
        <f>+HYPERLINK("http://trademark.i-assist.jp/data/china/image_1925th/82238250.pdf","82238250")</f>
        <v>82238250</v>
      </c>
      <c r="F1428" s="9" t="s">
        <v>3918</v>
      </c>
      <c r="G1428" s="9" t="s">
        <v>3919</v>
      </c>
      <c r="H1428" s="9" t="s">
        <v>3920</v>
      </c>
      <c r="I1428" s="10">
        <v>45624</v>
      </c>
    </row>
    <row r="1429" spans="1:9" x14ac:dyDescent="0.15">
      <c r="A1429" s="9">
        <v>1428</v>
      </c>
      <c r="B1429" s="9" t="s">
        <v>9</v>
      </c>
      <c r="C1429" s="9">
        <v>1925</v>
      </c>
      <c r="D1429" s="10">
        <v>45715</v>
      </c>
      <c r="E1429" s="11" t="str">
        <f>+HYPERLINK("http://trademark.i-assist.jp/data/china/image_1925th/82238340.pdf","82238340")</f>
        <v>82238340</v>
      </c>
      <c r="F1429" s="9" t="s">
        <v>3921</v>
      </c>
      <c r="G1429" s="9" t="s">
        <v>3922</v>
      </c>
      <c r="H1429" s="9" t="s">
        <v>3923</v>
      </c>
      <c r="I1429" s="10">
        <v>45624</v>
      </c>
    </row>
    <row r="1430" spans="1:9" x14ac:dyDescent="0.15">
      <c r="A1430" s="9">
        <v>1429</v>
      </c>
      <c r="B1430" s="9" t="s">
        <v>9</v>
      </c>
      <c r="C1430" s="9">
        <v>1925</v>
      </c>
      <c r="D1430" s="10">
        <v>45715</v>
      </c>
      <c r="E1430" s="11" t="str">
        <f>+HYPERLINK("http://trademark.i-assist.jp/data/china/image_1925th/82238602.pdf","82238602")</f>
        <v>82238602</v>
      </c>
      <c r="F1430" s="9" t="s">
        <v>3924</v>
      </c>
      <c r="G1430" s="9" t="s">
        <v>3925</v>
      </c>
      <c r="H1430" s="9" t="s">
        <v>3926</v>
      </c>
      <c r="I1430" s="10">
        <v>45624</v>
      </c>
    </row>
    <row r="1431" spans="1:9" x14ac:dyDescent="0.15">
      <c r="A1431" s="9">
        <v>1430</v>
      </c>
      <c r="B1431" s="9" t="s">
        <v>9</v>
      </c>
      <c r="C1431" s="9">
        <v>1925</v>
      </c>
      <c r="D1431" s="10">
        <v>45715</v>
      </c>
      <c r="E1431" s="11" t="str">
        <f>+HYPERLINK("http://trademark.i-assist.jp/data/china/image_1925th/82239184.pdf","82239184")</f>
        <v>82239184</v>
      </c>
      <c r="F1431" s="13" t="s">
        <v>3927</v>
      </c>
      <c r="G1431" s="12" t="s">
        <v>3928</v>
      </c>
      <c r="H1431" s="9" t="s">
        <v>3929</v>
      </c>
      <c r="I1431" s="10">
        <v>45624</v>
      </c>
    </row>
    <row r="1432" spans="1:9" x14ac:dyDescent="0.15">
      <c r="A1432" s="9">
        <v>1431</v>
      </c>
      <c r="B1432" s="9" t="s">
        <v>9</v>
      </c>
      <c r="C1432" s="9">
        <v>1925</v>
      </c>
      <c r="D1432" s="10">
        <v>45715</v>
      </c>
      <c r="E1432" s="11" t="str">
        <f>+HYPERLINK("http://trademark.i-assist.jp/data/china/image_1925th/82239339.pdf","82239339")</f>
        <v>82239339</v>
      </c>
      <c r="F1432" s="9" t="s">
        <v>3930</v>
      </c>
      <c r="G1432" s="12" t="s">
        <v>3931</v>
      </c>
      <c r="H1432" s="9" t="s">
        <v>3932</v>
      </c>
      <c r="I1432" s="10">
        <v>45624</v>
      </c>
    </row>
    <row r="1433" spans="1:9" x14ac:dyDescent="0.15">
      <c r="A1433" s="9">
        <v>1432</v>
      </c>
      <c r="B1433" s="9" t="s">
        <v>9</v>
      </c>
      <c r="C1433" s="9">
        <v>1925</v>
      </c>
      <c r="D1433" s="10">
        <v>45715</v>
      </c>
      <c r="E1433" s="11" t="str">
        <f>+HYPERLINK("http://trademark.i-assist.jp/data/china/image_1925th/82239731.pdf","82239731")</f>
        <v>82239731</v>
      </c>
      <c r="F1433" s="9" t="s">
        <v>3933</v>
      </c>
      <c r="G1433" s="12" t="s">
        <v>3934</v>
      </c>
      <c r="H1433" s="9" t="s">
        <v>3935</v>
      </c>
      <c r="I1433" s="10">
        <v>45624</v>
      </c>
    </row>
    <row r="1434" spans="1:9" x14ac:dyDescent="0.15">
      <c r="A1434" s="9">
        <v>1433</v>
      </c>
      <c r="B1434" s="9" t="s">
        <v>9</v>
      </c>
      <c r="C1434" s="9">
        <v>1925</v>
      </c>
      <c r="D1434" s="10">
        <v>45715</v>
      </c>
      <c r="E1434" s="11" t="str">
        <f>+HYPERLINK("http://trademark.i-assist.jp/data/china/image_1925th/82240416.pdf","82240416")</f>
        <v>82240416</v>
      </c>
      <c r="F1434" s="12" t="s">
        <v>3936</v>
      </c>
      <c r="G1434" s="9" t="s">
        <v>3919</v>
      </c>
      <c r="H1434" s="12" t="s">
        <v>3937</v>
      </c>
      <c r="I1434" s="10">
        <v>45624</v>
      </c>
    </row>
    <row r="1435" spans="1:9" x14ac:dyDescent="0.15">
      <c r="A1435" s="9">
        <v>1434</v>
      </c>
      <c r="B1435" s="9" t="s">
        <v>9</v>
      </c>
      <c r="C1435" s="9">
        <v>1925</v>
      </c>
      <c r="D1435" s="10">
        <v>45715</v>
      </c>
      <c r="E1435" s="11" t="str">
        <f>+HYPERLINK("http://trademark.i-assist.jp/data/china/image_1925th/82240692.pdf","82240692")</f>
        <v>82240692</v>
      </c>
      <c r="F1435" s="9" t="s">
        <v>3938</v>
      </c>
      <c r="G1435" s="12" t="s">
        <v>3939</v>
      </c>
      <c r="H1435" s="9" t="s">
        <v>3940</v>
      </c>
      <c r="I1435" s="10">
        <v>45624</v>
      </c>
    </row>
    <row r="1436" spans="1:9" x14ac:dyDescent="0.15">
      <c r="A1436" s="9">
        <v>1435</v>
      </c>
      <c r="B1436" s="9" t="s">
        <v>9</v>
      </c>
      <c r="C1436" s="9">
        <v>1925</v>
      </c>
      <c r="D1436" s="10">
        <v>45715</v>
      </c>
      <c r="E1436" s="11" t="str">
        <f>+HYPERLINK("http://trademark.i-assist.jp/data/china/image_1925th/82240931.pdf","82240931")</f>
        <v>82240931</v>
      </c>
      <c r="F1436" s="9" t="s">
        <v>3941</v>
      </c>
      <c r="G1436" s="9" t="s">
        <v>3942</v>
      </c>
      <c r="H1436" s="9" t="s">
        <v>3943</v>
      </c>
      <c r="I1436" s="10">
        <v>45624</v>
      </c>
    </row>
    <row r="1437" spans="1:9" x14ac:dyDescent="0.15">
      <c r="A1437" s="9">
        <v>1436</v>
      </c>
      <c r="B1437" s="9" t="s">
        <v>9</v>
      </c>
      <c r="C1437" s="9">
        <v>1925</v>
      </c>
      <c r="D1437" s="10">
        <v>45715</v>
      </c>
      <c r="E1437" s="11" t="str">
        <f>+HYPERLINK("http://trademark.i-assist.jp/data/china/image_1925th/82241153.pdf","82241153")</f>
        <v>82241153</v>
      </c>
      <c r="F1437" s="12" t="s">
        <v>57</v>
      </c>
      <c r="G1437" s="9" t="s">
        <v>3703</v>
      </c>
      <c r="H1437" s="9" t="s">
        <v>3944</v>
      </c>
      <c r="I1437" s="10">
        <v>45624</v>
      </c>
    </row>
    <row r="1438" spans="1:9" x14ac:dyDescent="0.15">
      <c r="A1438" s="9">
        <v>1437</v>
      </c>
      <c r="B1438" s="9" t="s">
        <v>9</v>
      </c>
      <c r="C1438" s="9">
        <v>1925</v>
      </c>
      <c r="D1438" s="10">
        <v>45715</v>
      </c>
      <c r="E1438" s="11" t="str">
        <f>+HYPERLINK("http://trademark.i-assist.jp/data/china/image_1925th/82241350.pdf","82241350")</f>
        <v>82241350</v>
      </c>
      <c r="F1438" s="9" t="s">
        <v>3945</v>
      </c>
      <c r="G1438" s="9" t="s">
        <v>3946</v>
      </c>
      <c r="H1438" s="12" t="s">
        <v>3947</v>
      </c>
      <c r="I1438" s="10">
        <v>45624</v>
      </c>
    </row>
    <row r="1439" spans="1:9" x14ac:dyDescent="0.15">
      <c r="A1439" s="9">
        <v>1438</v>
      </c>
      <c r="B1439" s="9" t="s">
        <v>9</v>
      </c>
      <c r="C1439" s="9">
        <v>1925</v>
      </c>
      <c r="D1439" s="10">
        <v>45715</v>
      </c>
      <c r="E1439" s="11" t="str">
        <f>+HYPERLINK("http://trademark.i-assist.jp/data/china/image_1925th/82241639.pdf","82241639")</f>
        <v>82241639</v>
      </c>
      <c r="F1439" s="9" t="s">
        <v>3948</v>
      </c>
      <c r="G1439" s="12" t="s">
        <v>3871</v>
      </c>
      <c r="H1439" s="9" t="s">
        <v>3949</v>
      </c>
      <c r="I1439" s="10">
        <v>45624</v>
      </c>
    </row>
    <row r="1440" spans="1:9" x14ac:dyDescent="0.15">
      <c r="A1440" s="9">
        <v>1439</v>
      </c>
      <c r="B1440" s="9" t="s">
        <v>9</v>
      </c>
      <c r="C1440" s="9">
        <v>1925</v>
      </c>
      <c r="D1440" s="10">
        <v>45715</v>
      </c>
      <c r="E1440" s="11" t="str">
        <f>+HYPERLINK("http://trademark.i-assist.jp/data/china/image_1925th/82241714.pdf","82241714")</f>
        <v>82241714</v>
      </c>
      <c r="F1440" s="9" t="s">
        <v>3950</v>
      </c>
      <c r="G1440" s="9" t="s">
        <v>3951</v>
      </c>
      <c r="H1440" s="9" t="s">
        <v>3952</v>
      </c>
      <c r="I1440" s="10">
        <v>45624</v>
      </c>
    </row>
    <row r="1441" spans="1:9" x14ac:dyDescent="0.15">
      <c r="A1441" s="9">
        <v>1440</v>
      </c>
      <c r="B1441" s="9" t="s">
        <v>9</v>
      </c>
      <c r="C1441" s="9">
        <v>1925</v>
      </c>
      <c r="D1441" s="10">
        <v>45715</v>
      </c>
      <c r="E1441" s="11" t="str">
        <f>+HYPERLINK("http://trademark.i-assist.jp/data/china/image_1925th/82241821.pdf","82241821")</f>
        <v>82241821</v>
      </c>
      <c r="F1441" s="12" t="s">
        <v>3953</v>
      </c>
      <c r="G1441" s="9" t="s">
        <v>3954</v>
      </c>
      <c r="H1441" s="9" t="s">
        <v>3955</v>
      </c>
      <c r="I1441" s="10">
        <v>45624</v>
      </c>
    </row>
    <row r="1442" spans="1:9" x14ac:dyDescent="0.15">
      <c r="A1442" s="9">
        <v>1441</v>
      </c>
      <c r="B1442" s="9" t="s">
        <v>9</v>
      </c>
      <c r="C1442" s="9">
        <v>1925</v>
      </c>
      <c r="D1442" s="10">
        <v>45715</v>
      </c>
      <c r="E1442" s="11" t="str">
        <f>+HYPERLINK("http://trademark.i-assist.jp/data/china/image_1925th/82241872.pdf","82241872")</f>
        <v>82241872</v>
      </c>
      <c r="F1442" s="9" t="s">
        <v>3956</v>
      </c>
      <c r="G1442" s="12" t="s">
        <v>3957</v>
      </c>
      <c r="H1442" s="9" t="s">
        <v>3958</v>
      </c>
      <c r="I1442" s="10">
        <v>45624</v>
      </c>
    </row>
    <row r="1443" spans="1:9" x14ac:dyDescent="0.15">
      <c r="A1443" s="9">
        <v>1442</v>
      </c>
      <c r="B1443" s="9" t="s">
        <v>9</v>
      </c>
      <c r="C1443" s="9">
        <v>1925</v>
      </c>
      <c r="D1443" s="10">
        <v>45715</v>
      </c>
      <c r="E1443" s="11" t="str">
        <f>+HYPERLINK("http://trademark.i-assist.jp/data/china/image_1925th/82242693.pdf","82242693")</f>
        <v>82242693</v>
      </c>
      <c r="F1443" s="9" t="s">
        <v>3959</v>
      </c>
      <c r="G1443" s="9" t="s">
        <v>3946</v>
      </c>
      <c r="H1443" s="9" t="s">
        <v>3960</v>
      </c>
      <c r="I1443" s="10">
        <v>45624</v>
      </c>
    </row>
    <row r="1444" spans="1:9" x14ac:dyDescent="0.15">
      <c r="A1444" s="9">
        <v>1443</v>
      </c>
      <c r="B1444" s="9" t="s">
        <v>9</v>
      </c>
      <c r="C1444" s="9">
        <v>1925</v>
      </c>
      <c r="D1444" s="10">
        <v>45715</v>
      </c>
      <c r="E1444" s="11" t="str">
        <f>+HYPERLINK("http://trademark.i-assist.jp/data/china/image_1925th/82242852.pdf","82242852")</f>
        <v>82242852</v>
      </c>
      <c r="F1444" s="9" t="s">
        <v>3961</v>
      </c>
      <c r="G1444" s="9" t="s">
        <v>3962</v>
      </c>
      <c r="H1444" s="9" t="s">
        <v>3963</v>
      </c>
      <c r="I1444" s="10">
        <v>45624</v>
      </c>
    </row>
    <row r="1445" spans="1:9" x14ac:dyDescent="0.15">
      <c r="A1445" s="9">
        <v>1444</v>
      </c>
      <c r="B1445" s="9" t="s">
        <v>9</v>
      </c>
      <c r="C1445" s="9">
        <v>1925</v>
      </c>
      <c r="D1445" s="10">
        <v>45715</v>
      </c>
      <c r="E1445" s="11" t="str">
        <f>+HYPERLINK("http://trademark.i-assist.jp/data/china/image_1925th/82243000.pdf","82243000")</f>
        <v>82243000</v>
      </c>
      <c r="F1445" s="9" t="s">
        <v>3964</v>
      </c>
      <c r="G1445" s="9" t="s">
        <v>3598</v>
      </c>
      <c r="H1445" s="12" t="s">
        <v>3965</v>
      </c>
      <c r="I1445" s="10">
        <v>45624</v>
      </c>
    </row>
    <row r="1446" spans="1:9" x14ac:dyDescent="0.15">
      <c r="A1446" s="9">
        <v>1445</v>
      </c>
      <c r="B1446" s="9" t="s">
        <v>9</v>
      </c>
      <c r="C1446" s="9">
        <v>1925</v>
      </c>
      <c r="D1446" s="10">
        <v>45715</v>
      </c>
      <c r="E1446" s="11" t="str">
        <f>+HYPERLINK("http://trademark.i-assist.jp/data/china/image_1925th/82243548.pdf","82243548")</f>
        <v>82243548</v>
      </c>
      <c r="F1446" s="9" t="s">
        <v>3966</v>
      </c>
      <c r="G1446" s="9" t="s">
        <v>3884</v>
      </c>
      <c r="H1446" s="12" t="s">
        <v>3967</v>
      </c>
      <c r="I1446" s="10">
        <v>45624</v>
      </c>
    </row>
    <row r="1447" spans="1:9" x14ac:dyDescent="0.15">
      <c r="A1447" s="9">
        <v>1446</v>
      </c>
      <c r="B1447" s="9" t="s">
        <v>9</v>
      </c>
      <c r="C1447" s="9">
        <v>1925</v>
      </c>
      <c r="D1447" s="10">
        <v>45715</v>
      </c>
      <c r="E1447" s="11" t="str">
        <f>+HYPERLINK("http://trademark.i-assist.jp/data/china/image_1925th/82243600.pdf","82243600")</f>
        <v>82243600</v>
      </c>
      <c r="F1447" s="9" t="s">
        <v>3968</v>
      </c>
      <c r="G1447" s="9" t="s">
        <v>3969</v>
      </c>
      <c r="H1447" s="9" t="s">
        <v>3970</v>
      </c>
      <c r="I1447" s="10">
        <v>45624</v>
      </c>
    </row>
    <row r="1448" spans="1:9" x14ac:dyDescent="0.15">
      <c r="A1448" s="9">
        <v>1447</v>
      </c>
      <c r="B1448" s="9" t="s">
        <v>9</v>
      </c>
      <c r="C1448" s="9">
        <v>1925</v>
      </c>
      <c r="D1448" s="10">
        <v>45715</v>
      </c>
      <c r="E1448" s="11" t="str">
        <f>+HYPERLINK("http://trademark.i-assist.jp/data/china/image_1925th/82243925.pdf","82243925")</f>
        <v>82243925</v>
      </c>
      <c r="F1448" s="12" t="s">
        <v>3971</v>
      </c>
      <c r="G1448" s="12" t="s">
        <v>3972</v>
      </c>
      <c r="H1448" s="9" t="s">
        <v>3973</v>
      </c>
      <c r="I1448" s="10">
        <v>45624</v>
      </c>
    </row>
    <row r="1449" spans="1:9" x14ac:dyDescent="0.15">
      <c r="A1449" s="9">
        <v>1448</v>
      </c>
      <c r="B1449" s="9" t="s">
        <v>9</v>
      </c>
      <c r="C1449" s="9">
        <v>1925</v>
      </c>
      <c r="D1449" s="10">
        <v>45715</v>
      </c>
      <c r="E1449" s="11" t="str">
        <f>+HYPERLINK("http://trademark.i-assist.jp/data/china/image_1925th/82243986.pdf","82243986")</f>
        <v>82243986</v>
      </c>
      <c r="F1449" s="9" t="s">
        <v>3974</v>
      </c>
      <c r="G1449" s="12" t="s">
        <v>3975</v>
      </c>
      <c r="H1449" s="9" t="s">
        <v>3976</v>
      </c>
      <c r="I1449" s="10">
        <v>45624</v>
      </c>
    </row>
    <row r="1450" spans="1:9" x14ac:dyDescent="0.15">
      <c r="A1450" s="9">
        <v>1449</v>
      </c>
      <c r="B1450" s="9" t="s">
        <v>9</v>
      </c>
      <c r="C1450" s="9">
        <v>1925</v>
      </c>
      <c r="D1450" s="10">
        <v>45715</v>
      </c>
      <c r="E1450" s="11" t="str">
        <f>+HYPERLINK("http://trademark.i-assist.jp/data/china/image_1925th/82244578.pdf","82244578")</f>
        <v>82244578</v>
      </c>
      <c r="F1450" s="9" t="s">
        <v>3977</v>
      </c>
      <c r="G1450" s="9" t="s">
        <v>3978</v>
      </c>
      <c r="H1450" s="9" t="s">
        <v>3979</v>
      </c>
      <c r="I1450" s="10">
        <v>45624</v>
      </c>
    </row>
    <row r="1451" spans="1:9" x14ac:dyDescent="0.15">
      <c r="A1451" s="9">
        <v>1450</v>
      </c>
      <c r="B1451" s="9" t="s">
        <v>9</v>
      </c>
      <c r="C1451" s="9">
        <v>1925</v>
      </c>
      <c r="D1451" s="10">
        <v>45715</v>
      </c>
      <c r="E1451" s="11" t="str">
        <f>+HYPERLINK("http://trademark.i-assist.jp/data/china/image_1925th/82244737.pdf","82244737")</f>
        <v>82244737</v>
      </c>
      <c r="F1451" s="12" t="s">
        <v>3980</v>
      </c>
      <c r="G1451" s="9" t="s">
        <v>3981</v>
      </c>
      <c r="H1451" s="9" t="s">
        <v>3982</v>
      </c>
      <c r="I1451" s="10">
        <v>45624</v>
      </c>
    </row>
    <row r="1452" spans="1:9" x14ac:dyDescent="0.15">
      <c r="A1452" s="9">
        <v>1451</v>
      </c>
      <c r="B1452" s="9" t="s">
        <v>9</v>
      </c>
      <c r="C1452" s="9">
        <v>1925</v>
      </c>
      <c r="D1452" s="10">
        <v>45715</v>
      </c>
      <c r="E1452" s="11" t="str">
        <f>+HYPERLINK("http://trademark.i-assist.jp/data/china/image_1925th/82244774.pdf","82244774")</f>
        <v>82244774</v>
      </c>
      <c r="F1452" s="9" t="s">
        <v>3983</v>
      </c>
      <c r="G1452" s="12" t="s">
        <v>3984</v>
      </c>
      <c r="H1452" s="9" t="s">
        <v>3985</v>
      </c>
      <c r="I1452" s="10">
        <v>45624</v>
      </c>
    </row>
    <row r="1453" spans="1:9" x14ac:dyDescent="0.15">
      <c r="A1453" s="9">
        <v>1452</v>
      </c>
      <c r="B1453" s="9" t="s">
        <v>9</v>
      </c>
      <c r="C1453" s="9">
        <v>1925</v>
      </c>
      <c r="D1453" s="10">
        <v>45715</v>
      </c>
      <c r="E1453" s="11" t="str">
        <f>+HYPERLINK("http://trademark.i-assist.jp/data/china/image_1925th/82245121.pdf","82245121")</f>
        <v>82245121</v>
      </c>
      <c r="F1453" s="9" t="s">
        <v>3986</v>
      </c>
      <c r="G1453" s="9" t="s">
        <v>3884</v>
      </c>
      <c r="H1453" s="9" t="s">
        <v>3987</v>
      </c>
      <c r="I1453" s="10">
        <v>45624</v>
      </c>
    </row>
    <row r="1454" spans="1:9" x14ac:dyDescent="0.15">
      <c r="A1454" s="9">
        <v>1453</v>
      </c>
      <c r="B1454" s="9" t="s">
        <v>9</v>
      </c>
      <c r="C1454" s="9">
        <v>1925</v>
      </c>
      <c r="D1454" s="10">
        <v>45715</v>
      </c>
      <c r="E1454" s="11" t="str">
        <f>+HYPERLINK("http://trademark.i-assist.jp/data/china/image_1925th/82245135.pdf","82245135")</f>
        <v>82245135</v>
      </c>
      <c r="F1454" s="12" t="s">
        <v>3988</v>
      </c>
      <c r="G1454" s="9" t="s">
        <v>20</v>
      </c>
      <c r="H1454" s="9" t="s">
        <v>3989</v>
      </c>
      <c r="I1454" s="10">
        <v>45624</v>
      </c>
    </row>
    <row r="1455" spans="1:9" x14ac:dyDescent="0.15">
      <c r="A1455" s="9">
        <v>1454</v>
      </c>
      <c r="B1455" s="9" t="s">
        <v>9</v>
      </c>
      <c r="C1455" s="9">
        <v>1925</v>
      </c>
      <c r="D1455" s="10">
        <v>45715</v>
      </c>
      <c r="E1455" s="11" t="str">
        <f>+HYPERLINK("http://trademark.i-assist.jp/data/china/image_1925th/82245155.pdf","82245155")</f>
        <v>82245155</v>
      </c>
      <c r="F1455" s="12" t="s">
        <v>3990</v>
      </c>
      <c r="G1455" s="9" t="s">
        <v>3991</v>
      </c>
      <c r="H1455" s="9" t="s">
        <v>3992</v>
      </c>
      <c r="I1455" s="10">
        <v>45624</v>
      </c>
    </row>
    <row r="1456" spans="1:9" x14ac:dyDescent="0.15">
      <c r="A1456" s="9">
        <v>1455</v>
      </c>
      <c r="B1456" s="9" t="s">
        <v>9</v>
      </c>
      <c r="C1456" s="9">
        <v>1925</v>
      </c>
      <c r="D1456" s="10">
        <v>45715</v>
      </c>
      <c r="E1456" s="11" t="str">
        <f>+HYPERLINK("http://trademark.i-assist.jp/data/china/image_1925th/82245295.pdf","82245295")</f>
        <v>82245295</v>
      </c>
      <c r="F1456" s="9" t="s">
        <v>3993</v>
      </c>
      <c r="G1456" s="9" t="s">
        <v>3994</v>
      </c>
      <c r="H1456" s="9" t="s">
        <v>3995</v>
      </c>
      <c r="I1456" s="10">
        <v>45624</v>
      </c>
    </row>
    <row r="1457" spans="1:9" x14ac:dyDescent="0.15">
      <c r="A1457" s="9">
        <v>1456</v>
      </c>
      <c r="B1457" s="9" t="s">
        <v>9</v>
      </c>
      <c r="C1457" s="9">
        <v>1925</v>
      </c>
      <c r="D1457" s="10">
        <v>45715</v>
      </c>
      <c r="E1457" s="11" t="str">
        <f>+HYPERLINK("http://trademark.i-assist.jp/data/china/image_1925th/82245466.pdf","82245466")</f>
        <v>82245466</v>
      </c>
      <c r="F1457" s="9" t="s">
        <v>3996</v>
      </c>
      <c r="G1457" s="12" t="s">
        <v>3997</v>
      </c>
      <c r="H1457" s="9" t="s">
        <v>3998</v>
      </c>
      <c r="I1457" s="10">
        <v>45624</v>
      </c>
    </row>
    <row r="1458" spans="1:9" x14ac:dyDescent="0.15">
      <c r="A1458" s="9">
        <v>1457</v>
      </c>
      <c r="B1458" s="9" t="s">
        <v>9</v>
      </c>
      <c r="C1458" s="9">
        <v>1925</v>
      </c>
      <c r="D1458" s="10">
        <v>45715</v>
      </c>
      <c r="E1458" s="11" t="str">
        <f>+HYPERLINK("http://trademark.i-assist.jp/data/china/image_1925th/82245672.pdf","82245672")</f>
        <v>82245672</v>
      </c>
      <c r="F1458" s="13" t="s">
        <v>3999</v>
      </c>
      <c r="G1458" s="12" t="s">
        <v>500</v>
      </c>
      <c r="H1458" s="12" t="s">
        <v>4000</v>
      </c>
      <c r="I1458" s="10">
        <v>45624</v>
      </c>
    </row>
    <row r="1459" spans="1:9" x14ac:dyDescent="0.15">
      <c r="A1459" s="9">
        <v>1458</v>
      </c>
      <c r="B1459" s="9" t="s">
        <v>9</v>
      </c>
      <c r="C1459" s="9">
        <v>1925</v>
      </c>
      <c r="D1459" s="10">
        <v>45715</v>
      </c>
      <c r="E1459" s="11" t="str">
        <f>+HYPERLINK("http://trademark.i-assist.jp/data/china/image_1925th/82246005.pdf","82246005")</f>
        <v>82246005</v>
      </c>
      <c r="F1459" s="9" t="s">
        <v>4001</v>
      </c>
      <c r="G1459" s="9" t="s">
        <v>3852</v>
      </c>
      <c r="H1459" s="9" t="s">
        <v>4002</v>
      </c>
      <c r="I1459" s="10">
        <v>45624</v>
      </c>
    </row>
    <row r="1460" spans="1:9" x14ac:dyDescent="0.15">
      <c r="A1460" s="9">
        <v>1459</v>
      </c>
      <c r="B1460" s="9" t="s">
        <v>9</v>
      </c>
      <c r="C1460" s="9">
        <v>1925</v>
      </c>
      <c r="D1460" s="10">
        <v>45715</v>
      </c>
      <c r="E1460" s="11" t="str">
        <f>+HYPERLINK("http://trademark.i-assist.jp/data/china/image_1925th/82246123.pdf","82246123")</f>
        <v>82246123</v>
      </c>
      <c r="F1460" s="9" t="s">
        <v>4003</v>
      </c>
      <c r="G1460" s="9" t="s">
        <v>4004</v>
      </c>
      <c r="H1460" s="9" t="s">
        <v>4005</v>
      </c>
      <c r="I1460" s="10">
        <v>45624</v>
      </c>
    </row>
    <row r="1461" spans="1:9" x14ac:dyDescent="0.15">
      <c r="A1461" s="9">
        <v>1460</v>
      </c>
      <c r="B1461" s="9" t="s">
        <v>9</v>
      </c>
      <c r="C1461" s="9">
        <v>1925</v>
      </c>
      <c r="D1461" s="10">
        <v>45715</v>
      </c>
      <c r="E1461" s="11" t="str">
        <f>+HYPERLINK("http://trademark.i-assist.jp/data/china/image_1925th/82246438.pdf","82246438")</f>
        <v>82246438</v>
      </c>
      <c r="F1461" s="12" t="s">
        <v>57</v>
      </c>
      <c r="G1461" s="12" t="s">
        <v>4006</v>
      </c>
      <c r="H1461" s="9" t="s">
        <v>4007</v>
      </c>
      <c r="I1461" s="10">
        <v>45624</v>
      </c>
    </row>
    <row r="1462" spans="1:9" x14ac:dyDescent="0.15">
      <c r="A1462" s="9">
        <v>1461</v>
      </c>
      <c r="B1462" s="9" t="s">
        <v>9</v>
      </c>
      <c r="C1462" s="9">
        <v>1925</v>
      </c>
      <c r="D1462" s="10">
        <v>45715</v>
      </c>
      <c r="E1462" s="11" t="str">
        <f>+HYPERLINK("http://trademark.i-assist.jp/data/china/image_1925th/82246509.pdf","82246509")</f>
        <v>82246509</v>
      </c>
      <c r="F1462" s="9" t="s">
        <v>4008</v>
      </c>
      <c r="G1462" s="9" t="s">
        <v>4009</v>
      </c>
      <c r="H1462" s="9" t="s">
        <v>4010</v>
      </c>
      <c r="I1462" s="10">
        <v>45624</v>
      </c>
    </row>
    <row r="1463" spans="1:9" x14ac:dyDescent="0.15">
      <c r="A1463" s="9">
        <v>1462</v>
      </c>
      <c r="B1463" s="9" t="s">
        <v>9</v>
      </c>
      <c r="C1463" s="9">
        <v>1925</v>
      </c>
      <c r="D1463" s="10">
        <v>45715</v>
      </c>
      <c r="E1463" s="11" t="str">
        <f>+HYPERLINK("http://trademark.i-assist.jp/data/china/image_1925th/82246532.pdf","82246532")</f>
        <v>82246532</v>
      </c>
      <c r="F1463" s="9" t="s">
        <v>4011</v>
      </c>
      <c r="G1463" s="12" t="s">
        <v>4012</v>
      </c>
      <c r="H1463" s="9" t="s">
        <v>4013</v>
      </c>
      <c r="I1463" s="10">
        <v>45624</v>
      </c>
    </row>
    <row r="1464" spans="1:9" x14ac:dyDescent="0.15">
      <c r="A1464" s="9">
        <v>1463</v>
      </c>
      <c r="B1464" s="9" t="s">
        <v>9</v>
      </c>
      <c r="C1464" s="9">
        <v>1925</v>
      </c>
      <c r="D1464" s="10">
        <v>45715</v>
      </c>
      <c r="E1464" s="11" t="str">
        <f>+HYPERLINK("http://trademark.i-assist.jp/data/china/image_1925th/82246859.pdf","82246859")</f>
        <v>82246859</v>
      </c>
      <c r="F1464" s="9" t="s">
        <v>4014</v>
      </c>
      <c r="G1464" s="12" t="s">
        <v>4015</v>
      </c>
      <c r="H1464" s="9" t="s">
        <v>4016</v>
      </c>
      <c r="I1464" s="10">
        <v>45624</v>
      </c>
    </row>
    <row r="1465" spans="1:9" x14ac:dyDescent="0.15">
      <c r="A1465" s="9">
        <v>1464</v>
      </c>
      <c r="B1465" s="9" t="s">
        <v>9</v>
      </c>
      <c r="C1465" s="9">
        <v>1925</v>
      </c>
      <c r="D1465" s="10">
        <v>45715</v>
      </c>
      <c r="E1465" s="11" t="str">
        <f>+HYPERLINK("http://trademark.i-assist.jp/data/china/image_1925th/82246876.pdf","82246876")</f>
        <v>82246876</v>
      </c>
      <c r="F1465" s="9" t="s">
        <v>4017</v>
      </c>
      <c r="G1465" s="9" t="s">
        <v>4018</v>
      </c>
      <c r="H1465" s="9" t="s">
        <v>4019</v>
      </c>
      <c r="I1465" s="10">
        <v>45624</v>
      </c>
    </row>
    <row r="1466" spans="1:9" x14ac:dyDescent="0.15">
      <c r="A1466" s="9">
        <v>1465</v>
      </c>
      <c r="B1466" s="9" t="s">
        <v>9</v>
      </c>
      <c r="C1466" s="9">
        <v>1925</v>
      </c>
      <c r="D1466" s="10">
        <v>45715</v>
      </c>
      <c r="E1466" s="11" t="str">
        <f>+HYPERLINK("http://trademark.i-assist.jp/data/china/image_1925th/82246991.pdf","82246991")</f>
        <v>82246991</v>
      </c>
      <c r="F1466" s="9" t="s">
        <v>4020</v>
      </c>
      <c r="G1466" s="9" t="s">
        <v>3852</v>
      </c>
      <c r="H1466" s="9" t="s">
        <v>4021</v>
      </c>
      <c r="I1466" s="10">
        <v>45624</v>
      </c>
    </row>
    <row r="1467" spans="1:9" x14ac:dyDescent="0.15">
      <c r="A1467" s="9">
        <v>1466</v>
      </c>
      <c r="B1467" s="9" t="s">
        <v>9</v>
      </c>
      <c r="C1467" s="9">
        <v>1925</v>
      </c>
      <c r="D1467" s="10">
        <v>45715</v>
      </c>
      <c r="E1467" s="11" t="str">
        <f>+HYPERLINK("http://trademark.i-assist.jp/data/china/image_1925th/82247133.pdf","82247133")</f>
        <v>82247133</v>
      </c>
      <c r="F1467" s="12" t="s">
        <v>4022</v>
      </c>
      <c r="G1467" s="9" t="s">
        <v>4023</v>
      </c>
      <c r="H1467" s="9" t="s">
        <v>4024</v>
      </c>
      <c r="I1467" s="10">
        <v>45624</v>
      </c>
    </row>
    <row r="1468" spans="1:9" x14ac:dyDescent="0.15">
      <c r="A1468" s="9">
        <v>1467</v>
      </c>
      <c r="B1468" s="9" t="s">
        <v>9</v>
      </c>
      <c r="C1468" s="9">
        <v>1925</v>
      </c>
      <c r="D1468" s="10">
        <v>45715</v>
      </c>
      <c r="E1468" s="11" t="str">
        <f>+HYPERLINK("http://trademark.i-assist.jp/data/china/image_1925th/82247230.pdf","82247230")</f>
        <v>82247230</v>
      </c>
      <c r="F1468" s="9" t="s">
        <v>4025</v>
      </c>
      <c r="G1468" s="12" t="s">
        <v>804</v>
      </c>
      <c r="H1468" s="9" t="s">
        <v>4026</v>
      </c>
      <c r="I1468" s="10">
        <v>45624</v>
      </c>
    </row>
    <row r="1469" spans="1:9" x14ac:dyDescent="0.15">
      <c r="A1469" s="9">
        <v>1468</v>
      </c>
      <c r="B1469" s="9" t="s">
        <v>9</v>
      </c>
      <c r="C1469" s="9">
        <v>1925</v>
      </c>
      <c r="D1469" s="10">
        <v>45715</v>
      </c>
      <c r="E1469" s="11" t="str">
        <f>+HYPERLINK("http://trademark.i-assist.jp/data/china/image_1925th/82247585.pdf","82247585")</f>
        <v>82247585</v>
      </c>
      <c r="F1469" s="12" t="s">
        <v>4027</v>
      </c>
      <c r="G1469" s="12" t="s">
        <v>4028</v>
      </c>
      <c r="H1469" s="9" t="s">
        <v>4029</v>
      </c>
      <c r="I1469" s="10">
        <v>45624</v>
      </c>
    </row>
    <row r="1470" spans="1:9" x14ac:dyDescent="0.15">
      <c r="A1470" s="9">
        <v>1469</v>
      </c>
      <c r="B1470" s="9" t="s">
        <v>9</v>
      </c>
      <c r="C1470" s="9">
        <v>1925</v>
      </c>
      <c r="D1470" s="10">
        <v>45715</v>
      </c>
      <c r="E1470" s="11" t="str">
        <f>+HYPERLINK("http://trademark.i-assist.jp/data/china/image_1925th/82247828.pdf","82247828")</f>
        <v>82247828</v>
      </c>
      <c r="F1470" s="9" t="s">
        <v>4030</v>
      </c>
      <c r="G1470" s="12" t="s">
        <v>4031</v>
      </c>
      <c r="H1470" s="9" t="s">
        <v>4032</v>
      </c>
      <c r="I1470" s="10">
        <v>45624</v>
      </c>
    </row>
    <row r="1471" spans="1:9" x14ac:dyDescent="0.15">
      <c r="A1471" s="9">
        <v>1470</v>
      </c>
      <c r="B1471" s="9" t="s">
        <v>9</v>
      </c>
      <c r="C1471" s="9">
        <v>1925</v>
      </c>
      <c r="D1471" s="10">
        <v>45715</v>
      </c>
      <c r="E1471" s="11" t="str">
        <f>+HYPERLINK("http://trademark.i-assist.jp/data/china/image_1925th/82248302.pdf","82248302")</f>
        <v>82248302</v>
      </c>
      <c r="F1471" s="9" t="s">
        <v>3833</v>
      </c>
      <c r="G1471" s="9" t="s">
        <v>3833</v>
      </c>
      <c r="H1471" s="9" t="s">
        <v>4033</v>
      </c>
      <c r="I1471" s="10">
        <v>45624</v>
      </c>
    </row>
    <row r="1472" spans="1:9" x14ac:dyDescent="0.15">
      <c r="A1472" s="9">
        <v>1471</v>
      </c>
      <c r="B1472" s="9" t="s">
        <v>9</v>
      </c>
      <c r="C1472" s="9">
        <v>1925</v>
      </c>
      <c r="D1472" s="10">
        <v>45715</v>
      </c>
      <c r="E1472" s="11" t="str">
        <f>+HYPERLINK("http://trademark.i-assist.jp/data/china/image_1925th/82248311.pdf","82248311")</f>
        <v>82248311</v>
      </c>
      <c r="F1472" s="9" t="s">
        <v>4034</v>
      </c>
      <c r="G1472" s="9" t="s">
        <v>3833</v>
      </c>
      <c r="H1472" s="9" t="s">
        <v>4035</v>
      </c>
      <c r="I1472" s="10">
        <v>45624</v>
      </c>
    </row>
    <row r="1473" spans="1:9" x14ac:dyDescent="0.15">
      <c r="A1473" s="9">
        <v>1472</v>
      </c>
      <c r="B1473" s="9" t="s">
        <v>9</v>
      </c>
      <c r="C1473" s="9">
        <v>1925</v>
      </c>
      <c r="D1473" s="10">
        <v>45715</v>
      </c>
      <c r="E1473" s="11" t="str">
        <f>+HYPERLINK("http://trademark.i-assist.jp/data/china/image_1925th/82248668.pdf","82248668")</f>
        <v>82248668</v>
      </c>
      <c r="F1473" s="9" t="s">
        <v>4036</v>
      </c>
      <c r="G1473" s="12" t="s">
        <v>3871</v>
      </c>
      <c r="H1473" s="9" t="s">
        <v>4037</v>
      </c>
      <c r="I1473" s="10">
        <v>45624</v>
      </c>
    </row>
    <row r="1474" spans="1:9" x14ac:dyDescent="0.15">
      <c r="A1474" s="9">
        <v>1473</v>
      </c>
      <c r="B1474" s="9" t="s">
        <v>9</v>
      </c>
      <c r="C1474" s="9">
        <v>1925</v>
      </c>
      <c r="D1474" s="10">
        <v>45715</v>
      </c>
      <c r="E1474" s="11" t="str">
        <f>+HYPERLINK("http://trademark.i-assist.jp/data/china/image_1925th/82248864.pdf","82248864")</f>
        <v>82248864</v>
      </c>
      <c r="F1474" s="9" t="s">
        <v>4038</v>
      </c>
      <c r="G1474" s="9" t="s">
        <v>4039</v>
      </c>
      <c r="H1474" s="9" t="s">
        <v>4040</v>
      </c>
      <c r="I1474" s="10">
        <v>45624</v>
      </c>
    </row>
    <row r="1475" spans="1:9" x14ac:dyDescent="0.15">
      <c r="A1475" s="9">
        <v>1474</v>
      </c>
      <c r="B1475" s="9" t="s">
        <v>9</v>
      </c>
      <c r="C1475" s="9">
        <v>1925</v>
      </c>
      <c r="D1475" s="10">
        <v>45715</v>
      </c>
      <c r="E1475" s="11" t="str">
        <f>+HYPERLINK("http://trademark.i-assist.jp/data/china/image_1925th/82248916.pdf","82248916")</f>
        <v>82248916</v>
      </c>
      <c r="F1475" s="9" t="s">
        <v>4041</v>
      </c>
      <c r="G1475" s="9" t="s">
        <v>4042</v>
      </c>
      <c r="H1475" s="9" t="s">
        <v>4043</v>
      </c>
      <c r="I1475" s="10">
        <v>45624</v>
      </c>
    </row>
    <row r="1476" spans="1:9" x14ac:dyDescent="0.15">
      <c r="A1476" s="9">
        <v>1475</v>
      </c>
      <c r="B1476" s="9" t="s">
        <v>9</v>
      </c>
      <c r="C1476" s="9">
        <v>1925</v>
      </c>
      <c r="D1476" s="10">
        <v>45715</v>
      </c>
      <c r="E1476" s="11" t="str">
        <f>+HYPERLINK("http://trademark.i-assist.jp/data/china/image_1925th/82248926.pdf","82248926")</f>
        <v>82248926</v>
      </c>
      <c r="F1476" s="12" t="s">
        <v>4044</v>
      </c>
      <c r="G1476" s="12" t="s">
        <v>3864</v>
      </c>
      <c r="H1476" s="9" t="s">
        <v>4045</v>
      </c>
      <c r="I1476" s="10">
        <v>45624</v>
      </c>
    </row>
    <row r="1477" spans="1:9" x14ac:dyDescent="0.15">
      <c r="A1477" s="9">
        <v>1476</v>
      </c>
      <c r="B1477" s="9" t="s">
        <v>9</v>
      </c>
      <c r="C1477" s="9">
        <v>1925</v>
      </c>
      <c r="D1477" s="10">
        <v>45715</v>
      </c>
      <c r="E1477" s="11" t="str">
        <f>+HYPERLINK("http://trademark.i-assist.jp/data/china/image_1925th/82249193.pdf","82249193")</f>
        <v>82249193</v>
      </c>
      <c r="F1477" s="9" t="s">
        <v>4046</v>
      </c>
      <c r="G1477" s="9" t="s">
        <v>3828</v>
      </c>
      <c r="H1477" s="9" t="s">
        <v>4047</v>
      </c>
      <c r="I1477" s="10">
        <v>45624</v>
      </c>
    </row>
    <row r="1478" spans="1:9" x14ac:dyDescent="0.15">
      <c r="A1478" s="9">
        <v>1477</v>
      </c>
      <c r="B1478" s="9" t="s">
        <v>9</v>
      </c>
      <c r="C1478" s="9">
        <v>1925</v>
      </c>
      <c r="D1478" s="10">
        <v>45715</v>
      </c>
      <c r="E1478" s="11" t="str">
        <f>+HYPERLINK("http://trademark.i-assist.jp/data/china/image_1925th/82249209.pdf","82249209")</f>
        <v>82249209</v>
      </c>
      <c r="F1478" s="9" t="s">
        <v>4046</v>
      </c>
      <c r="G1478" s="9" t="s">
        <v>3828</v>
      </c>
      <c r="H1478" s="9" t="s">
        <v>4048</v>
      </c>
      <c r="I1478" s="10">
        <v>45624</v>
      </c>
    </row>
    <row r="1479" spans="1:9" x14ac:dyDescent="0.15">
      <c r="A1479" s="9">
        <v>1478</v>
      </c>
      <c r="B1479" s="9" t="s">
        <v>9</v>
      </c>
      <c r="C1479" s="9">
        <v>1925</v>
      </c>
      <c r="D1479" s="10">
        <v>45715</v>
      </c>
      <c r="E1479" s="11" t="str">
        <f>+HYPERLINK("http://trademark.i-assist.jp/data/china/image_1925th/82249324.pdf","82249324")</f>
        <v>82249324</v>
      </c>
      <c r="F1479" s="13" t="s">
        <v>4049</v>
      </c>
      <c r="G1479" s="12" t="s">
        <v>500</v>
      </c>
      <c r="H1479" s="9" t="s">
        <v>4050</v>
      </c>
      <c r="I1479" s="10">
        <v>45624</v>
      </c>
    </row>
    <row r="1480" spans="1:9" x14ac:dyDescent="0.15">
      <c r="A1480" s="9">
        <v>1479</v>
      </c>
      <c r="B1480" s="9" t="s">
        <v>9</v>
      </c>
      <c r="C1480" s="9">
        <v>1925</v>
      </c>
      <c r="D1480" s="10">
        <v>45715</v>
      </c>
      <c r="E1480" s="11" t="str">
        <f>+HYPERLINK("http://trademark.i-assist.jp/data/china/image_1925th/82249747.pdf","82249747")</f>
        <v>82249747</v>
      </c>
      <c r="F1480" s="9" t="s">
        <v>4051</v>
      </c>
      <c r="G1480" s="9" t="s">
        <v>3896</v>
      </c>
      <c r="H1480" s="9" t="s">
        <v>4052</v>
      </c>
      <c r="I1480" s="10">
        <v>45624</v>
      </c>
    </row>
    <row r="1481" spans="1:9" x14ac:dyDescent="0.15">
      <c r="A1481" s="9">
        <v>1480</v>
      </c>
      <c r="B1481" s="9" t="s">
        <v>9</v>
      </c>
      <c r="C1481" s="9">
        <v>1925</v>
      </c>
      <c r="D1481" s="10">
        <v>45715</v>
      </c>
      <c r="E1481" s="11" t="str">
        <f>+HYPERLINK("http://trademark.i-assist.jp/data/china/image_1925th/82249811.pdf","82249811")</f>
        <v>82249811</v>
      </c>
      <c r="F1481" s="9" t="s">
        <v>4053</v>
      </c>
      <c r="G1481" s="9" t="s">
        <v>4054</v>
      </c>
      <c r="H1481" s="9" t="s">
        <v>4055</v>
      </c>
      <c r="I1481" s="10">
        <v>45624</v>
      </c>
    </row>
    <row r="1482" spans="1:9" x14ac:dyDescent="0.15">
      <c r="A1482" s="9">
        <v>1481</v>
      </c>
      <c r="B1482" s="9" t="s">
        <v>9</v>
      </c>
      <c r="C1482" s="9">
        <v>1925</v>
      </c>
      <c r="D1482" s="10">
        <v>45715</v>
      </c>
      <c r="E1482" s="11" t="str">
        <f>+HYPERLINK("http://trademark.i-assist.jp/data/china/image_1925th/82250080.pdf","82250080")</f>
        <v>82250080</v>
      </c>
      <c r="F1482" s="9" t="s">
        <v>4056</v>
      </c>
      <c r="G1482" s="12" t="s">
        <v>4057</v>
      </c>
      <c r="H1482" s="9" t="s">
        <v>4058</v>
      </c>
      <c r="I1482" s="10">
        <v>45624</v>
      </c>
    </row>
    <row r="1483" spans="1:9" x14ac:dyDescent="0.15">
      <c r="A1483" s="9">
        <v>1482</v>
      </c>
      <c r="B1483" s="9" t="s">
        <v>9</v>
      </c>
      <c r="C1483" s="9">
        <v>1925</v>
      </c>
      <c r="D1483" s="10">
        <v>45715</v>
      </c>
      <c r="E1483" s="11" t="str">
        <f>+HYPERLINK("http://trademark.i-assist.jp/data/china/image_1925th/82250234.pdf","82250234")</f>
        <v>82250234</v>
      </c>
      <c r="F1483" s="9" t="s">
        <v>4059</v>
      </c>
      <c r="G1483" s="12" t="s">
        <v>4012</v>
      </c>
      <c r="H1483" s="9" t="s">
        <v>4060</v>
      </c>
      <c r="I1483" s="10">
        <v>45624</v>
      </c>
    </row>
    <row r="1484" spans="1:9" x14ac:dyDescent="0.15">
      <c r="A1484" s="9">
        <v>1483</v>
      </c>
      <c r="B1484" s="9" t="s">
        <v>9</v>
      </c>
      <c r="C1484" s="9">
        <v>1925</v>
      </c>
      <c r="D1484" s="10">
        <v>45715</v>
      </c>
      <c r="E1484" s="11" t="str">
        <f>+HYPERLINK("http://trademark.i-assist.jp/data/china/image_1925th/82250356.pdf","82250356")</f>
        <v>82250356</v>
      </c>
      <c r="F1484" s="12" t="s">
        <v>4061</v>
      </c>
      <c r="G1484" s="12" t="s">
        <v>3864</v>
      </c>
      <c r="H1484" s="9" t="s">
        <v>4062</v>
      </c>
      <c r="I1484" s="10">
        <v>45624</v>
      </c>
    </row>
    <row r="1485" spans="1:9" x14ac:dyDescent="0.15">
      <c r="A1485" s="9">
        <v>1484</v>
      </c>
      <c r="B1485" s="9" t="s">
        <v>9</v>
      </c>
      <c r="C1485" s="9">
        <v>1925</v>
      </c>
      <c r="D1485" s="10">
        <v>45715</v>
      </c>
      <c r="E1485" s="11" t="str">
        <f>+HYPERLINK("http://trademark.i-assist.jp/data/china/image_1925th/82250596.pdf","82250596")</f>
        <v>82250596</v>
      </c>
      <c r="F1485" s="9" t="s">
        <v>4063</v>
      </c>
      <c r="G1485" s="9" t="s">
        <v>3919</v>
      </c>
      <c r="H1485" s="9" t="s">
        <v>4064</v>
      </c>
      <c r="I1485" s="10">
        <v>45624</v>
      </c>
    </row>
    <row r="1486" spans="1:9" x14ac:dyDescent="0.15">
      <c r="A1486" s="9">
        <v>1485</v>
      </c>
      <c r="B1486" s="9" t="s">
        <v>9</v>
      </c>
      <c r="C1486" s="9">
        <v>1925</v>
      </c>
      <c r="D1486" s="10">
        <v>45715</v>
      </c>
      <c r="E1486" s="11" t="str">
        <f>+HYPERLINK("http://trademark.i-assist.jp/data/china/image_1925th/82250707.pdf","82250707")</f>
        <v>82250707</v>
      </c>
      <c r="F1486" s="9" t="s">
        <v>4065</v>
      </c>
      <c r="G1486" s="9" t="s">
        <v>22</v>
      </c>
      <c r="H1486" s="9" t="s">
        <v>4066</v>
      </c>
      <c r="I1486" s="10">
        <v>45624</v>
      </c>
    </row>
    <row r="1487" spans="1:9" x14ac:dyDescent="0.15">
      <c r="A1487" s="9">
        <v>1486</v>
      </c>
      <c r="B1487" s="9" t="s">
        <v>9</v>
      </c>
      <c r="C1487" s="9">
        <v>1925</v>
      </c>
      <c r="D1487" s="10">
        <v>45715</v>
      </c>
      <c r="E1487" s="11" t="str">
        <f>+HYPERLINK("http://trademark.i-assist.jp/data/china/image_1925th/82250869.pdf","82250869")</f>
        <v>82250869</v>
      </c>
      <c r="F1487" s="12" t="s">
        <v>4067</v>
      </c>
      <c r="G1487" s="9" t="s">
        <v>4068</v>
      </c>
      <c r="H1487" s="9" t="s">
        <v>4069</v>
      </c>
      <c r="I1487" s="10">
        <v>45624</v>
      </c>
    </row>
    <row r="1488" spans="1:9" x14ac:dyDescent="0.15">
      <c r="A1488" s="9">
        <v>1487</v>
      </c>
      <c r="B1488" s="9" t="s">
        <v>9</v>
      </c>
      <c r="C1488" s="9">
        <v>1925</v>
      </c>
      <c r="D1488" s="10">
        <v>45715</v>
      </c>
      <c r="E1488" s="11" t="str">
        <f>+HYPERLINK("http://trademark.i-assist.jp/data/china/image_1925th/82251199.pdf","82251199")</f>
        <v>82251199</v>
      </c>
      <c r="F1488" s="12" t="s">
        <v>4070</v>
      </c>
      <c r="G1488" s="12" t="s">
        <v>4071</v>
      </c>
      <c r="H1488" s="9" t="s">
        <v>4072</v>
      </c>
      <c r="I1488" s="10">
        <v>45624</v>
      </c>
    </row>
    <row r="1489" spans="1:9" x14ac:dyDescent="0.15">
      <c r="A1489" s="9">
        <v>1488</v>
      </c>
      <c r="B1489" s="9" t="s">
        <v>9</v>
      </c>
      <c r="C1489" s="9">
        <v>1925</v>
      </c>
      <c r="D1489" s="10">
        <v>45715</v>
      </c>
      <c r="E1489" s="11" t="str">
        <f>+HYPERLINK("http://trademark.i-assist.jp/data/china/image_1925th/82251213.pdf","82251213")</f>
        <v>82251213</v>
      </c>
      <c r="F1489" s="12" t="s">
        <v>57</v>
      </c>
      <c r="G1489" s="9" t="s">
        <v>4073</v>
      </c>
      <c r="H1489" s="9" t="s">
        <v>4074</v>
      </c>
      <c r="I1489" s="10">
        <v>45624</v>
      </c>
    </row>
    <row r="1490" spans="1:9" x14ac:dyDescent="0.15">
      <c r="A1490" s="9">
        <v>1489</v>
      </c>
      <c r="B1490" s="9" t="s">
        <v>9</v>
      </c>
      <c r="C1490" s="9">
        <v>1925</v>
      </c>
      <c r="D1490" s="10">
        <v>45715</v>
      </c>
      <c r="E1490" s="11" t="str">
        <f>+HYPERLINK("http://trademark.i-assist.jp/data/china/image_1925th/82251311.pdf","82251311")</f>
        <v>82251311</v>
      </c>
      <c r="F1490" s="9" t="s">
        <v>3812</v>
      </c>
      <c r="G1490" s="9" t="s">
        <v>3813</v>
      </c>
      <c r="H1490" s="9" t="s">
        <v>4075</v>
      </c>
      <c r="I1490" s="10">
        <v>45624</v>
      </c>
    </row>
    <row r="1491" spans="1:9" x14ac:dyDescent="0.15">
      <c r="A1491" s="9">
        <v>1490</v>
      </c>
      <c r="B1491" s="9" t="s">
        <v>9</v>
      </c>
      <c r="C1491" s="9">
        <v>1925</v>
      </c>
      <c r="D1491" s="10">
        <v>45715</v>
      </c>
      <c r="E1491" s="11" t="str">
        <f>+HYPERLINK("http://trademark.i-assist.jp/data/china/image_1925th/82251572.pdf","82251572")</f>
        <v>82251572</v>
      </c>
      <c r="F1491" s="12" t="s">
        <v>4076</v>
      </c>
      <c r="G1491" s="9" t="s">
        <v>4077</v>
      </c>
      <c r="H1491" s="12" t="s">
        <v>4078</v>
      </c>
      <c r="I1491" s="10">
        <v>45624</v>
      </c>
    </row>
    <row r="1492" spans="1:9" x14ac:dyDescent="0.15">
      <c r="A1492" s="9">
        <v>1491</v>
      </c>
      <c r="B1492" s="9" t="s">
        <v>9</v>
      </c>
      <c r="C1492" s="9">
        <v>1925</v>
      </c>
      <c r="D1492" s="10">
        <v>45715</v>
      </c>
      <c r="E1492" s="11" t="str">
        <f>+HYPERLINK("http://trademark.i-assist.jp/data/china/image_1925th/82251756.pdf","82251756")</f>
        <v>82251756</v>
      </c>
      <c r="F1492" s="12" t="s">
        <v>4079</v>
      </c>
      <c r="G1492" s="12" t="s">
        <v>3294</v>
      </c>
      <c r="H1492" s="9" t="s">
        <v>4080</v>
      </c>
      <c r="I1492" s="10">
        <v>45624</v>
      </c>
    </row>
    <row r="1493" spans="1:9" x14ac:dyDescent="0.15">
      <c r="A1493" s="9">
        <v>1492</v>
      </c>
      <c r="B1493" s="9" t="s">
        <v>9</v>
      </c>
      <c r="C1493" s="9">
        <v>1925</v>
      </c>
      <c r="D1493" s="10">
        <v>45715</v>
      </c>
      <c r="E1493" s="11" t="str">
        <f>+HYPERLINK("http://trademark.i-assist.jp/data/china/image_1925th/82251998.pdf","82251998")</f>
        <v>82251998</v>
      </c>
      <c r="F1493" s="9" t="s">
        <v>4081</v>
      </c>
      <c r="G1493" s="9" t="s">
        <v>4082</v>
      </c>
      <c r="H1493" s="9" t="s">
        <v>4083</v>
      </c>
      <c r="I1493" s="10">
        <v>45625</v>
      </c>
    </row>
    <row r="1494" spans="1:9" x14ac:dyDescent="0.15">
      <c r="A1494" s="9">
        <v>1493</v>
      </c>
      <c r="B1494" s="9" t="s">
        <v>9</v>
      </c>
      <c r="C1494" s="9">
        <v>1925</v>
      </c>
      <c r="D1494" s="10">
        <v>45715</v>
      </c>
      <c r="E1494" s="11" t="str">
        <f>+HYPERLINK("http://trademark.i-assist.jp/data/china/image_1925th/82252577.pdf","82252577")</f>
        <v>82252577</v>
      </c>
      <c r="F1494" s="9" t="s">
        <v>4084</v>
      </c>
      <c r="G1494" s="9" t="s">
        <v>4085</v>
      </c>
      <c r="H1494" s="9" t="s">
        <v>4086</v>
      </c>
      <c r="I1494" s="10">
        <v>45625</v>
      </c>
    </row>
    <row r="1495" spans="1:9" x14ac:dyDescent="0.15">
      <c r="A1495" s="9">
        <v>1494</v>
      </c>
      <c r="B1495" s="9" t="s">
        <v>9</v>
      </c>
      <c r="C1495" s="9">
        <v>1925</v>
      </c>
      <c r="D1495" s="10">
        <v>45715</v>
      </c>
      <c r="E1495" s="11" t="str">
        <f>+HYPERLINK("http://trademark.i-assist.jp/data/china/image_1925th/82252590.pdf","82252590")</f>
        <v>82252590</v>
      </c>
      <c r="F1495" s="9" t="s">
        <v>4087</v>
      </c>
      <c r="G1495" s="9" t="s">
        <v>4088</v>
      </c>
      <c r="H1495" s="9" t="s">
        <v>4089</v>
      </c>
      <c r="I1495" s="10">
        <v>45625</v>
      </c>
    </row>
    <row r="1496" spans="1:9" x14ac:dyDescent="0.15">
      <c r="A1496" s="9">
        <v>1495</v>
      </c>
      <c r="B1496" s="9" t="s">
        <v>9</v>
      </c>
      <c r="C1496" s="9">
        <v>1925</v>
      </c>
      <c r="D1496" s="10">
        <v>45715</v>
      </c>
      <c r="E1496" s="11" t="str">
        <f>+HYPERLINK("http://trademark.i-assist.jp/data/china/image_1925th/82252758.pdf","82252758")</f>
        <v>82252758</v>
      </c>
      <c r="F1496" s="12" t="s">
        <v>4090</v>
      </c>
      <c r="G1496" s="9" t="s">
        <v>4091</v>
      </c>
      <c r="H1496" s="9" t="s">
        <v>4092</v>
      </c>
      <c r="I1496" s="10">
        <v>45625</v>
      </c>
    </row>
    <row r="1497" spans="1:9" x14ac:dyDescent="0.15">
      <c r="A1497" s="9">
        <v>1496</v>
      </c>
      <c r="B1497" s="9" t="s">
        <v>9</v>
      </c>
      <c r="C1497" s="9">
        <v>1925</v>
      </c>
      <c r="D1497" s="10">
        <v>45715</v>
      </c>
      <c r="E1497" s="11" t="str">
        <f>+HYPERLINK("http://trademark.i-assist.jp/data/china/image_1925th/82252886.pdf","82252886")</f>
        <v>82252886</v>
      </c>
      <c r="F1497" s="9" t="s">
        <v>4093</v>
      </c>
      <c r="G1497" s="9" t="s">
        <v>4094</v>
      </c>
      <c r="H1497" s="9" t="s">
        <v>4095</v>
      </c>
      <c r="I1497" s="10">
        <v>45625</v>
      </c>
    </row>
    <row r="1498" spans="1:9" x14ac:dyDescent="0.15">
      <c r="A1498" s="9">
        <v>1497</v>
      </c>
      <c r="B1498" s="9" t="s">
        <v>9</v>
      </c>
      <c r="C1498" s="9">
        <v>1925</v>
      </c>
      <c r="D1498" s="10">
        <v>45715</v>
      </c>
      <c r="E1498" s="11" t="str">
        <f>+HYPERLINK("http://trademark.i-assist.jp/data/china/image_1925th/82252899.pdf","82252899")</f>
        <v>82252899</v>
      </c>
      <c r="F1498" s="9" t="s">
        <v>4096</v>
      </c>
      <c r="G1498" s="12" t="s">
        <v>4097</v>
      </c>
      <c r="H1498" s="9" t="s">
        <v>4098</v>
      </c>
      <c r="I1498" s="10">
        <v>45625</v>
      </c>
    </row>
    <row r="1499" spans="1:9" x14ac:dyDescent="0.15">
      <c r="A1499" s="9">
        <v>1498</v>
      </c>
      <c r="B1499" s="9" t="s">
        <v>9</v>
      </c>
      <c r="C1499" s="9">
        <v>1925</v>
      </c>
      <c r="D1499" s="10">
        <v>45715</v>
      </c>
      <c r="E1499" s="11" t="str">
        <f>+HYPERLINK("http://trademark.i-assist.jp/data/china/image_1925th/82253552.pdf","82253552")</f>
        <v>82253552</v>
      </c>
      <c r="F1499" s="12" t="s">
        <v>57</v>
      </c>
      <c r="G1499" s="9" t="s">
        <v>4099</v>
      </c>
      <c r="H1499" s="9" t="s">
        <v>4100</v>
      </c>
      <c r="I1499" s="10">
        <v>45625</v>
      </c>
    </row>
    <row r="1500" spans="1:9" x14ac:dyDescent="0.15">
      <c r="A1500" s="9">
        <v>1499</v>
      </c>
      <c r="B1500" s="9" t="s">
        <v>9</v>
      </c>
      <c r="C1500" s="9">
        <v>1925</v>
      </c>
      <c r="D1500" s="10">
        <v>45715</v>
      </c>
      <c r="E1500" s="11" t="str">
        <f>+HYPERLINK("http://trademark.i-assist.jp/data/china/image_1925th/82253553.pdf","82253553")</f>
        <v>82253553</v>
      </c>
      <c r="F1500" s="12" t="s">
        <v>4101</v>
      </c>
      <c r="G1500" s="12" t="s">
        <v>4102</v>
      </c>
      <c r="H1500" s="9" t="s">
        <v>4103</v>
      </c>
      <c r="I1500" s="10">
        <v>45625</v>
      </c>
    </row>
    <row r="1501" spans="1:9" x14ac:dyDescent="0.15">
      <c r="A1501" s="9">
        <v>1500</v>
      </c>
      <c r="B1501" s="9" t="s">
        <v>9</v>
      </c>
      <c r="C1501" s="9">
        <v>1925</v>
      </c>
      <c r="D1501" s="10">
        <v>45715</v>
      </c>
      <c r="E1501" s="11" t="str">
        <f>+HYPERLINK("http://trademark.i-assist.jp/data/china/image_1925th/82253773.pdf","82253773")</f>
        <v>82253773</v>
      </c>
      <c r="F1501" s="9" t="s">
        <v>4104</v>
      </c>
      <c r="G1501" s="12" t="s">
        <v>4097</v>
      </c>
      <c r="H1501" s="9" t="s">
        <v>4105</v>
      </c>
      <c r="I1501" s="10">
        <v>45625</v>
      </c>
    </row>
    <row r="1502" spans="1:9" x14ac:dyDescent="0.15">
      <c r="A1502" s="9">
        <v>1501</v>
      </c>
      <c r="B1502" s="9" t="s">
        <v>9</v>
      </c>
      <c r="C1502" s="9">
        <v>1925</v>
      </c>
      <c r="D1502" s="10">
        <v>45715</v>
      </c>
      <c r="E1502" s="11" t="str">
        <f>+HYPERLINK("http://trademark.i-assist.jp/data/china/image_1925th/82253827.pdf","82253827")</f>
        <v>82253827</v>
      </c>
      <c r="F1502" s="9" t="s">
        <v>4106</v>
      </c>
      <c r="G1502" s="9" t="s">
        <v>4107</v>
      </c>
      <c r="H1502" s="9" t="s">
        <v>4108</v>
      </c>
      <c r="I1502" s="10">
        <v>45625</v>
      </c>
    </row>
    <row r="1503" spans="1:9" x14ac:dyDescent="0.15">
      <c r="A1503" s="9">
        <v>1502</v>
      </c>
      <c r="B1503" s="9" t="s">
        <v>9</v>
      </c>
      <c r="C1503" s="9">
        <v>1925</v>
      </c>
      <c r="D1503" s="10">
        <v>45715</v>
      </c>
      <c r="E1503" s="11" t="str">
        <f>+HYPERLINK("http://trademark.i-assist.jp/data/china/image_1925th/82254398.pdf","82254398")</f>
        <v>82254398</v>
      </c>
      <c r="F1503" s="9" t="s">
        <v>4109</v>
      </c>
      <c r="G1503" s="9" t="s">
        <v>4110</v>
      </c>
      <c r="H1503" s="9" t="s">
        <v>4111</v>
      </c>
      <c r="I1503" s="10">
        <v>45625</v>
      </c>
    </row>
    <row r="1504" spans="1:9" x14ac:dyDescent="0.15">
      <c r="A1504" s="9">
        <v>1503</v>
      </c>
      <c r="B1504" s="9" t="s">
        <v>9</v>
      </c>
      <c r="C1504" s="9">
        <v>1925</v>
      </c>
      <c r="D1504" s="10">
        <v>45715</v>
      </c>
      <c r="E1504" s="11" t="str">
        <f>+HYPERLINK("http://trademark.i-assist.jp/data/china/image_1925th/82254923.pdf","82254923")</f>
        <v>82254923</v>
      </c>
      <c r="F1504" s="9" t="s">
        <v>4112</v>
      </c>
      <c r="G1504" s="12" t="s">
        <v>4113</v>
      </c>
      <c r="H1504" s="9" t="s">
        <v>4114</v>
      </c>
      <c r="I1504" s="10">
        <v>45625</v>
      </c>
    </row>
    <row r="1505" spans="1:9" x14ac:dyDescent="0.15">
      <c r="A1505" s="9">
        <v>1504</v>
      </c>
      <c r="B1505" s="9" t="s">
        <v>9</v>
      </c>
      <c r="C1505" s="9">
        <v>1925</v>
      </c>
      <c r="D1505" s="10">
        <v>45715</v>
      </c>
      <c r="E1505" s="11" t="str">
        <f>+HYPERLINK("http://trademark.i-assist.jp/data/china/image_1925th/82254963.pdf","82254963")</f>
        <v>82254963</v>
      </c>
      <c r="F1505" s="9" t="s">
        <v>4115</v>
      </c>
      <c r="G1505" s="9" t="s">
        <v>4116</v>
      </c>
      <c r="H1505" s="9" t="s">
        <v>4117</v>
      </c>
      <c r="I1505" s="10">
        <v>45625</v>
      </c>
    </row>
    <row r="1506" spans="1:9" x14ac:dyDescent="0.15">
      <c r="A1506" s="9">
        <v>1505</v>
      </c>
      <c r="B1506" s="9" t="s">
        <v>9</v>
      </c>
      <c r="C1506" s="9">
        <v>1925</v>
      </c>
      <c r="D1506" s="10">
        <v>45715</v>
      </c>
      <c r="E1506" s="11" t="str">
        <f>+HYPERLINK("http://trademark.i-assist.jp/data/china/image_1925th/82255132.pdf","82255132")</f>
        <v>82255132</v>
      </c>
      <c r="F1506" s="12" t="s">
        <v>57</v>
      </c>
      <c r="G1506" s="9" t="s">
        <v>4118</v>
      </c>
      <c r="H1506" s="12" t="s">
        <v>4119</v>
      </c>
      <c r="I1506" s="10">
        <v>45625</v>
      </c>
    </row>
    <row r="1507" spans="1:9" x14ac:dyDescent="0.15">
      <c r="A1507" s="9">
        <v>1506</v>
      </c>
      <c r="B1507" s="9" t="s">
        <v>9</v>
      </c>
      <c r="C1507" s="9">
        <v>1925</v>
      </c>
      <c r="D1507" s="10">
        <v>45715</v>
      </c>
      <c r="E1507" s="11" t="str">
        <f>+HYPERLINK("http://trademark.i-assist.jp/data/china/image_1925th/82255427.pdf","82255427")</f>
        <v>82255427</v>
      </c>
      <c r="F1507" s="9" t="s">
        <v>4120</v>
      </c>
      <c r="G1507" s="9" t="s">
        <v>4121</v>
      </c>
      <c r="H1507" s="9" t="s">
        <v>4122</v>
      </c>
      <c r="I1507" s="10">
        <v>45625</v>
      </c>
    </row>
    <row r="1508" spans="1:9" x14ac:dyDescent="0.15">
      <c r="A1508" s="9">
        <v>1507</v>
      </c>
      <c r="B1508" s="9" t="s">
        <v>9</v>
      </c>
      <c r="C1508" s="9">
        <v>1925</v>
      </c>
      <c r="D1508" s="10">
        <v>45715</v>
      </c>
      <c r="E1508" s="11" t="str">
        <f>+HYPERLINK("http://trademark.i-assist.jp/data/china/image_1925th/82255888.pdf","82255888")</f>
        <v>82255888</v>
      </c>
      <c r="F1508" s="9" t="s">
        <v>4123</v>
      </c>
      <c r="G1508" s="9" t="s">
        <v>4124</v>
      </c>
      <c r="H1508" s="9" t="s">
        <v>4125</v>
      </c>
      <c r="I1508" s="10">
        <v>45625</v>
      </c>
    </row>
    <row r="1509" spans="1:9" x14ac:dyDescent="0.15">
      <c r="A1509" s="9">
        <v>1508</v>
      </c>
      <c r="B1509" s="9" t="s">
        <v>9</v>
      </c>
      <c r="C1509" s="9">
        <v>1925</v>
      </c>
      <c r="D1509" s="10">
        <v>45715</v>
      </c>
      <c r="E1509" s="11" t="str">
        <f>+HYPERLINK("http://trademark.i-assist.jp/data/china/image_1925th/82256114.pdf","82256114")</f>
        <v>82256114</v>
      </c>
      <c r="F1509" s="9" t="s">
        <v>4126</v>
      </c>
      <c r="G1509" s="9" t="s">
        <v>4127</v>
      </c>
      <c r="H1509" s="9" t="s">
        <v>4128</v>
      </c>
      <c r="I1509" s="10">
        <v>45625</v>
      </c>
    </row>
    <row r="1510" spans="1:9" x14ac:dyDescent="0.15">
      <c r="A1510" s="9">
        <v>1509</v>
      </c>
      <c r="B1510" s="9" t="s">
        <v>9</v>
      </c>
      <c r="C1510" s="9">
        <v>1925</v>
      </c>
      <c r="D1510" s="10">
        <v>45715</v>
      </c>
      <c r="E1510" s="11" t="str">
        <f>+HYPERLINK("http://trademark.i-assist.jp/data/china/image_1925th/82256267.pdf","82256267")</f>
        <v>82256267</v>
      </c>
      <c r="F1510" s="9" t="s">
        <v>4129</v>
      </c>
      <c r="G1510" s="12" t="s">
        <v>4130</v>
      </c>
      <c r="H1510" s="9" t="s">
        <v>4131</v>
      </c>
      <c r="I1510" s="10">
        <v>45625</v>
      </c>
    </row>
    <row r="1511" spans="1:9" x14ac:dyDescent="0.15">
      <c r="A1511" s="9">
        <v>1510</v>
      </c>
      <c r="B1511" s="9" t="s">
        <v>9</v>
      </c>
      <c r="C1511" s="9">
        <v>1925</v>
      </c>
      <c r="D1511" s="10">
        <v>45715</v>
      </c>
      <c r="E1511" s="11" t="str">
        <f>+HYPERLINK("http://trademark.i-assist.jp/data/china/image_1925th/82256670.pdf","82256670")</f>
        <v>82256670</v>
      </c>
      <c r="F1511" s="12" t="s">
        <v>4132</v>
      </c>
      <c r="G1511" s="9" t="s">
        <v>13</v>
      </c>
      <c r="H1511" s="9" t="s">
        <v>4133</v>
      </c>
      <c r="I1511" s="10">
        <v>45625</v>
      </c>
    </row>
    <row r="1512" spans="1:9" x14ac:dyDescent="0.15">
      <c r="A1512" s="9">
        <v>1511</v>
      </c>
      <c r="B1512" s="9" t="s">
        <v>9</v>
      </c>
      <c r="C1512" s="9">
        <v>1925</v>
      </c>
      <c r="D1512" s="10">
        <v>45715</v>
      </c>
      <c r="E1512" s="11" t="str">
        <f>+HYPERLINK("http://trademark.i-assist.jp/data/china/image_1925th/82256676.pdf","82256676")</f>
        <v>82256676</v>
      </c>
      <c r="F1512" s="9" t="s">
        <v>4134</v>
      </c>
      <c r="G1512" s="9" t="s">
        <v>13</v>
      </c>
      <c r="H1512" s="9" t="s">
        <v>4135</v>
      </c>
      <c r="I1512" s="10">
        <v>45625</v>
      </c>
    </row>
    <row r="1513" spans="1:9" x14ac:dyDescent="0.15">
      <c r="A1513" s="9">
        <v>1512</v>
      </c>
      <c r="B1513" s="9" t="s">
        <v>9</v>
      </c>
      <c r="C1513" s="9">
        <v>1925</v>
      </c>
      <c r="D1513" s="10">
        <v>45715</v>
      </c>
      <c r="E1513" s="11" t="str">
        <f>+HYPERLINK("http://trademark.i-assist.jp/data/china/image_1925th/82256687.pdf","82256687")</f>
        <v>82256687</v>
      </c>
      <c r="F1513" s="12" t="s">
        <v>4136</v>
      </c>
      <c r="G1513" s="9" t="s">
        <v>4137</v>
      </c>
      <c r="H1513" s="9" t="s">
        <v>4138</v>
      </c>
      <c r="I1513" s="10">
        <v>45625</v>
      </c>
    </row>
    <row r="1514" spans="1:9" x14ac:dyDescent="0.15">
      <c r="A1514" s="9">
        <v>1513</v>
      </c>
      <c r="B1514" s="9" t="s">
        <v>9</v>
      </c>
      <c r="C1514" s="9">
        <v>1925</v>
      </c>
      <c r="D1514" s="10">
        <v>45715</v>
      </c>
      <c r="E1514" s="11" t="str">
        <f>+HYPERLINK("http://trademark.i-assist.jp/data/china/image_1925th/82257410.pdf","82257410")</f>
        <v>82257410</v>
      </c>
      <c r="F1514" s="9" t="s">
        <v>4139</v>
      </c>
      <c r="G1514" s="12" t="s">
        <v>4140</v>
      </c>
      <c r="H1514" s="9" t="s">
        <v>4141</v>
      </c>
      <c r="I1514" s="10">
        <v>45625</v>
      </c>
    </row>
    <row r="1515" spans="1:9" x14ac:dyDescent="0.15">
      <c r="A1515" s="9">
        <v>1514</v>
      </c>
      <c r="B1515" s="9" t="s">
        <v>9</v>
      </c>
      <c r="C1515" s="9">
        <v>1925</v>
      </c>
      <c r="D1515" s="10">
        <v>45715</v>
      </c>
      <c r="E1515" s="11" t="str">
        <f>+HYPERLINK("http://trademark.i-assist.jp/data/china/image_1925th/82257608.pdf","82257608")</f>
        <v>82257608</v>
      </c>
      <c r="F1515" s="12" t="s">
        <v>4142</v>
      </c>
      <c r="G1515" s="9" t="s">
        <v>4143</v>
      </c>
      <c r="H1515" s="9" t="s">
        <v>4144</v>
      </c>
      <c r="I1515" s="10">
        <v>45625</v>
      </c>
    </row>
    <row r="1516" spans="1:9" x14ac:dyDescent="0.15">
      <c r="A1516" s="9">
        <v>1515</v>
      </c>
      <c r="B1516" s="9" t="s">
        <v>9</v>
      </c>
      <c r="C1516" s="9">
        <v>1925</v>
      </c>
      <c r="D1516" s="10">
        <v>45715</v>
      </c>
      <c r="E1516" s="11" t="str">
        <f>+HYPERLINK("http://trademark.i-assist.jp/data/china/image_1925th/82257649.pdf","82257649")</f>
        <v>82257649</v>
      </c>
      <c r="F1516" s="9" t="s">
        <v>4145</v>
      </c>
      <c r="G1516" s="12" t="s">
        <v>4146</v>
      </c>
      <c r="H1516" s="12" t="s">
        <v>4147</v>
      </c>
      <c r="I1516" s="10">
        <v>45625</v>
      </c>
    </row>
    <row r="1517" spans="1:9" x14ac:dyDescent="0.15">
      <c r="A1517" s="9">
        <v>1516</v>
      </c>
      <c r="B1517" s="9" t="s">
        <v>9</v>
      </c>
      <c r="C1517" s="9">
        <v>1925</v>
      </c>
      <c r="D1517" s="10">
        <v>45715</v>
      </c>
      <c r="E1517" s="11" t="str">
        <f>+HYPERLINK("http://trademark.i-assist.jp/data/china/image_1925th/82258013.pdf","82258013")</f>
        <v>82258013</v>
      </c>
      <c r="F1517" s="9" t="s">
        <v>4148</v>
      </c>
      <c r="G1517" s="9" t="s">
        <v>4149</v>
      </c>
      <c r="H1517" s="9" t="s">
        <v>4150</v>
      </c>
      <c r="I1517" s="10">
        <v>45625</v>
      </c>
    </row>
    <row r="1518" spans="1:9" x14ac:dyDescent="0.15">
      <c r="A1518" s="9">
        <v>1517</v>
      </c>
      <c r="B1518" s="9" t="s">
        <v>9</v>
      </c>
      <c r="C1518" s="9">
        <v>1925</v>
      </c>
      <c r="D1518" s="10">
        <v>45715</v>
      </c>
      <c r="E1518" s="11" t="str">
        <f>+HYPERLINK("http://trademark.i-assist.jp/data/china/image_1925th/82258326.pdf","82258326")</f>
        <v>82258326</v>
      </c>
      <c r="F1518" s="9" t="s">
        <v>4151</v>
      </c>
      <c r="G1518" s="9" t="s">
        <v>4152</v>
      </c>
      <c r="H1518" s="9" t="s">
        <v>4153</v>
      </c>
      <c r="I1518" s="10">
        <v>45625</v>
      </c>
    </row>
    <row r="1519" spans="1:9" x14ac:dyDescent="0.15">
      <c r="A1519" s="9">
        <v>1518</v>
      </c>
      <c r="B1519" s="9" t="s">
        <v>9</v>
      </c>
      <c r="C1519" s="9">
        <v>1925</v>
      </c>
      <c r="D1519" s="10">
        <v>45715</v>
      </c>
      <c r="E1519" s="11" t="str">
        <f>+HYPERLINK("http://trademark.i-assist.jp/data/china/image_1925th/82258359.pdf","82258359")</f>
        <v>82258359</v>
      </c>
      <c r="F1519" s="9" t="s">
        <v>4154</v>
      </c>
      <c r="G1519" s="12" t="s">
        <v>4155</v>
      </c>
      <c r="H1519" s="9" t="s">
        <v>4156</v>
      </c>
      <c r="I1519" s="10">
        <v>45625</v>
      </c>
    </row>
    <row r="1520" spans="1:9" x14ac:dyDescent="0.15">
      <c r="A1520" s="9">
        <v>1519</v>
      </c>
      <c r="B1520" s="9" t="s">
        <v>9</v>
      </c>
      <c r="C1520" s="9">
        <v>1925</v>
      </c>
      <c r="D1520" s="10">
        <v>45715</v>
      </c>
      <c r="E1520" s="11" t="str">
        <f>+HYPERLINK("http://trademark.i-assist.jp/data/china/image_1925th/82258705.pdf","82258705")</f>
        <v>82258705</v>
      </c>
      <c r="F1520" s="9" t="s">
        <v>4157</v>
      </c>
      <c r="G1520" s="9" t="s">
        <v>4158</v>
      </c>
      <c r="H1520" s="9" t="s">
        <v>4159</v>
      </c>
      <c r="I1520" s="10">
        <v>45625</v>
      </c>
    </row>
    <row r="1521" spans="1:9" x14ac:dyDescent="0.15">
      <c r="A1521" s="9">
        <v>1520</v>
      </c>
      <c r="B1521" s="9" t="s">
        <v>9</v>
      </c>
      <c r="C1521" s="9">
        <v>1925</v>
      </c>
      <c r="D1521" s="10">
        <v>45715</v>
      </c>
      <c r="E1521" s="11" t="str">
        <f>+HYPERLINK("http://trademark.i-assist.jp/data/china/image_1925th/82258846.pdf","82258846")</f>
        <v>82258846</v>
      </c>
      <c r="F1521" s="9" t="s">
        <v>4160</v>
      </c>
      <c r="G1521" s="12" t="s">
        <v>4161</v>
      </c>
      <c r="H1521" s="9" t="s">
        <v>4162</v>
      </c>
      <c r="I1521" s="10">
        <v>45625</v>
      </c>
    </row>
    <row r="1522" spans="1:9" x14ac:dyDescent="0.15">
      <c r="A1522" s="9">
        <v>1521</v>
      </c>
      <c r="B1522" s="9" t="s">
        <v>9</v>
      </c>
      <c r="C1522" s="9">
        <v>1925</v>
      </c>
      <c r="D1522" s="10">
        <v>45715</v>
      </c>
      <c r="E1522" s="11" t="str">
        <f>+HYPERLINK("http://trademark.i-assist.jp/data/china/image_1925th/82259009.pdf","82259009")</f>
        <v>82259009</v>
      </c>
      <c r="F1522" s="9" t="s">
        <v>4163</v>
      </c>
      <c r="G1522" s="12" t="s">
        <v>4140</v>
      </c>
      <c r="H1522" s="9" t="s">
        <v>4164</v>
      </c>
      <c r="I1522" s="10">
        <v>45625</v>
      </c>
    </row>
    <row r="1523" spans="1:9" x14ac:dyDescent="0.15">
      <c r="A1523" s="9">
        <v>1522</v>
      </c>
      <c r="B1523" s="9" t="s">
        <v>9</v>
      </c>
      <c r="C1523" s="9">
        <v>1925</v>
      </c>
      <c r="D1523" s="10">
        <v>45715</v>
      </c>
      <c r="E1523" s="11" t="str">
        <f>+HYPERLINK("http://trademark.i-assist.jp/data/china/image_1925th/82259131.pdf","82259131")</f>
        <v>82259131</v>
      </c>
      <c r="F1523" s="9" t="s">
        <v>4165</v>
      </c>
      <c r="G1523" s="9" t="s">
        <v>4166</v>
      </c>
      <c r="H1523" s="9" t="s">
        <v>4167</v>
      </c>
      <c r="I1523" s="10">
        <v>45625</v>
      </c>
    </row>
    <row r="1524" spans="1:9" x14ac:dyDescent="0.15">
      <c r="A1524" s="9">
        <v>1523</v>
      </c>
      <c r="B1524" s="9" t="s">
        <v>9</v>
      </c>
      <c r="C1524" s="9">
        <v>1925</v>
      </c>
      <c r="D1524" s="10">
        <v>45715</v>
      </c>
      <c r="E1524" s="11" t="str">
        <f>+HYPERLINK("http://trademark.i-assist.jp/data/china/image_1925th/82259237.pdf","82259237")</f>
        <v>82259237</v>
      </c>
      <c r="F1524" s="12" t="s">
        <v>4168</v>
      </c>
      <c r="G1524" s="12" t="s">
        <v>4140</v>
      </c>
      <c r="H1524" s="12" t="s">
        <v>4169</v>
      </c>
      <c r="I1524" s="10">
        <v>45625</v>
      </c>
    </row>
    <row r="1525" spans="1:9" x14ac:dyDescent="0.15">
      <c r="A1525" s="9">
        <v>1524</v>
      </c>
      <c r="B1525" s="9" t="s">
        <v>9</v>
      </c>
      <c r="C1525" s="9">
        <v>1925</v>
      </c>
      <c r="D1525" s="10">
        <v>45715</v>
      </c>
      <c r="E1525" s="11" t="str">
        <f>+HYPERLINK("http://trademark.i-assist.jp/data/china/image_1925th/82259301.pdf","82259301")</f>
        <v>82259301</v>
      </c>
      <c r="F1525" s="12" t="s">
        <v>4170</v>
      </c>
      <c r="G1525" s="9" t="s">
        <v>4085</v>
      </c>
      <c r="H1525" s="9" t="s">
        <v>4171</v>
      </c>
      <c r="I1525" s="10">
        <v>45625</v>
      </c>
    </row>
    <row r="1526" spans="1:9" x14ac:dyDescent="0.15">
      <c r="A1526" s="9">
        <v>1525</v>
      </c>
      <c r="B1526" s="9" t="s">
        <v>9</v>
      </c>
      <c r="C1526" s="9">
        <v>1925</v>
      </c>
      <c r="D1526" s="10">
        <v>45715</v>
      </c>
      <c r="E1526" s="11" t="str">
        <f>+HYPERLINK("http://trademark.i-assist.jp/data/china/image_1925th/82259666.pdf","82259666")</f>
        <v>82259666</v>
      </c>
      <c r="F1526" s="12" t="s">
        <v>4172</v>
      </c>
      <c r="G1526" s="9" t="s">
        <v>4173</v>
      </c>
      <c r="H1526" s="9" t="s">
        <v>4174</v>
      </c>
      <c r="I1526" s="10">
        <v>45625</v>
      </c>
    </row>
    <row r="1527" spans="1:9" x14ac:dyDescent="0.15">
      <c r="A1527" s="9">
        <v>1526</v>
      </c>
      <c r="B1527" s="9" t="s">
        <v>9</v>
      </c>
      <c r="C1527" s="9">
        <v>1925</v>
      </c>
      <c r="D1527" s="10">
        <v>45715</v>
      </c>
      <c r="E1527" s="11" t="str">
        <f>+HYPERLINK("http://trademark.i-assist.jp/data/china/image_1925th/82259853.pdf","82259853")</f>
        <v>82259853</v>
      </c>
      <c r="F1527" s="12" t="s">
        <v>57</v>
      </c>
      <c r="G1527" s="9" t="s">
        <v>3705</v>
      </c>
      <c r="H1527" s="9" t="s">
        <v>4175</v>
      </c>
      <c r="I1527" s="10">
        <v>45625</v>
      </c>
    </row>
    <row r="1528" spans="1:9" x14ac:dyDescent="0.15">
      <c r="A1528" s="9">
        <v>1527</v>
      </c>
      <c r="B1528" s="9" t="s">
        <v>9</v>
      </c>
      <c r="C1528" s="9">
        <v>1925</v>
      </c>
      <c r="D1528" s="10">
        <v>45715</v>
      </c>
      <c r="E1528" s="11" t="str">
        <f>+HYPERLINK("http://trademark.i-assist.jp/data/china/image_1925th/82260130.pdf","82260130")</f>
        <v>82260130</v>
      </c>
      <c r="F1528" s="9" t="s">
        <v>4176</v>
      </c>
      <c r="G1528" s="12" t="s">
        <v>4177</v>
      </c>
      <c r="H1528" s="9" t="s">
        <v>4178</v>
      </c>
      <c r="I1528" s="10">
        <v>45625</v>
      </c>
    </row>
    <row r="1529" spans="1:9" x14ac:dyDescent="0.15">
      <c r="A1529" s="9">
        <v>1528</v>
      </c>
      <c r="B1529" s="9" t="s">
        <v>9</v>
      </c>
      <c r="C1529" s="9">
        <v>1925</v>
      </c>
      <c r="D1529" s="10">
        <v>45715</v>
      </c>
      <c r="E1529" s="11" t="str">
        <f>+HYPERLINK("http://trademark.i-assist.jp/data/china/image_1925th/82260370.pdf","82260370")</f>
        <v>82260370</v>
      </c>
      <c r="F1529" s="12" t="s">
        <v>4179</v>
      </c>
      <c r="G1529" s="12" t="s">
        <v>4180</v>
      </c>
      <c r="H1529" s="9" t="s">
        <v>4181</v>
      </c>
      <c r="I1529" s="10">
        <v>45625</v>
      </c>
    </row>
    <row r="1530" spans="1:9" x14ac:dyDescent="0.15">
      <c r="A1530" s="9">
        <v>1529</v>
      </c>
      <c r="B1530" s="9" t="s">
        <v>9</v>
      </c>
      <c r="C1530" s="9">
        <v>1925</v>
      </c>
      <c r="D1530" s="10">
        <v>45715</v>
      </c>
      <c r="E1530" s="11" t="str">
        <f>+HYPERLINK("http://trademark.i-assist.jp/data/china/image_1925th/82260679.pdf","82260679")</f>
        <v>82260679</v>
      </c>
      <c r="F1530" s="9" t="s">
        <v>4182</v>
      </c>
      <c r="G1530" s="9" t="s">
        <v>4183</v>
      </c>
      <c r="H1530" s="9" t="s">
        <v>4184</v>
      </c>
      <c r="I1530" s="10">
        <v>45625</v>
      </c>
    </row>
    <row r="1531" spans="1:9" x14ac:dyDescent="0.15">
      <c r="A1531" s="9">
        <v>1530</v>
      </c>
      <c r="B1531" s="9" t="s">
        <v>9</v>
      </c>
      <c r="C1531" s="9">
        <v>1925</v>
      </c>
      <c r="D1531" s="10">
        <v>45715</v>
      </c>
      <c r="E1531" s="11" t="str">
        <f>+HYPERLINK("http://trademark.i-assist.jp/data/china/image_1925th/82260877.pdf","82260877")</f>
        <v>82260877</v>
      </c>
      <c r="F1531" s="9" t="s">
        <v>4185</v>
      </c>
      <c r="G1531" s="9" t="s">
        <v>4186</v>
      </c>
      <c r="H1531" s="9" t="s">
        <v>4187</v>
      </c>
      <c r="I1531" s="10">
        <v>45625</v>
      </c>
    </row>
    <row r="1532" spans="1:9" x14ac:dyDescent="0.15">
      <c r="A1532" s="9">
        <v>1531</v>
      </c>
      <c r="B1532" s="9" t="s">
        <v>9</v>
      </c>
      <c r="C1532" s="9">
        <v>1925</v>
      </c>
      <c r="D1532" s="10">
        <v>45715</v>
      </c>
      <c r="E1532" s="11" t="str">
        <f>+HYPERLINK("http://trademark.i-assist.jp/data/china/image_1925th/82260939.pdf","82260939")</f>
        <v>82260939</v>
      </c>
      <c r="F1532" s="12" t="s">
        <v>4188</v>
      </c>
      <c r="G1532" s="9" t="s">
        <v>4085</v>
      </c>
      <c r="H1532" s="9" t="s">
        <v>4189</v>
      </c>
      <c r="I1532" s="10">
        <v>45625</v>
      </c>
    </row>
    <row r="1533" spans="1:9" x14ac:dyDescent="0.15">
      <c r="A1533" s="9">
        <v>1532</v>
      </c>
      <c r="B1533" s="9" t="s">
        <v>9</v>
      </c>
      <c r="C1533" s="9">
        <v>1925</v>
      </c>
      <c r="D1533" s="10">
        <v>45715</v>
      </c>
      <c r="E1533" s="11" t="str">
        <f>+HYPERLINK("http://trademark.i-assist.jp/data/china/image_1925th/82261039.pdf","82261039")</f>
        <v>82261039</v>
      </c>
      <c r="F1533" s="9" t="s">
        <v>4190</v>
      </c>
      <c r="G1533" s="9" t="s">
        <v>4191</v>
      </c>
      <c r="H1533" s="9" t="s">
        <v>4192</v>
      </c>
      <c r="I1533" s="10">
        <v>45625</v>
      </c>
    </row>
    <row r="1534" spans="1:9" x14ac:dyDescent="0.15">
      <c r="A1534" s="9">
        <v>1533</v>
      </c>
      <c r="B1534" s="9" t="s">
        <v>9</v>
      </c>
      <c r="C1534" s="9">
        <v>1925</v>
      </c>
      <c r="D1534" s="10">
        <v>45715</v>
      </c>
      <c r="E1534" s="11" t="str">
        <f>+HYPERLINK("http://trademark.i-assist.jp/data/china/image_1925th/82261256.pdf","82261256")</f>
        <v>82261256</v>
      </c>
      <c r="F1534" s="9" t="s">
        <v>4193</v>
      </c>
      <c r="G1534" s="9" t="s">
        <v>4194</v>
      </c>
      <c r="H1534" s="9" t="s">
        <v>4195</v>
      </c>
      <c r="I1534" s="10">
        <v>45625</v>
      </c>
    </row>
    <row r="1535" spans="1:9" x14ac:dyDescent="0.15">
      <c r="A1535" s="9">
        <v>1534</v>
      </c>
      <c r="B1535" s="9" t="s">
        <v>9</v>
      </c>
      <c r="C1535" s="9">
        <v>1925</v>
      </c>
      <c r="D1535" s="10">
        <v>45715</v>
      </c>
      <c r="E1535" s="11" t="str">
        <f>+HYPERLINK("http://trademark.i-assist.jp/data/china/image_1925th/82261295.pdf","82261295")</f>
        <v>82261295</v>
      </c>
      <c r="F1535" s="9" t="s">
        <v>4196</v>
      </c>
      <c r="G1535" s="9" t="s">
        <v>4197</v>
      </c>
      <c r="H1535" s="9" t="s">
        <v>4198</v>
      </c>
      <c r="I1535" s="10">
        <v>45625</v>
      </c>
    </row>
    <row r="1536" spans="1:9" x14ac:dyDescent="0.15">
      <c r="A1536" s="9">
        <v>1535</v>
      </c>
      <c r="B1536" s="9" t="s">
        <v>9</v>
      </c>
      <c r="C1536" s="9">
        <v>1925</v>
      </c>
      <c r="D1536" s="10">
        <v>45715</v>
      </c>
      <c r="E1536" s="11" t="str">
        <f>+HYPERLINK("http://trademark.i-assist.jp/data/china/image_1925th/82261468.pdf","82261468")</f>
        <v>82261468</v>
      </c>
      <c r="F1536" s="9" t="s">
        <v>4199</v>
      </c>
      <c r="G1536" s="9" t="s">
        <v>4200</v>
      </c>
      <c r="H1536" s="9" t="s">
        <v>4201</v>
      </c>
      <c r="I1536" s="10">
        <v>45625</v>
      </c>
    </row>
    <row r="1537" spans="1:9" x14ac:dyDescent="0.15">
      <c r="A1537" s="9">
        <v>1536</v>
      </c>
      <c r="B1537" s="9" t="s">
        <v>9</v>
      </c>
      <c r="C1537" s="9">
        <v>1925</v>
      </c>
      <c r="D1537" s="10">
        <v>45715</v>
      </c>
      <c r="E1537" s="11" t="str">
        <f>+HYPERLINK("http://trademark.i-assist.jp/data/china/image_1925th/82261520.pdf","82261520")</f>
        <v>82261520</v>
      </c>
      <c r="F1537" s="9" t="s">
        <v>4202</v>
      </c>
      <c r="G1537" s="9" t="s">
        <v>4203</v>
      </c>
      <c r="H1537" s="9" t="s">
        <v>4204</v>
      </c>
      <c r="I1537" s="10">
        <v>45625</v>
      </c>
    </row>
    <row r="1538" spans="1:9" x14ac:dyDescent="0.15">
      <c r="A1538" s="9">
        <v>1537</v>
      </c>
      <c r="B1538" s="9" t="s">
        <v>9</v>
      </c>
      <c r="C1538" s="9">
        <v>1925</v>
      </c>
      <c r="D1538" s="10">
        <v>45715</v>
      </c>
      <c r="E1538" s="11" t="str">
        <f>+HYPERLINK("http://trademark.i-assist.jp/data/china/image_1925th/82261940.pdf","82261940")</f>
        <v>82261940</v>
      </c>
      <c r="F1538" s="9" t="s">
        <v>4205</v>
      </c>
      <c r="G1538" s="12" t="s">
        <v>804</v>
      </c>
      <c r="H1538" s="9" t="s">
        <v>4206</v>
      </c>
      <c r="I1538" s="10">
        <v>45625</v>
      </c>
    </row>
    <row r="1539" spans="1:9" x14ac:dyDescent="0.15">
      <c r="A1539" s="9">
        <v>1538</v>
      </c>
      <c r="B1539" s="9" t="s">
        <v>9</v>
      </c>
      <c r="C1539" s="9">
        <v>1925</v>
      </c>
      <c r="D1539" s="10">
        <v>45715</v>
      </c>
      <c r="E1539" s="11" t="str">
        <f>+HYPERLINK("http://trademark.i-assist.jp/data/china/image_1925th/82262073.pdf","82262073")</f>
        <v>82262073</v>
      </c>
      <c r="F1539" s="12" t="s">
        <v>4207</v>
      </c>
      <c r="G1539" s="9" t="s">
        <v>4208</v>
      </c>
      <c r="H1539" s="9" t="s">
        <v>4209</v>
      </c>
      <c r="I1539" s="10">
        <v>45625</v>
      </c>
    </row>
    <row r="1540" spans="1:9" x14ac:dyDescent="0.15">
      <c r="A1540" s="9">
        <v>1539</v>
      </c>
      <c r="B1540" s="9" t="s">
        <v>9</v>
      </c>
      <c r="C1540" s="9">
        <v>1925</v>
      </c>
      <c r="D1540" s="10">
        <v>45715</v>
      </c>
      <c r="E1540" s="11" t="str">
        <f>+HYPERLINK("http://trademark.i-assist.jp/data/china/image_1925th/82262116.pdf","82262116")</f>
        <v>82262116</v>
      </c>
      <c r="F1540" s="9" t="s">
        <v>4210</v>
      </c>
      <c r="G1540" s="9" t="s">
        <v>4211</v>
      </c>
      <c r="H1540" s="9" t="s">
        <v>4212</v>
      </c>
      <c r="I1540" s="10">
        <v>45625</v>
      </c>
    </row>
    <row r="1541" spans="1:9" x14ac:dyDescent="0.15">
      <c r="A1541" s="9">
        <v>1540</v>
      </c>
      <c r="B1541" s="9" t="s">
        <v>9</v>
      </c>
      <c r="C1541" s="9">
        <v>1925</v>
      </c>
      <c r="D1541" s="10">
        <v>45715</v>
      </c>
      <c r="E1541" s="11" t="str">
        <f>+HYPERLINK("http://trademark.i-assist.jp/data/china/image_1925th/82262232.pdf","82262232")</f>
        <v>82262232</v>
      </c>
      <c r="F1541" s="9" t="s">
        <v>4213</v>
      </c>
      <c r="G1541" s="12" t="s">
        <v>4097</v>
      </c>
      <c r="H1541" s="9" t="s">
        <v>4214</v>
      </c>
      <c r="I1541" s="10">
        <v>45625</v>
      </c>
    </row>
    <row r="1542" spans="1:9" x14ac:dyDescent="0.15">
      <c r="A1542" s="9">
        <v>1541</v>
      </c>
      <c r="B1542" s="9" t="s">
        <v>9</v>
      </c>
      <c r="C1542" s="9">
        <v>1925</v>
      </c>
      <c r="D1542" s="10">
        <v>45715</v>
      </c>
      <c r="E1542" s="11" t="str">
        <f>+HYPERLINK("http://trademark.i-assist.jp/data/china/image_1925th/82262839.pdf","82262839")</f>
        <v>82262839</v>
      </c>
      <c r="F1542" s="9" t="s">
        <v>4215</v>
      </c>
      <c r="G1542" s="9" t="s">
        <v>4216</v>
      </c>
      <c r="H1542" s="9" t="s">
        <v>4217</v>
      </c>
      <c r="I1542" s="10">
        <v>45625</v>
      </c>
    </row>
    <row r="1543" spans="1:9" x14ac:dyDescent="0.15">
      <c r="A1543" s="9">
        <v>1542</v>
      </c>
      <c r="B1543" s="9" t="s">
        <v>9</v>
      </c>
      <c r="C1543" s="9">
        <v>1925</v>
      </c>
      <c r="D1543" s="10">
        <v>45715</v>
      </c>
      <c r="E1543" s="11" t="str">
        <f>+HYPERLINK("http://trademark.i-assist.jp/data/china/image_1925th/82262843.pdf","82262843")</f>
        <v>82262843</v>
      </c>
      <c r="F1543" s="9" t="s">
        <v>4218</v>
      </c>
      <c r="G1543" s="12" t="s">
        <v>4219</v>
      </c>
      <c r="H1543" s="9" t="s">
        <v>4220</v>
      </c>
      <c r="I1543" s="10">
        <v>45625</v>
      </c>
    </row>
    <row r="1544" spans="1:9" x14ac:dyDescent="0.15">
      <c r="A1544" s="9">
        <v>1543</v>
      </c>
      <c r="B1544" s="9" t="s">
        <v>9</v>
      </c>
      <c r="C1544" s="9">
        <v>1925</v>
      </c>
      <c r="D1544" s="10">
        <v>45715</v>
      </c>
      <c r="E1544" s="11" t="str">
        <f>+HYPERLINK("http://trademark.i-assist.jp/data/china/image_1925th/82262936.pdf","82262936")</f>
        <v>82262936</v>
      </c>
      <c r="F1544" s="9" t="s">
        <v>4221</v>
      </c>
      <c r="G1544" s="12" t="s">
        <v>4222</v>
      </c>
      <c r="H1544" s="9" t="s">
        <v>4223</v>
      </c>
      <c r="I1544" s="10">
        <v>45625</v>
      </c>
    </row>
    <row r="1545" spans="1:9" x14ac:dyDescent="0.15">
      <c r="A1545" s="9">
        <v>1544</v>
      </c>
      <c r="B1545" s="9" t="s">
        <v>9</v>
      </c>
      <c r="C1545" s="9">
        <v>1925</v>
      </c>
      <c r="D1545" s="10">
        <v>45715</v>
      </c>
      <c r="E1545" s="11" t="str">
        <f>+HYPERLINK("http://trademark.i-assist.jp/data/china/image_1925th/82262938.pdf","82262938")</f>
        <v>82262938</v>
      </c>
      <c r="F1545" s="9" t="s">
        <v>4224</v>
      </c>
      <c r="G1545" s="12" t="s">
        <v>4225</v>
      </c>
      <c r="H1545" s="9" t="s">
        <v>4226</v>
      </c>
      <c r="I1545" s="10">
        <v>45625</v>
      </c>
    </row>
    <row r="1546" spans="1:9" x14ac:dyDescent="0.15">
      <c r="A1546" s="9">
        <v>1545</v>
      </c>
      <c r="B1546" s="9" t="s">
        <v>9</v>
      </c>
      <c r="C1546" s="9">
        <v>1925</v>
      </c>
      <c r="D1546" s="10">
        <v>45715</v>
      </c>
      <c r="E1546" s="11" t="str">
        <f>+HYPERLINK("http://trademark.i-assist.jp/data/china/image_1925th/82263672.pdf","82263672")</f>
        <v>82263672</v>
      </c>
      <c r="F1546" s="9" t="s">
        <v>4227</v>
      </c>
      <c r="G1546" s="9" t="s">
        <v>4173</v>
      </c>
      <c r="H1546" s="9" t="s">
        <v>4228</v>
      </c>
      <c r="I1546" s="10">
        <v>45625</v>
      </c>
    </row>
    <row r="1547" spans="1:9" x14ac:dyDescent="0.15">
      <c r="A1547" s="9">
        <v>1546</v>
      </c>
      <c r="B1547" s="9" t="s">
        <v>9</v>
      </c>
      <c r="C1547" s="9">
        <v>1925</v>
      </c>
      <c r="D1547" s="10">
        <v>45715</v>
      </c>
      <c r="E1547" s="11" t="str">
        <f>+HYPERLINK("http://trademark.i-assist.jp/data/china/image_1925th/82263690.pdf","82263690")</f>
        <v>82263690</v>
      </c>
      <c r="F1547" s="9" t="s">
        <v>4229</v>
      </c>
      <c r="G1547" s="9" t="s">
        <v>4230</v>
      </c>
      <c r="H1547" s="12" t="s">
        <v>4231</v>
      </c>
      <c r="I1547" s="10">
        <v>45625</v>
      </c>
    </row>
    <row r="1548" spans="1:9" x14ac:dyDescent="0.15">
      <c r="A1548" s="9">
        <v>1547</v>
      </c>
      <c r="B1548" s="9" t="s">
        <v>9</v>
      </c>
      <c r="C1548" s="9">
        <v>1925</v>
      </c>
      <c r="D1548" s="10">
        <v>45715</v>
      </c>
      <c r="E1548" s="11" t="str">
        <f>+HYPERLINK("http://trademark.i-assist.jp/data/china/image_1925th/82264157.pdf","82264157")</f>
        <v>82264157</v>
      </c>
      <c r="F1548" s="9" t="s">
        <v>4232</v>
      </c>
      <c r="G1548" s="12" t="s">
        <v>4233</v>
      </c>
      <c r="H1548" s="9" t="s">
        <v>4234</v>
      </c>
      <c r="I1548" s="10">
        <v>45625</v>
      </c>
    </row>
    <row r="1549" spans="1:9" x14ac:dyDescent="0.15">
      <c r="A1549" s="9">
        <v>1548</v>
      </c>
      <c r="B1549" s="9" t="s">
        <v>9</v>
      </c>
      <c r="C1549" s="9">
        <v>1925</v>
      </c>
      <c r="D1549" s="10">
        <v>45715</v>
      </c>
      <c r="E1549" s="11" t="str">
        <f>+HYPERLINK("http://trademark.i-assist.jp/data/china/image_1925th/82264295.pdf","82264295")</f>
        <v>82264295</v>
      </c>
      <c r="F1549" s="9" t="s">
        <v>4235</v>
      </c>
      <c r="G1549" s="9" t="s">
        <v>4236</v>
      </c>
      <c r="H1549" s="9" t="s">
        <v>4237</v>
      </c>
      <c r="I1549" s="10">
        <v>45625</v>
      </c>
    </row>
    <row r="1550" spans="1:9" x14ac:dyDescent="0.15">
      <c r="A1550" s="9">
        <v>1549</v>
      </c>
      <c r="B1550" s="9" t="s">
        <v>9</v>
      </c>
      <c r="C1550" s="9">
        <v>1925</v>
      </c>
      <c r="D1550" s="10">
        <v>45715</v>
      </c>
      <c r="E1550" s="11" t="str">
        <f>+HYPERLINK("http://trademark.i-assist.jp/data/china/image_1925th/82264929.pdf","82264929")</f>
        <v>82264929</v>
      </c>
      <c r="F1550" s="12" t="s">
        <v>57</v>
      </c>
      <c r="G1550" s="9" t="s">
        <v>4238</v>
      </c>
      <c r="H1550" s="9" t="s">
        <v>4239</v>
      </c>
      <c r="I1550" s="10">
        <v>45625</v>
      </c>
    </row>
    <row r="1551" spans="1:9" x14ac:dyDescent="0.15">
      <c r="A1551" s="9">
        <v>1550</v>
      </c>
      <c r="B1551" s="9" t="s">
        <v>9</v>
      </c>
      <c r="C1551" s="9">
        <v>1925</v>
      </c>
      <c r="D1551" s="10">
        <v>45715</v>
      </c>
      <c r="E1551" s="11" t="str">
        <f>+HYPERLINK("http://trademark.i-assist.jp/data/china/image_1925th/82266091.pdf","82266091")</f>
        <v>82266091</v>
      </c>
      <c r="F1551" s="9" t="s">
        <v>4240</v>
      </c>
      <c r="G1551" s="9" t="s">
        <v>4241</v>
      </c>
      <c r="H1551" s="9" t="s">
        <v>4242</v>
      </c>
      <c r="I1551" s="10">
        <v>45625</v>
      </c>
    </row>
    <row r="1552" spans="1:9" x14ac:dyDescent="0.15">
      <c r="A1552" s="9">
        <v>1551</v>
      </c>
      <c r="B1552" s="9" t="s">
        <v>9</v>
      </c>
      <c r="C1552" s="9">
        <v>1925</v>
      </c>
      <c r="D1552" s="10">
        <v>45715</v>
      </c>
      <c r="E1552" s="11" t="str">
        <f>+HYPERLINK("http://trademark.i-assist.jp/data/china/image_1925th/82266545.pdf","82266545")</f>
        <v>82266545</v>
      </c>
      <c r="F1552" s="12" t="s">
        <v>4243</v>
      </c>
      <c r="G1552" s="9" t="s">
        <v>3790</v>
      </c>
      <c r="H1552" s="9" t="s">
        <v>4244</v>
      </c>
      <c r="I1552" s="10">
        <v>45625</v>
      </c>
    </row>
    <row r="1553" spans="1:9" x14ac:dyDescent="0.15">
      <c r="A1553" s="9">
        <v>1552</v>
      </c>
      <c r="B1553" s="9" t="s">
        <v>9</v>
      </c>
      <c r="C1553" s="9">
        <v>1925</v>
      </c>
      <c r="D1553" s="10">
        <v>45715</v>
      </c>
      <c r="E1553" s="11" t="str">
        <f>+HYPERLINK("http://trademark.i-assist.jp/data/china/image_1925th/82266632.pdf","82266632")</f>
        <v>82266632</v>
      </c>
      <c r="F1553" s="9" t="s">
        <v>4245</v>
      </c>
      <c r="G1553" s="12" t="s">
        <v>4246</v>
      </c>
      <c r="H1553" s="9" t="s">
        <v>4247</v>
      </c>
      <c r="I1553" s="10">
        <v>45625</v>
      </c>
    </row>
    <row r="1554" spans="1:9" x14ac:dyDescent="0.15">
      <c r="A1554" s="9">
        <v>1553</v>
      </c>
      <c r="B1554" s="9" t="s">
        <v>9</v>
      </c>
      <c r="C1554" s="9">
        <v>1925</v>
      </c>
      <c r="D1554" s="10">
        <v>45715</v>
      </c>
      <c r="E1554" s="11" t="str">
        <f>+HYPERLINK("http://trademark.i-assist.jp/data/china/image_1925th/82267086.pdf","82267086")</f>
        <v>82267086</v>
      </c>
      <c r="F1554" s="9" t="s">
        <v>4248</v>
      </c>
      <c r="G1554" s="9" t="s">
        <v>2761</v>
      </c>
      <c r="H1554" s="9" t="s">
        <v>4249</v>
      </c>
      <c r="I1554" s="10">
        <v>45625</v>
      </c>
    </row>
    <row r="1555" spans="1:9" x14ac:dyDescent="0.15">
      <c r="A1555" s="9">
        <v>1554</v>
      </c>
      <c r="B1555" s="9" t="s">
        <v>9</v>
      </c>
      <c r="C1555" s="9">
        <v>1925</v>
      </c>
      <c r="D1555" s="10">
        <v>45715</v>
      </c>
      <c r="E1555" s="11" t="str">
        <f>+HYPERLINK("http://trademark.i-assist.jp/data/china/image_1925th/82267145.pdf","82267145")</f>
        <v>82267145</v>
      </c>
      <c r="F1555" s="12" t="s">
        <v>4250</v>
      </c>
      <c r="G1555" s="12" t="s">
        <v>4251</v>
      </c>
      <c r="H1555" s="9" t="s">
        <v>4252</v>
      </c>
      <c r="I1555" s="10">
        <v>45625</v>
      </c>
    </row>
    <row r="1556" spans="1:9" x14ac:dyDescent="0.15">
      <c r="A1556" s="9">
        <v>1555</v>
      </c>
      <c r="B1556" s="9" t="s">
        <v>9</v>
      </c>
      <c r="C1556" s="9">
        <v>1925</v>
      </c>
      <c r="D1556" s="10">
        <v>45715</v>
      </c>
      <c r="E1556" s="11" t="str">
        <f>+HYPERLINK("http://trademark.i-assist.jp/data/china/image_1925th/82267185.pdf","82267185")</f>
        <v>82267185</v>
      </c>
      <c r="F1556" s="9" t="s">
        <v>4253</v>
      </c>
      <c r="G1556" s="9" t="s">
        <v>4254</v>
      </c>
      <c r="H1556" s="9" t="s">
        <v>4255</v>
      </c>
      <c r="I1556" s="10">
        <v>45625</v>
      </c>
    </row>
    <row r="1557" spans="1:9" x14ac:dyDescent="0.15">
      <c r="A1557" s="9">
        <v>1556</v>
      </c>
      <c r="B1557" s="9" t="s">
        <v>9</v>
      </c>
      <c r="C1557" s="9">
        <v>1925</v>
      </c>
      <c r="D1557" s="10">
        <v>45715</v>
      </c>
      <c r="E1557" s="11" t="str">
        <f>+HYPERLINK("http://trademark.i-assist.jp/data/china/image_1925th/82267257.pdf","82267257")</f>
        <v>82267257</v>
      </c>
      <c r="F1557" s="9" t="s">
        <v>4256</v>
      </c>
      <c r="G1557" s="9" t="s">
        <v>4257</v>
      </c>
      <c r="H1557" s="9" t="s">
        <v>4258</v>
      </c>
      <c r="I1557" s="10">
        <v>45625</v>
      </c>
    </row>
    <row r="1558" spans="1:9" x14ac:dyDescent="0.15">
      <c r="A1558" s="9">
        <v>1557</v>
      </c>
      <c r="B1558" s="9" t="s">
        <v>9</v>
      </c>
      <c r="C1558" s="9">
        <v>1925</v>
      </c>
      <c r="D1558" s="10">
        <v>45715</v>
      </c>
      <c r="E1558" s="11" t="str">
        <f>+HYPERLINK("http://trademark.i-assist.jp/data/china/image_1925th/82267287.pdf","82267287")</f>
        <v>82267287</v>
      </c>
      <c r="F1558" s="9" t="s">
        <v>4259</v>
      </c>
      <c r="G1558" s="9" t="s">
        <v>4260</v>
      </c>
      <c r="H1558" s="9" t="s">
        <v>4261</v>
      </c>
      <c r="I1558" s="10">
        <v>45625</v>
      </c>
    </row>
    <row r="1559" spans="1:9" x14ac:dyDescent="0.15">
      <c r="A1559" s="9">
        <v>1558</v>
      </c>
      <c r="B1559" s="9" t="s">
        <v>9</v>
      </c>
      <c r="C1559" s="9">
        <v>1925</v>
      </c>
      <c r="D1559" s="10">
        <v>45715</v>
      </c>
      <c r="E1559" s="11" t="str">
        <f>+HYPERLINK("http://trademark.i-assist.jp/data/china/image_1925th/82267515.pdf","82267515")</f>
        <v>82267515</v>
      </c>
      <c r="F1559" s="9" t="s">
        <v>4262</v>
      </c>
      <c r="G1559" s="12" t="s">
        <v>4263</v>
      </c>
      <c r="H1559" s="9" t="s">
        <v>4264</v>
      </c>
      <c r="I1559" s="10">
        <v>45625</v>
      </c>
    </row>
    <row r="1560" spans="1:9" x14ac:dyDescent="0.15">
      <c r="A1560" s="9">
        <v>1559</v>
      </c>
      <c r="B1560" s="9" t="s">
        <v>9</v>
      </c>
      <c r="C1560" s="9">
        <v>1925</v>
      </c>
      <c r="D1560" s="10">
        <v>45715</v>
      </c>
      <c r="E1560" s="11" t="str">
        <f>+HYPERLINK("http://trademark.i-assist.jp/data/china/image_1925th/82267611.pdf","82267611")</f>
        <v>82267611</v>
      </c>
      <c r="F1560" s="12" t="s">
        <v>57</v>
      </c>
      <c r="G1560" s="12" t="s">
        <v>4265</v>
      </c>
      <c r="H1560" s="9" t="s">
        <v>4266</v>
      </c>
      <c r="I1560" s="10">
        <v>45625</v>
      </c>
    </row>
    <row r="1561" spans="1:9" x14ac:dyDescent="0.15">
      <c r="A1561" s="9">
        <v>1560</v>
      </c>
      <c r="B1561" s="9" t="s">
        <v>9</v>
      </c>
      <c r="C1561" s="9">
        <v>1925</v>
      </c>
      <c r="D1561" s="10">
        <v>45715</v>
      </c>
      <c r="E1561" s="11" t="str">
        <f>+HYPERLINK("http://trademark.i-assist.jp/data/china/image_1925th/82267614.pdf","82267614")</f>
        <v>82267614</v>
      </c>
      <c r="F1561" s="12" t="s">
        <v>4267</v>
      </c>
      <c r="G1561" s="9" t="s">
        <v>4268</v>
      </c>
      <c r="H1561" s="9" t="s">
        <v>4269</v>
      </c>
      <c r="I1561" s="10">
        <v>45625</v>
      </c>
    </row>
    <row r="1562" spans="1:9" x14ac:dyDescent="0.15">
      <c r="A1562" s="9">
        <v>1561</v>
      </c>
      <c r="B1562" s="9" t="s">
        <v>9</v>
      </c>
      <c r="C1562" s="9">
        <v>1925</v>
      </c>
      <c r="D1562" s="10">
        <v>45715</v>
      </c>
      <c r="E1562" s="11" t="str">
        <f>+HYPERLINK("http://trademark.i-assist.jp/data/china/image_1925th/82267880.pdf","82267880")</f>
        <v>82267880</v>
      </c>
      <c r="F1562" s="12" t="s">
        <v>4270</v>
      </c>
      <c r="G1562" s="9" t="s">
        <v>4271</v>
      </c>
      <c r="H1562" s="9" t="s">
        <v>4272</v>
      </c>
      <c r="I1562" s="10">
        <v>45625</v>
      </c>
    </row>
    <row r="1563" spans="1:9" x14ac:dyDescent="0.15">
      <c r="A1563" s="9">
        <v>1562</v>
      </c>
      <c r="B1563" s="9" t="s">
        <v>9</v>
      </c>
      <c r="C1563" s="9">
        <v>1925</v>
      </c>
      <c r="D1563" s="10">
        <v>45715</v>
      </c>
      <c r="E1563" s="11" t="str">
        <f>+HYPERLINK("http://trademark.i-assist.jp/data/china/image_1925th/82267970.pdf","82267970")</f>
        <v>82267970</v>
      </c>
      <c r="F1563" s="9" t="s">
        <v>4273</v>
      </c>
      <c r="G1563" s="12" t="s">
        <v>4140</v>
      </c>
      <c r="H1563" s="9" t="s">
        <v>4274</v>
      </c>
      <c r="I1563" s="10">
        <v>45625</v>
      </c>
    </row>
    <row r="1564" spans="1:9" x14ac:dyDescent="0.15">
      <c r="A1564" s="9">
        <v>1563</v>
      </c>
      <c r="B1564" s="9" t="s">
        <v>9</v>
      </c>
      <c r="C1564" s="9">
        <v>1925</v>
      </c>
      <c r="D1564" s="10">
        <v>45715</v>
      </c>
      <c r="E1564" s="11" t="str">
        <f>+HYPERLINK("http://trademark.i-assist.jp/data/china/image_1925th/82268030.pdf","82268030")</f>
        <v>82268030</v>
      </c>
      <c r="F1564" s="12" t="s">
        <v>4275</v>
      </c>
      <c r="G1564" s="9" t="s">
        <v>1311</v>
      </c>
      <c r="H1564" s="12" t="s">
        <v>4276</v>
      </c>
      <c r="I1564" s="10">
        <v>45625</v>
      </c>
    </row>
    <row r="1565" spans="1:9" x14ac:dyDescent="0.15">
      <c r="A1565" s="9">
        <v>1564</v>
      </c>
      <c r="B1565" s="9" t="s">
        <v>9</v>
      </c>
      <c r="C1565" s="9">
        <v>1925</v>
      </c>
      <c r="D1565" s="10">
        <v>45715</v>
      </c>
      <c r="E1565" s="11" t="str">
        <f>+HYPERLINK("http://trademark.i-assist.jp/data/china/image_1925th/82268519.pdf","82268519")</f>
        <v>82268519</v>
      </c>
      <c r="F1565" s="9" t="s">
        <v>4277</v>
      </c>
      <c r="G1565" s="9" t="s">
        <v>4278</v>
      </c>
      <c r="H1565" s="9" t="s">
        <v>4279</v>
      </c>
      <c r="I1565" s="10">
        <v>45625</v>
      </c>
    </row>
    <row r="1566" spans="1:9" x14ac:dyDescent="0.15">
      <c r="A1566" s="9">
        <v>1565</v>
      </c>
      <c r="B1566" s="9" t="s">
        <v>9</v>
      </c>
      <c r="C1566" s="9">
        <v>1925</v>
      </c>
      <c r="D1566" s="10">
        <v>45715</v>
      </c>
      <c r="E1566" s="11" t="str">
        <f>+HYPERLINK("http://trademark.i-assist.jp/data/china/image_1925th/82268593.pdf","82268593")</f>
        <v>82268593</v>
      </c>
      <c r="F1566" s="12" t="s">
        <v>4280</v>
      </c>
      <c r="G1566" s="9" t="s">
        <v>4208</v>
      </c>
      <c r="H1566" s="9" t="s">
        <v>4281</v>
      </c>
      <c r="I1566" s="10">
        <v>45625</v>
      </c>
    </row>
    <row r="1567" spans="1:9" x14ac:dyDescent="0.15">
      <c r="A1567" s="9">
        <v>1566</v>
      </c>
      <c r="B1567" s="9" t="s">
        <v>9</v>
      </c>
      <c r="C1567" s="9">
        <v>1925</v>
      </c>
      <c r="D1567" s="10">
        <v>45715</v>
      </c>
      <c r="E1567" s="11" t="str">
        <f>+HYPERLINK("http://trademark.i-assist.jp/data/china/image_1925th/82268680.pdf","82268680")</f>
        <v>82268680</v>
      </c>
      <c r="F1567" s="12" t="s">
        <v>4282</v>
      </c>
      <c r="G1567" s="9" t="s">
        <v>4283</v>
      </c>
      <c r="H1567" s="9" t="s">
        <v>4284</v>
      </c>
      <c r="I1567" s="10">
        <v>45625</v>
      </c>
    </row>
    <row r="1568" spans="1:9" x14ac:dyDescent="0.15">
      <c r="A1568" s="9">
        <v>1567</v>
      </c>
      <c r="B1568" s="9" t="s">
        <v>9</v>
      </c>
      <c r="C1568" s="9">
        <v>1925</v>
      </c>
      <c r="D1568" s="10">
        <v>45715</v>
      </c>
      <c r="E1568" s="11" t="str">
        <f>+HYPERLINK("http://trademark.i-assist.jp/data/china/image_1925th/82268788.pdf","82268788")</f>
        <v>82268788</v>
      </c>
      <c r="F1568" s="9" t="s">
        <v>4285</v>
      </c>
      <c r="G1568" s="9" t="s">
        <v>4286</v>
      </c>
      <c r="H1568" s="9" t="s">
        <v>4287</v>
      </c>
      <c r="I1568" s="10">
        <v>45625</v>
      </c>
    </row>
    <row r="1569" spans="1:9" x14ac:dyDescent="0.15">
      <c r="A1569" s="9">
        <v>1568</v>
      </c>
      <c r="B1569" s="9" t="s">
        <v>9</v>
      </c>
      <c r="C1569" s="9">
        <v>1925</v>
      </c>
      <c r="D1569" s="10">
        <v>45715</v>
      </c>
      <c r="E1569" s="11" t="str">
        <f>+HYPERLINK("http://trademark.i-assist.jp/data/china/image_1925th/82269318.pdf","82269318")</f>
        <v>82269318</v>
      </c>
      <c r="F1569" s="9" t="s">
        <v>4288</v>
      </c>
      <c r="G1569" s="9" t="s">
        <v>4289</v>
      </c>
      <c r="H1569" s="9" t="s">
        <v>4290</v>
      </c>
      <c r="I1569" s="10">
        <v>45625</v>
      </c>
    </row>
    <row r="1570" spans="1:9" x14ac:dyDescent="0.15">
      <c r="A1570" s="9">
        <v>1569</v>
      </c>
      <c r="B1570" s="9" t="s">
        <v>9</v>
      </c>
      <c r="C1570" s="9">
        <v>1925</v>
      </c>
      <c r="D1570" s="10">
        <v>45715</v>
      </c>
      <c r="E1570" s="11" t="str">
        <f>+HYPERLINK("http://trademark.i-assist.jp/data/china/image_1925th/82269505.pdf","82269505")</f>
        <v>82269505</v>
      </c>
      <c r="F1570" s="9" t="s">
        <v>4291</v>
      </c>
      <c r="G1570" s="12" t="s">
        <v>4097</v>
      </c>
      <c r="H1570" s="9" t="s">
        <v>4292</v>
      </c>
      <c r="I1570" s="10">
        <v>45625</v>
      </c>
    </row>
    <row r="1571" spans="1:9" x14ac:dyDescent="0.15">
      <c r="A1571" s="9">
        <v>1570</v>
      </c>
      <c r="B1571" s="9" t="s">
        <v>9</v>
      </c>
      <c r="C1571" s="9">
        <v>1925</v>
      </c>
      <c r="D1571" s="10">
        <v>45715</v>
      </c>
      <c r="E1571" s="11" t="str">
        <f>+HYPERLINK("http://trademark.i-assist.jp/data/china/image_1925th/82269555.pdf","82269555")</f>
        <v>82269555</v>
      </c>
      <c r="F1571" s="9" t="s">
        <v>4293</v>
      </c>
      <c r="G1571" s="12" t="s">
        <v>4294</v>
      </c>
      <c r="H1571" s="9" t="s">
        <v>4295</v>
      </c>
      <c r="I1571" s="10">
        <v>45625</v>
      </c>
    </row>
    <row r="1572" spans="1:9" x14ac:dyDescent="0.15">
      <c r="A1572" s="9">
        <v>1571</v>
      </c>
      <c r="B1572" s="9" t="s">
        <v>9</v>
      </c>
      <c r="C1572" s="9">
        <v>1925</v>
      </c>
      <c r="D1572" s="10">
        <v>45715</v>
      </c>
      <c r="E1572" s="11" t="str">
        <f>+HYPERLINK("http://trademark.i-assist.jp/data/china/image_1925th/82269741.pdf","82269741")</f>
        <v>82269741</v>
      </c>
      <c r="F1572" s="12" t="s">
        <v>4296</v>
      </c>
      <c r="G1572" s="9" t="s">
        <v>4297</v>
      </c>
      <c r="H1572" s="9" t="s">
        <v>4298</v>
      </c>
      <c r="I1572" s="10">
        <v>45625</v>
      </c>
    </row>
    <row r="1573" spans="1:9" x14ac:dyDescent="0.15">
      <c r="A1573" s="9">
        <v>1572</v>
      </c>
      <c r="B1573" s="9" t="s">
        <v>9</v>
      </c>
      <c r="C1573" s="9">
        <v>1925</v>
      </c>
      <c r="D1573" s="10">
        <v>45715</v>
      </c>
      <c r="E1573" s="11" t="str">
        <f>+HYPERLINK("http://trademark.i-assist.jp/data/china/image_1925th/82270726.pdf","82270726")</f>
        <v>82270726</v>
      </c>
      <c r="F1573" s="9" t="s">
        <v>4299</v>
      </c>
      <c r="G1573" s="12" t="s">
        <v>4300</v>
      </c>
      <c r="H1573" s="9" t="s">
        <v>4301</v>
      </c>
      <c r="I1573" s="10">
        <v>45625</v>
      </c>
    </row>
    <row r="1574" spans="1:9" x14ac:dyDescent="0.15">
      <c r="A1574" s="9">
        <v>1573</v>
      </c>
      <c r="B1574" s="9" t="s">
        <v>9</v>
      </c>
      <c r="C1574" s="9">
        <v>1925</v>
      </c>
      <c r="D1574" s="10">
        <v>45715</v>
      </c>
      <c r="E1574" s="11" t="str">
        <f>+HYPERLINK("http://trademark.i-assist.jp/data/china/image_1925th/82271063.pdf","82271063")</f>
        <v>82271063</v>
      </c>
      <c r="F1574" s="9" t="s">
        <v>4302</v>
      </c>
      <c r="G1574" s="12" t="s">
        <v>4303</v>
      </c>
      <c r="H1574" s="9" t="s">
        <v>4304</v>
      </c>
      <c r="I1574" s="10">
        <v>45625</v>
      </c>
    </row>
    <row r="1575" spans="1:9" x14ac:dyDescent="0.15">
      <c r="A1575" s="9">
        <v>1574</v>
      </c>
      <c r="B1575" s="9" t="s">
        <v>9</v>
      </c>
      <c r="C1575" s="9">
        <v>1925</v>
      </c>
      <c r="D1575" s="10">
        <v>45715</v>
      </c>
      <c r="E1575" s="11" t="str">
        <f>+HYPERLINK("http://trademark.i-assist.jp/data/china/image_1925th/82271524.pdf","82271524")</f>
        <v>82271524</v>
      </c>
      <c r="F1575" s="9" t="s">
        <v>4305</v>
      </c>
      <c r="G1575" s="12" t="s">
        <v>4306</v>
      </c>
      <c r="H1575" s="9" t="s">
        <v>4307</v>
      </c>
      <c r="I1575" s="10">
        <v>45625</v>
      </c>
    </row>
    <row r="1576" spans="1:9" x14ac:dyDescent="0.15">
      <c r="A1576" s="9">
        <v>1575</v>
      </c>
      <c r="B1576" s="9" t="s">
        <v>9</v>
      </c>
      <c r="C1576" s="9">
        <v>1925</v>
      </c>
      <c r="D1576" s="10">
        <v>45715</v>
      </c>
      <c r="E1576" s="11" t="str">
        <f>+HYPERLINK("http://trademark.i-assist.jp/data/china/image_1925th/82271628.pdf","82271628")</f>
        <v>82271628</v>
      </c>
      <c r="F1576" s="9" t="s">
        <v>4308</v>
      </c>
      <c r="G1576" s="9" t="s">
        <v>4309</v>
      </c>
      <c r="H1576" s="9" t="s">
        <v>4310</v>
      </c>
      <c r="I1576" s="10">
        <v>45625</v>
      </c>
    </row>
    <row r="1577" spans="1:9" x14ac:dyDescent="0.15">
      <c r="A1577" s="9">
        <v>1576</v>
      </c>
      <c r="B1577" s="9" t="s">
        <v>9</v>
      </c>
      <c r="C1577" s="9">
        <v>1925</v>
      </c>
      <c r="D1577" s="10">
        <v>45715</v>
      </c>
      <c r="E1577" s="11" t="str">
        <f>+HYPERLINK("http://trademark.i-assist.jp/data/china/image_1925th/82271967.pdf","82271967")</f>
        <v>82271967</v>
      </c>
      <c r="F1577" s="12" t="s">
        <v>57</v>
      </c>
      <c r="G1577" s="12" t="s">
        <v>4311</v>
      </c>
      <c r="H1577" s="9" t="s">
        <v>4312</v>
      </c>
      <c r="I1577" s="10">
        <v>45625</v>
      </c>
    </row>
    <row r="1578" spans="1:9" x14ac:dyDescent="0.15">
      <c r="A1578" s="9">
        <v>1577</v>
      </c>
      <c r="B1578" s="9" t="s">
        <v>9</v>
      </c>
      <c r="C1578" s="9">
        <v>1925</v>
      </c>
      <c r="D1578" s="10">
        <v>45715</v>
      </c>
      <c r="E1578" s="11" t="str">
        <f>+HYPERLINK("http://trademark.i-assist.jp/data/china/image_1925th/82272134.pdf","82272134")</f>
        <v>82272134</v>
      </c>
      <c r="F1578" s="12" t="s">
        <v>4313</v>
      </c>
      <c r="G1578" s="9" t="s">
        <v>4173</v>
      </c>
      <c r="H1578" s="9" t="s">
        <v>4314</v>
      </c>
      <c r="I1578" s="10">
        <v>45625</v>
      </c>
    </row>
    <row r="1579" spans="1:9" x14ac:dyDescent="0.15">
      <c r="A1579" s="9">
        <v>1578</v>
      </c>
      <c r="B1579" s="9" t="s">
        <v>9</v>
      </c>
      <c r="C1579" s="9">
        <v>1925</v>
      </c>
      <c r="D1579" s="10">
        <v>45715</v>
      </c>
      <c r="E1579" s="11" t="str">
        <f>+HYPERLINK("http://trademark.i-assist.jp/data/china/image_1925th/82272163.pdf","82272163")</f>
        <v>82272163</v>
      </c>
      <c r="F1579" s="9" t="s">
        <v>4315</v>
      </c>
      <c r="G1579" s="9" t="s">
        <v>4316</v>
      </c>
      <c r="H1579" s="9" t="s">
        <v>4317</v>
      </c>
      <c r="I1579" s="10">
        <v>45625</v>
      </c>
    </row>
    <row r="1580" spans="1:9" x14ac:dyDescent="0.15">
      <c r="A1580" s="9">
        <v>1579</v>
      </c>
      <c r="B1580" s="9" t="s">
        <v>9</v>
      </c>
      <c r="C1580" s="9">
        <v>1925</v>
      </c>
      <c r="D1580" s="10">
        <v>45715</v>
      </c>
      <c r="E1580" s="11" t="str">
        <f>+HYPERLINK("http://trademark.i-assist.jp/data/china/image_1925th/82272168.pdf","82272168")</f>
        <v>82272168</v>
      </c>
      <c r="F1580" s="9" t="s">
        <v>4318</v>
      </c>
      <c r="G1580" s="12" t="s">
        <v>4319</v>
      </c>
      <c r="H1580" s="9" t="s">
        <v>4320</v>
      </c>
      <c r="I1580" s="10">
        <v>45625</v>
      </c>
    </row>
    <row r="1581" spans="1:9" x14ac:dyDescent="0.15">
      <c r="A1581" s="9">
        <v>1580</v>
      </c>
      <c r="B1581" s="9" t="s">
        <v>9</v>
      </c>
      <c r="C1581" s="9">
        <v>1925</v>
      </c>
      <c r="D1581" s="10">
        <v>45715</v>
      </c>
      <c r="E1581" s="11" t="str">
        <f>+HYPERLINK("http://trademark.i-assist.jp/data/china/image_1925th/82272417.pdf","82272417")</f>
        <v>82272417</v>
      </c>
      <c r="F1581" s="9" t="s">
        <v>4321</v>
      </c>
      <c r="G1581" s="9" t="s">
        <v>4322</v>
      </c>
      <c r="H1581" s="9" t="s">
        <v>4323</v>
      </c>
      <c r="I1581" s="10">
        <v>45625</v>
      </c>
    </row>
    <row r="1582" spans="1:9" x14ac:dyDescent="0.15">
      <c r="A1582" s="9">
        <v>1581</v>
      </c>
      <c r="B1582" s="9" t="s">
        <v>9</v>
      </c>
      <c r="C1582" s="9">
        <v>1925</v>
      </c>
      <c r="D1582" s="10">
        <v>45715</v>
      </c>
      <c r="E1582" s="11" t="str">
        <f>+HYPERLINK("http://trademark.i-assist.jp/data/china/image_1925th/82272495.pdf","82272495")</f>
        <v>82272495</v>
      </c>
      <c r="F1582" s="9" t="s">
        <v>4324</v>
      </c>
      <c r="G1582" s="9" t="s">
        <v>4325</v>
      </c>
      <c r="H1582" s="9" t="s">
        <v>4326</v>
      </c>
      <c r="I1582" s="10">
        <v>45625</v>
      </c>
    </row>
    <row r="1583" spans="1:9" x14ac:dyDescent="0.15">
      <c r="A1583" s="9">
        <v>1582</v>
      </c>
      <c r="B1583" s="9" t="s">
        <v>9</v>
      </c>
      <c r="C1583" s="9">
        <v>1925</v>
      </c>
      <c r="D1583" s="10">
        <v>45715</v>
      </c>
      <c r="E1583" s="11" t="str">
        <f>+HYPERLINK("http://trademark.i-assist.jp/data/china/image_1925th/82272643.pdf","82272643")</f>
        <v>82272643</v>
      </c>
      <c r="F1583" s="9" t="s">
        <v>4327</v>
      </c>
      <c r="G1583" s="9" t="s">
        <v>4328</v>
      </c>
      <c r="H1583" s="9" t="s">
        <v>4329</v>
      </c>
      <c r="I1583" s="10">
        <v>45625</v>
      </c>
    </row>
    <row r="1584" spans="1:9" x14ac:dyDescent="0.15">
      <c r="A1584" s="9">
        <v>1583</v>
      </c>
      <c r="B1584" s="9" t="s">
        <v>9</v>
      </c>
      <c r="C1584" s="9">
        <v>1925</v>
      </c>
      <c r="D1584" s="10">
        <v>45715</v>
      </c>
      <c r="E1584" s="11" t="str">
        <f>+HYPERLINK("http://trademark.i-assist.jp/data/china/image_1925th/82272662.pdf","82272662")</f>
        <v>82272662</v>
      </c>
      <c r="F1584" s="9" t="s">
        <v>4330</v>
      </c>
      <c r="G1584" s="9" t="s">
        <v>4331</v>
      </c>
      <c r="H1584" s="9" t="s">
        <v>4332</v>
      </c>
      <c r="I1584" s="10">
        <v>45625</v>
      </c>
    </row>
    <row r="1585" spans="1:9" x14ac:dyDescent="0.15">
      <c r="A1585" s="9">
        <v>1584</v>
      </c>
      <c r="B1585" s="9" t="s">
        <v>9</v>
      </c>
      <c r="C1585" s="9">
        <v>1925</v>
      </c>
      <c r="D1585" s="10">
        <v>45715</v>
      </c>
      <c r="E1585" s="11" t="str">
        <f>+HYPERLINK("http://trademark.i-assist.jp/data/china/image_1925th/82272779.pdf","82272779")</f>
        <v>82272779</v>
      </c>
      <c r="F1585" s="9" t="s">
        <v>4333</v>
      </c>
      <c r="G1585" s="9" t="s">
        <v>4334</v>
      </c>
      <c r="H1585" s="9" t="s">
        <v>4335</v>
      </c>
      <c r="I1585" s="10">
        <v>45625</v>
      </c>
    </row>
    <row r="1586" spans="1:9" x14ac:dyDescent="0.15">
      <c r="A1586" s="9">
        <v>1585</v>
      </c>
      <c r="B1586" s="9" t="s">
        <v>9</v>
      </c>
      <c r="C1586" s="9">
        <v>1925</v>
      </c>
      <c r="D1586" s="10">
        <v>45715</v>
      </c>
      <c r="E1586" s="11" t="str">
        <f>+HYPERLINK("http://trademark.i-assist.jp/data/china/image_1925th/82273064.pdf","82273064")</f>
        <v>82273064</v>
      </c>
      <c r="F1586" s="9" t="s">
        <v>4336</v>
      </c>
      <c r="G1586" s="12" t="s">
        <v>4337</v>
      </c>
      <c r="H1586" s="9" t="s">
        <v>4338</v>
      </c>
      <c r="I1586" s="10">
        <v>45625</v>
      </c>
    </row>
    <row r="1587" spans="1:9" x14ac:dyDescent="0.15">
      <c r="A1587" s="9">
        <v>1586</v>
      </c>
      <c r="B1587" s="9" t="s">
        <v>9</v>
      </c>
      <c r="C1587" s="9">
        <v>1925</v>
      </c>
      <c r="D1587" s="10">
        <v>45715</v>
      </c>
      <c r="E1587" s="11" t="str">
        <f>+HYPERLINK("http://trademark.i-assist.jp/data/china/image_1925th/82273393.pdf","82273393")</f>
        <v>82273393</v>
      </c>
      <c r="F1587" s="9" t="s">
        <v>4339</v>
      </c>
      <c r="G1587" s="9" t="s">
        <v>4211</v>
      </c>
      <c r="H1587" s="9" t="s">
        <v>4340</v>
      </c>
      <c r="I1587" s="10">
        <v>45625</v>
      </c>
    </row>
    <row r="1588" spans="1:9" x14ac:dyDescent="0.15">
      <c r="A1588" s="9">
        <v>1587</v>
      </c>
      <c r="B1588" s="9" t="s">
        <v>9</v>
      </c>
      <c r="C1588" s="9">
        <v>1925</v>
      </c>
      <c r="D1588" s="10">
        <v>45715</v>
      </c>
      <c r="E1588" s="11" t="str">
        <f>+HYPERLINK("http://trademark.i-assist.jp/data/china/image_1925th/82273547.pdf","82273547")</f>
        <v>82273547</v>
      </c>
      <c r="F1588" s="9" t="s">
        <v>4341</v>
      </c>
      <c r="G1588" s="9" t="s">
        <v>4342</v>
      </c>
      <c r="H1588" s="9" t="s">
        <v>4343</v>
      </c>
      <c r="I1588" s="10">
        <v>45625</v>
      </c>
    </row>
    <row r="1589" spans="1:9" x14ac:dyDescent="0.15">
      <c r="A1589" s="9">
        <v>1588</v>
      </c>
      <c r="B1589" s="9" t="s">
        <v>9</v>
      </c>
      <c r="C1589" s="9">
        <v>1925</v>
      </c>
      <c r="D1589" s="10">
        <v>45715</v>
      </c>
      <c r="E1589" s="11" t="str">
        <f>+HYPERLINK("http://trademark.i-assist.jp/data/china/image_1925th/82273832.pdf","82273832")</f>
        <v>82273832</v>
      </c>
      <c r="F1589" s="9" t="s">
        <v>4344</v>
      </c>
      <c r="G1589" s="9" t="s">
        <v>4345</v>
      </c>
      <c r="H1589" s="9" t="s">
        <v>4346</v>
      </c>
      <c r="I1589" s="10">
        <v>45625</v>
      </c>
    </row>
    <row r="1590" spans="1:9" x14ac:dyDescent="0.15">
      <c r="A1590" s="9">
        <v>1589</v>
      </c>
      <c r="B1590" s="9" t="s">
        <v>9</v>
      </c>
      <c r="C1590" s="9">
        <v>1925</v>
      </c>
      <c r="D1590" s="10">
        <v>45715</v>
      </c>
      <c r="E1590" s="11" t="str">
        <f>+HYPERLINK("http://trademark.i-assist.jp/data/china/image_1925th/82273858.pdf","82273858")</f>
        <v>82273858</v>
      </c>
      <c r="F1590" s="9" t="s">
        <v>4277</v>
      </c>
      <c r="G1590" s="9" t="s">
        <v>4278</v>
      </c>
      <c r="H1590" s="9" t="s">
        <v>4347</v>
      </c>
      <c r="I1590" s="10">
        <v>45625</v>
      </c>
    </row>
    <row r="1591" spans="1:9" x14ac:dyDescent="0.15">
      <c r="A1591" s="9">
        <v>1590</v>
      </c>
      <c r="B1591" s="9" t="s">
        <v>9</v>
      </c>
      <c r="C1591" s="9">
        <v>1925</v>
      </c>
      <c r="D1591" s="10">
        <v>45715</v>
      </c>
      <c r="E1591" s="11" t="str">
        <f>+HYPERLINK("http://trademark.i-assist.jp/data/china/image_1925th/82273923.pdf","82273923")</f>
        <v>82273923</v>
      </c>
      <c r="F1591" s="13" t="s">
        <v>4348</v>
      </c>
      <c r="G1591" s="9" t="s">
        <v>4349</v>
      </c>
      <c r="H1591" s="9" t="s">
        <v>4350</v>
      </c>
      <c r="I1591" s="10">
        <v>45625</v>
      </c>
    </row>
    <row r="1592" spans="1:9" x14ac:dyDescent="0.15">
      <c r="A1592" s="9">
        <v>1591</v>
      </c>
      <c r="B1592" s="9" t="s">
        <v>9</v>
      </c>
      <c r="C1592" s="9">
        <v>1925</v>
      </c>
      <c r="D1592" s="10">
        <v>45715</v>
      </c>
      <c r="E1592" s="11" t="str">
        <f>+HYPERLINK("http://trademark.i-assist.jp/data/china/image_1925th/82274071.pdf","82274071")</f>
        <v>82274071</v>
      </c>
      <c r="F1592" s="9" t="s">
        <v>4351</v>
      </c>
      <c r="G1592" s="9" t="s">
        <v>4352</v>
      </c>
      <c r="H1592" s="12" t="s">
        <v>4353</v>
      </c>
      <c r="I1592" s="10">
        <v>45625</v>
      </c>
    </row>
    <row r="1593" spans="1:9" x14ac:dyDescent="0.15">
      <c r="A1593" s="9">
        <v>1592</v>
      </c>
      <c r="B1593" s="9" t="s">
        <v>9</v>
      </c>
      <c r="C1593" s="9">
        <v>1925</v>
      </c>
      <c r="D1593" s="10">
        <v>45715</v>
      </c>
      <c r="E1593" s="11" t="str">
        <f>+HYPERLINK("http://trademark.i-assist.jp/data/china/image_1925th/82274207.pdf","82274207")</f>
        <v>82274207</v>
      </c>
      <c r="F1593" s="12" t="s">
        <v>4354</v>
      </c>
      <c r="G1593" s="9" t="s">
        <v>4355</v>
      </c>
      <c r="H1593" s="9" t="s">
        <v>4356</v>
      </c>
      <c r="I1593" s="10">
        <v>45625</v>
      </c>
    </row>
    <row r="1594" spans="1:9" x14ac:dyDescent="0.15">
      <c r="A1594" s="9">
        <v>1593</v>
      </c>
      <c r="B1594" s="9" t="s">
        <v>9</v>
      </c>
      <c r="C1594" s="9">
        <v>1925</v>
      </c>
      <c r="D1594" s="10">
        <v>45715</v>
      </c>
      <c r="E1594" s="11" t="str">
        <f>+HYPERLINK("http://trademark.i-assist.jp/data/china/image_1925th/82274294.pdf","82274294")</f>
        <v>82274294</v>
      </c>
      <c r="F1594" s="12" t="s">
        <v>4357</v>
      </c>
      <c r="G1594" s="12" t="s">
        <v>4097</v>
      </c>
      <c r="H1594" s="9" t="s">
        <v>4358</v>
      </c>
      <c r="I1594" s="10">
        <v>45625</v>
      </c>
    </row>
    <row r="1595" spans="1:9" x14ac:dyDescent="0.15">
      <c r="A1595" s="9">
        <v>1594</v>
      </c>
      <c r="B1595" s="9" t="s">
        <v>9</v>
      </c>
      <c r="C1595" s="9">
        <v>1925</v>
      </c>
      <c r="D1595" s="10">
        <v>45715</v>
      </c>
      <c r="E1595" s="11" t="str">
        <f>+HYPERLINK("http://trademark.i-assist.jp/data/china/image_1925th/82275751.pdf","82275751")</f>
        <v>82275751</v>
      </c>
      <c r="F1595" s="9" t="s">
        <v>4359</v>
      </c>
      <c r="G1595" s="12" t="s">
        <v>4360</v>
      </c>
      <c r="H1595" s="12" t="s">
        <v>4361</v>
      </c>
      <c r="I1595" s="10">
        <v>45625</v>
      </c>
    </row>
    <row r="1596" spans="1:9" x14ac:dyDescent="0.15">
      <c r="A1596" s="9">
        <v>1595</v>
      </c>
      <c r="B1596" s="9" t="s">
        <v>9</v>
      </c>
      <c r="C1596" s="9">
        <v>1925</v>
      </c>
      <c r="D1596" s="10">
        <v>45715</v>
      </c>
      <c r="E1596" s="11" t="str">
        <f>+HYPERLINK("http://trademark.i-assist.jp/data/china/image_1925th/82275932.pdf","82275932")</f>
        <v>82275932</v>
      </c>
      <c r="F1596" s="9" t="s">
        <v>4362</v>
      </c>
      <c r="G1596" s="12" t="s">
        <v>4130</v>
      </c>
      <c r="H1596" s="12" t="s">
        <v>4363</v>
      </c>
      <c r="I1596" s="10">
        <v>45625</v>
      </c>
    </row>
    <row r="1597" spans="1:9" x14ac:dyDescent="0.15">
      <c r="A1597" s="9">
        <v>1596</v>
      </c>
      <c r="B1597" s="9" t="s">
        <v>9</v>
      </c>
      <c r="C1597" s="9">
        <v>1925</v>
      </c>
      <c r="D1597" s="10">
        <v>45715</v>
      </c>
      <c r="E1597" s="11" t="str">
        <f>+HYPERLINK("http://trademark.i-assist.jp/data/china/image_1925th/82275947.pdf","82275947")</f>
        <v>82275947</v>
      </c>
      <c r="F1597" s="9" t="s">
        <v>4364</v>
      </c>
      <c r="G1597" s="12" t="s">
        <v>4140</v>
      </c>
      <c r="H1597" s="9" t="s">
        <v>4365</v>
      </c>
      <c r="I1597" s="10">
        <v>45625</v>
      </c>
    </row>
    <row r="1598" spans="1:9" x14ac:dyDescent="0.15">
      <c r="A1598" s="9">
        <v>1597</v>
      </c>
      <c r="B1598" s="9" t="s">
        <v>9</v>
      </c>
      <c r="C1598" s="9">
        <v>1925</v>
      </c>
      <c r="D1598" s="10">
        <v>45715</v>
      </c>
      <c r="E1598" s="11" t="str">
        <f>+HYPERLINK("http://trademark.i-assist.jp/data/china/image_1925th/82276296.pdf","82276296")</f>
        <v>82276296</v>
      </c>
      <c r="F1598" s="12" t="s">
        <v>4366</v>
      </c>
      <c r="G1598" s="12" t="s">
        <v>4130</v>
      </c>
      <c r="H1598" s="9" t="s">
        <v>4367</v>
      </c>
      <c r="I1598" s="10">
        <v>45625</v>
      </c>
    </row>
    <row r="1599" spans="1:9" x14ac:dyDescent="0.15">
      <c r="A1599" s="9">
        <v>1598</v>
      </c>
      <c r="B1599" s="9" t="s">
        <v>9</v>
      </c>
      <c r="C1599" s="9">
        <v>1925</v>
      </c>
      <c r="D1599" s="10">
        <v>45715</v>
      </c>
      <c r="E1599" s="11" t="str">
        <f>+HYPERLINK("http://trademark.i-assist.jp/data/china/image_1925th/82276658.pdf","82276658")</f>
        <v>82276658</v>
      </c>
      <c r="F1599" s="9" t="s">
        <v>4368</v>
      </c>
      <c r="G1599" s="12" t="s">
        <v>804</v>
      </c>
      <c r="H1599" s="9" t="s">
        <v>4369</v>
      </c>
      <c r="I1599" s="10">
        <v>45625</v>
      </c>
    </row>
    <row r="1600" spans="1:9" x14ac:dyDescent="0.15">
      <c r="A1600" s="9">
        <v>1599</v>
      </c>
      <c r="B1600" s="9" t="s">
        <v>9</v>
      </c>
      <c r="C1600" s="9">
        <v>1925</v>
      </c>
      <c r="D1600" s="10">
        <v>45715</v>
      </c>
      <c r="E1600" s="11" t="str">
        <f>+HYPERLINK("http://trademark.i-assist.jp/data/china/image_1925th/82276756.pdf","82276756")</f>
        <v>82276756</v>
      </c>
      <c r="F1600" s="12" t="s">
        <v>4370</v>
      </c>
      <c r="G1600" s="12" t="s">
        <v>4306</v>
      </c>
      <c r="H1600" s="9" t="s">
        <v>4371</v>
      </c>
      <c r="I1600" s="10">
        <v>45625</v>
      </c>
    </row>
    <row r="1601" spans="1:9" x14ac:dyDescent="0.15">
      <c r="A1601" s="9">
        <v>1600</v>
      </c>
      <c r="B1601" s="9" t="s">
        <v>9</v>
      </c>
      <c r="C1601" s="9">
        <v>1925</v>
      </c>
      <c r="D1601" s="10">
        <v>45715</v>
      </c>
      <c r="E1601" s="11" t="str">
        <f>+HYPERLINK("http://trademark.i-assist.jp/data/china/image_1925th/82276990.pdf","82276990")</f>
        <v>82276990</v>
      </c>
      <c r="F1601" s="12" t="s">
        <v>57</v>
      </c>
      <c r="G1601" s="9" t="s">
        <v>4238</v>
      </c>
      <c r="H1601" s="9" t="s">
        <v>4372</v>
      </c>
      <c r="I1601" s="10">
        <v>45625</v>
      </c>
    </row>
    <row r="1602" spans="1:9" x14ac:dyDescent="0.15">
      <c r="A1602" s="9">
        <v>1601</v>
      </c>
      <c r="B1602" s="9" t="s">
        <v>9</v>
      </c>
      <c r="C1602" s="9">
        <v>1925</v>
      </c>
      <c r="D1602" s="10">
        <v>45715</v>
      </c>
      <c r="E1602" s="11" t="str">
        <f>+HYPERLINK("http://trademark.i-assist.jp/data/china/image_1925th/82277049.pdf","82277049")</f>
        <v>82277049</v>
      </c>
      <c r="F1602" s="9" t="s">
        <v>4373</v>
      </c>
      <c r="G1602" s="9" t="s">
        <v>4374</v>
      </c>
      <c r="H1602" s="9" t="s">
        <v>4375</v>
      </c>
      <c r="I1602" s="10">
        <v>45625</v>
      </c>
    </row>
    <row r="1603" spans="1:9" x14ac:dyDescent="0.15">
      <c r="A1603" s="9">
        <v>1602</v>
      </c>
      <c r="B1603" s="9" t="s">
        <v>9</v>
      </c>
      <c r="C1603" s="9">
        <v>1925</v>
      </c>
      <c r="D1603" s="10">
        <v>45715</v>
      </c>
      <c r="E1603" s="11" t="str">
        <f>+HYPERLINK("http://trademark.i-assist.jp/data/china/image_1925th/82277104.pdf","82277104")</f>
        <v>82277104</v>
      </c>
      <c r="F1603" s="9" t="s">
        <v>4376</v>
      </c>
      <c r="G1603" s="9" t="s">
        <v>4377</v>
      </c>
      <c r="H1603" s="9" t="s">
        <v>4378</v>
      </c>
      <c r="I1603" s="10">
        <v>45625</v>
      </c>
    </row>
    <row r="1604" spans="1:9" x14ac:dyDescent="0.15">
      <c r="A1604" s="9">
        <v>1603</v>
      </c>
      <c r="B1604" s="9" t="s">
        <v>9</v>
      </c>
      <c r="C1604" s="9">
        <v>1925</v>
      </c>
      <c r="D1604" s="10">
        <v>45715</v>
      </c>
      <c r="E1604" s="11" t="str">
        <f>+HYPERLINK("http://trademark.i-assist.jp/data/china/image_1925th/82277461.pdf","82277461")</f>
        <v>82277461</v>
      </c>
      <c r="F1604" s="9" t="s">
        <v>4379</v>
      </c>
      <c r="G1604" s="9" t="s">
        <v>4380</v>
      </c>
      <c r="H1604" s="9" t="s">
        <v>4381</v>
      </c>
      <c r="I1604" s="10">
        <v>45625</v>
      </c>
    </row>
    <row r="1605" spans="1:9" x14ac:dyDescent="0.15">
      <c r="A1605" s="9">
        <v>1604</v>
      </c>
      <c r="B1605" s="9" t="s">
        <v>9</v>
      </c>
      <c r="C1605" s="9">
        <v>1925</v>
      </c>
      <c r="D1605" s="10">
        <v>45715</v>
      </c>
      <c r="E1605" s="11" t="str">
        <f>+HYPERLINK("http://trademark.i-assist.jp/data/china/image_1925th/82278008.pdf","82278008")</f>
        <v>82278008</v>
      </c>
      <c r="F1605" s="9" t="s">
        <v>4382</v>
      </c>
      <c r="G1605" s="12" t="s">
        <v>3871</v>
      </c>
      <c r="H1605" s="9" t="s">
        <v>4383</v>
      </c>
      <c r="I1605" s="10">
        <v>45625</v>
      </c>
    </row>
    <row r="1606" spans="1:9" x14ac:dyDescent="0.15">
      <c r="A1606" s="9">
        <v>1605</v>
      </c>
      <c r="B1606" s="9" t="s">
        <v>9</v>
      </c>
      <c r="C1606" s="9">
        <v>1925</v>
      </c>
      <c r="D1606" s="10">
        <v>45715</v>
      </c>
      <c r="E1606" s="11" t="str">
        <f>+HYPERLINK("http://trademark.i-assist.jp/data/china/image_1925th/82278009.pdf","82278009")</f>
        <v>82278009</v>
      </c>
      <c r="F1606" s="9" t="s">
        <v>4384</v>
      </c>
      <c r="G1606" s="9" t="s">
        <v>4322</v>
      </c>
      <c r="H1606" s="9" t="s">
        <v>4385</v>
      </c>
      <c r="I1606" s="10">
        <v>45625</v>
      </c>
    </row>
    <row r="1607" spans="1:9" x14ac:dyDescent="0.15">
      <c r="A1607" s="9">
        <v>1606</v>
      </c>
      <c r="B1607" s="9" t="s">
        <v>9</v>
      </c>
      <c r="C1607" s="9">
        <v>1925</v>
      </c>
      <c r="D1607" s="10">
        <v>45715</v>
      </c>
      <c r="E1607" s="11" t="str">
        <f>+HYPERLINK("http://trademark.i-assist.jp/data/china/image_1925th/82278168.pdf","82278168")</f>
        <v>82278168</v>
      </c>
      <c r="F1607" s="9" t="s">
        <v>4386</v>
      </c>
      <c r="G1607" s="9" t="s">
        <v>3884</v>
      </c>
      <c r="H1607" s="9" t="s">
        <v>4387</v>
      </c>
      <c r="I1607" s="10">
        <v>45626</v>
      </c>
    </row>
    <row r="1608" spans="1:9" x14ac:dyDescent="0.15">
      <c r="A1608" s="9">
        <v>1607</v>
      </c>
      <c r="B1608" s="9" t="s">
        <v>9</v>
      </c>
      <c r="C1608" s="9">
        <v>1925</v>
      </c>
      <c r="D1608" s="10">
        <v>45715</v>
      </c>
      <c r="E1608" s="11" t="str">
        <f>+HYPERLINK("http://trademark.i-assist.jp/data/china/image_1925th/82278339.pdf","82278339")</f>
        <v>82278339</v>
      </c>
      <c r="F1608" s="12" t="s">
        <v>57</v>
      </c>
      <c r="G1608" s="9" t="s">
        <v>4388</v>
      </c>
      <c r="H1608" s="9" t="s">
        <v>4389</v>
      </c>
      <c r="I1608" s="10">
        <v>45626</v>
      </c>
    </row>
    <row r="1609" spans="1:9" x14ac:dyDescent="0.15">
      <c r="A1609" s="9">
        <v>1608</v>
      </c>
      <c r="B1609" s="9" t="s">
        <v>9</v>
      </c>
      <c r="C1609" s="9">
        <v>1925</v>
      </c>
      <c r="D1609" s="10">
        <v>45715</v>
      </c>
      <c r="E1609" s="11" t="str">
        <f>+HYPERLINK("http://trademark.i-assist.jp/data/china/image_1925th/82278601.pdf","82278601")</f>
        <v>82278601</v>
      </c>
      <c r="F1609" s="9" t="s">
        <v>4390</v>
      </c>
      <c r="G1609" s="9" t="s">
        <v>4391</v>
      </c>
      <c r="H1609" s="9" t="s">
        <v>4392</v>
      </c>
      <c r="I1609" s="10">
        <v>45626</v>
      </c>
    </row>
    <row r="1610" spans="1:9" x14ac:dyDescent="0.15">
      <c r="A1610" s="9">
        <v>1609</v>
      </c>
      <c r="B1610" s="9" t="s">
        <v>9</v>
      </c>
      <c r="C1610" s="9">
        <v>1925</v>
      </c>
      <c r="D1610" s="10">
        <v>45715</v>
      </c>
      <c r="E1610" s="11" t="str">
        <f>+HYPERLINK("http://trademark.i-assist.jp/data/china/image_1925th/82278674.pdf","82278674")</f>
        <v>82278674</v>
      </c>
      <c r="F1610" s="12" t="s">
        <v>4393</v>
      </c>
      <c r="G1610" s="9" t="s">
        <v>4394</v>
      </c>
      <c r="H1610" s="9" t="s">
        <v>4395</v>
      </c>
      <c r="I1610" s="10">
        <v>45626</v>
      </c>
    </row>
    <row r="1611" spans="1:9" x14ac:dyDescent="0.15">
      <c r="A1611" s="9">
        <v>1610</v>
      </c>
      <c r="B1611" s="9" t="s">
        <v>9</v>
      </c>
      <c r="C1611" s="9">
        <v>1925</v>
      </c>
      <c r="D1611" s="10">
        <v>45715</v>
      </c>
      <c r="E1611" s="11" t="str">
        <f>+HYPERLINK("http://trademark.i-assist.jp/data/china/image_1925th/82278743.pdf","82278743")</f>
        <v>82278743</v>
      </c>
      <c r="F1611" s="9" t="s">
        <v>4396</v>
      </c>
      <c r="G1611" s="12" t="s">
        <v>4397</v>
      </c>
      <c r="H1611" s="9" t="s">
        <v>4398</v>
      </c>
      <c r="I1611" s="10">
        <v>45626</v>
      </c>
    </row>
    <row r="1612" spans="1:9" x14ac:dyDescent="0.15">
      <c r="A1612" s="9">
        <v>1611</v>
      </c>
      <c r="B1612" s="9" t="s">
        <v>9</v>
      </c>
      <c r="C1612" s="9">
        <v>1925</v>
      </c>
      <c r="D1612" s="10">
        <v>45715</v>
      </c>
      <c r="E1612" s="11" t="str">
        <f>+HYPERLINK("http://trademark.i-assist.jp/data/china/image_1925th/82278831.pdf","82278831")</f>
        <v>82278831</v>
      </c>
      <c r="F1612" s="12" t="s">
        <v>57</v>
      </c>
      <c r="G1612" s="9" t="s">
        <v>4399</v>
      </c>
      <c r="H1612" s="9" t="s">
        <v>4400</v>
      </c>
      <c r="I1612" s="10">
        <v>45626</v>
      </c>
    </row>
    <row r="1613" spans="1:9" x14ac:dyDescent="0.15">
      <c r="A1613" s="9">
        <v>1612</v>
      </c>
      <c r="B1613" s="9" t="s">
        <v>9</v>
      </c>
      <c r="C1613" s="9">
        <v>1925</v>
      </c>
      <c r="D1613" s="10">
        <v>45715</v>
      </c>
      <c r="E1613" s="11" t="str">
        <f>+HYPERLINK("http://trademark.i-assist.jp/data/china/image_1925th/82278991.pdf","82278991")</f>
        <v>82278991</v>
      </c>
      <c r="F1613" s="12" t="s">
        <v>4401</v>
      </c>
      <c r="G1613" s="9" t="s">
        <v>4402</v>
      </c>
      <c r="H1613" s="12" t="s">
        <v>4403</v>
      </c>
      <c r="I1613" s="10">
        <v>45626</v>
      </c>
    </row>
    <row r="1614" spans="1:9" x14ac:dyDescent="0.15">
      <c r="A1614" s="9">
        <v>1613</v>
      </c>
      <c r="B1614" s="9" t="s">
        <v>9</v>
      </c>
      <c r="C1614" s="9">
        <v>1925</v>
      </c>
      <c r="D1614" s="10">
        <v>45715</v>
      </c>
      <c r="E1614" s="11" t="str">
        <f>+HYPERLINK("http://trademark.i-assist.jp/data/china/image_1925th/82279000.pdf","82279000")</f>
        <v>82279000</v>
      </c>
      <c r="F1614" s="9" t="s">
        <v>4404</v>
      </c>
      <c r="G1614" s="9" t="s">
        <v>4405</v>
      </c>
      <c r="H1614" s="12" t="s">
        <v>4406</v>
      </c>
      <c r="I1614" s="10">
        <v>45626</v>
      </c>
    </row>
    <row r="1615" spans="1:9" x14ac:dyDescent="0.15">
      <c r="A1615" s="9">
        <v>1614</v>
      </c>
      <c r="B1615" s="9" t="s">
        <v>9</v>
      </c>
      <c r="C1615" s="9">
        <v>1925</v>
      </c>
      <c r="D1615" s="10">
        <v>45715</v>
      </c>
      <c r="E1615" s="11" t="str">
        <f>+HYPERLINK("http://trademark.i-assist.jp/data/china/image_1925th/82279099.pdf","82279099")</f>
        <v>82279099</v>
      </c>
      <c r="F1615" s="9" t="s">
        <v>4407</v>
      </c>
      <c r="G1615" s="9" t="s">
        <v>4408</v>
      </c>
      <c r="H1615" s="9" t="s">
        <v>4409</v>
      </c>
      <c r="I1615" s="10">
        <v>45626</v>
      </c>
    </row>
    <row r="1616" spans="1:9" x14ac:dyDescent="0.15">
      <c r="A1616" s="9">
        <v>1615</v>
      </c>
      <c r="B1616" s="9" t="s">
        <v>9</v>
      </c>
      <c r="C1616" s="9">
        <v>1925</v>
      </c>
      <c r="D1616" s="10">
        <v>45715</v>
      </c>
      <c r="E1616" s="11" t="str">
        <f>+HYPERLINK("http://trademark.i-assist.jp/data/china/image_1925th/82279261.pdf","82279261")</f>
        <v>82279261</v>
      </c>
      <c r="F1616" s="9" t="s">
        <v>4410</v>
      </c>
      <c r="G1616" s="9" t="s">
        <v>4411</v>
      </c>
      <c r="H1616" s="9" t="s">
        <v>4412</v>
      </c>
      <c r="I1616" s="10">
        <v>45626</v>
      </c>
    </row>
    <row r="1617" spans="1:9" x14ac:dyDescent="0.15">
      <c r="A1617" s="9">
        <v>1616</v>
      </c>
      <c r="B1617" s="9" t="s">
        <v>9</v>
      </c>
      <c r="C1617" s="9">
        <v>1925</v>
      </c>
      <c r="D1617" s="10">
        <v>45715</v>
      </c>
      <c r="E1617" s="11" t="str">
        <f>+HYPERLINK("http://trademark.i-assist.jp/data/china/image_1925th/82279298.pdf","82279298")</f>
        <v>82279298</v>
      </c>
      <c r="F1617" s="9" t="s">
        <v>4413</v>
      </c>
      <c r="G1617" s="9" t="s">
        <v>4414</v>
      </c>
      <c r="H1617" s="9" t="s">
        <v>4415</v>
      </c>
      <c r="I1617" s="10">
        <v>45626</v>
      </c>
    </row>
    <row r="1618" spans="1:9" x14ac:dyDescent="0.15">
      <c r="A1618" s="9">
        <v>1617</v>
      </c>
      <c r="B1618" s="9" t="s">
        <v>9</v>
      </c>
      <c r="C1618" s="9">
        <v>1925</v>
      </c>
      <c r="D1618" s="10">
        <v>45715</v>
      </c>
      <c r="E1618" s="11" t="str">
        <f>+HYPERLINK("http://trademark.i-assist.jp/data/china/image_1925th/82279480.pdf","82279480")</f>
        <v>82279480</v>
      </c>
      <c r="F1618" s="9" t="s">
        <v>4416</v>
      </c>
      <c r="G1618" s="9" t="s">
        <v>4417</v>
      </c>
      <c r="H1618" s="9" t="s">
        <v>4418</v>
      </c>
      <c r="I1618" s="10">
        <v>45626</v>
      </c>
    </row>
    <row r="1619" spans="1:9" x14ac:dyDescent="0.15">
      <c r="A1619" s="9">
        <v>1618</v>
      </c>
      <c r="B1619" s="9" t="s">
        <v>9</v>
      </c>
      <c r="C1619" s="9">
        <v>1925</v>
      </c>
      <c r="D1619" s="10">
        <v>45715</v>
      </c>
      <c r="E1619" s="11" t="str">
        <f>+HYPERLINK("http://trademark.i-assist.jp/data/china/image_1925th/82279488.pdf","82279488")</f>
        <v>82279488</v>
      </c>
      <c r="F1619" s="9" t="s">
        <v>4419</v>
      </c>
      <c r="G1619" s="9" t="s">
        <v>4420</v>
      </c>
      <c r="H1619" s="9" t="s">
        <v>4421</v>
      </c>
      <c r="I1619" s="10">
        <v>45626</v>
      </c>
    </row>
    <row r="1620" spans="1:9" x14ac:dyDescent="0.15">
      <c r="A1620" s="9">
        <v>1619</v>
      </c>
      <c r="B1620" s="9" t="s">
        <v>9</v>
      </c>
      <c r="C1620" s="9">
        <v>1925</v>
      </c>
      <c r="D1620" s="10">
        <v>45715</v>
      </c>
      <c r="E1620" s="11" t="str">
        <f>+HYPERLINK("http://trademark.i-assist.jp/data/china/image_1925th/82279798.pdf","82279798")</f>
        <v>82279798</v>
      </c>
      <c r="F1620" s="9" t="s">
        <v>4422</v>
      </c>
      <c r="G1620" s="12" t="s">
        <v>4423</v>
      </c>
      <c r="H1620" s="9" t="s">
        <v>4424</v>
      </c>
      <c r="I1620" s="10">
        <v>45626</v>
      </c>
    </row>
    <row r="1621" spans="1:9" x14ac:dyDescent="0.15">
      <c r="A1621" s="9">
        <v>1620</v>
      </c>
      <c r="B1621" s="9" t="s">
        <v>9</v>
      </c>
      <c r="C1621" s="9">
        <v>1925</v>
      </c>
      <c r="D1621" s="10">
        <v>45715</v>
      </c>
      <c r="E1621" s="11" t="str">
        <f>+HYPERLINK("http://trademark.i-assist.jp/data/china/image_1925th/82279828.pdf","82279828")</f>
        <v>82279828</v>
      </c>
      <c r="F1621" s="9" t="s">
        <v>4425</v>
      </c>
      <c r="G1621" s="9" t="s">
        <v>4408</v>
      </c>
      <c r="H1621" s="9" t="s">
        <v>4426</v>
      </c>
      <c r="I1621" s="10">
        <v>45626</v>
      </c>
    </row>
    <row r="1622" spans="1:9" x14ac:dyDescent="0.15">
      <c r="A1622" s="9">
        <v>1621</v>
      </c>
      <c r="B1622" s="9" t="s">
        <v>9</v>
      </c>
      <c r="C1622" s="9">
        <v>1925</v>
      </c>
      <c r="D1622" s="10">
        <v>45715</v>
      </c>
      <c r="E1622" s="11" t="str">
        <f>+HYPERLINK("http://trademark.i-assist.jp/data/china/image_1925th/82279838.pdf","82279838")</f>
        <v>82279838</v>
      </c>
      <c r="F1622" s="9" t="s">
        <v>4427</v>
      </c>
      <c r="G1622" s="9" t="s">
        <v>4428</v>
      </c>
      <c r="H1622" s="9" t="s">
        <v>4429</v>
      </c>
      <c r="I1622" s="10">
        <v>45626</v>
      </c>
    </row>
    <row r="1623" spans="1:9" x14ac:dyDescent="0.15">
      <c r="A1623" s="9">
        <v>1622</v>
      </c>
      <c r="B1623" s="9" t="s">
        <v>9</v>
      </c>
      <c r="C1623" s="9">
        <v>1925</v>
      </c>
      <c r="D1623" s="10">
        <v>45715</v>
      </c>
      <c r="E1623" s="11" t="str">
        <f>+HYPERLINK("http://trademark.i-assist.jp/data/china/image_1925th/82279963.pdf","82279963")</f>
        <v>82279963</v>
      </c>
      <c r="F1623" s="12" t="s">
        <v>4430</v>
      </c>
      <c r="G1623" s="9" t="s">
        <v>3981</v>
      </c>
      <c r="H1623" s="9" t="s">
        <v>4431</v>
      </c>
      <c r="I1623" s="10">
        <v>45626</v>
      </c>
    </row>
    <row r="1624" spans="1:9" x14ac:dyDescent="0.15">
      <c r="A1624" s="9">
        <v>1623</v>
      </c>
      <c r="B1624" s="9" t="s">
        <v>9</v>
      </c>
      <c r="C1624" s="9">
        <v>1925</v>
      </c>
      <c r="D1624" s="10">
        <v>45715</v>
      </c>
      <c r="E1624" s="11" t="str">
        <f>+HYPERLINK("http://trademark.i-assist.jp/data/china/image_1925th/82279966.pdf","82279966")</f>
        <v>82279966</v>
      </c>
      <c r="F1624" s="9" t="s">
        <v>4432</v>
      </c>
      <c r="G1624" s="9" t="s">
        <v>3981</v>
      </c>
      <c r="H1624" s="9" t="s">
        <v>4433</v>
      </c>
      <c r="I1624" s="10">
        <v>45626</v>
      </c>
    </row>
    <row r="1625" spans="1:9" x14ac:dyDescent="0.15">
      <c r="A1625" s="9">
        <v>1624</v>
      </c>
      <c r="B1625" s="9" t="s">
        <v>9</v>
      </c>
      <c r="C1625" s="9">
        <v>1925</v>
      </c>
      <c r="D1625" s="10">
        <v>45715</v>
      </c>
      <c r="E1625" s="11" t="str">
        <f>+HYPERLINK("http://trademark.i-assist.jp/data/china/image_1925th/82280229.pdf","82280229")</f>
        <v>82280229</v>
      </c>
      <c r="F1625" s="9" t="s">
        <v>4434</v>
      </c>
      <c r="G1625" s="9" t="s">
        <v>4435</v>
      </c>
      <c r="H1625" s="9" t="s">
        <v>4436</v>
      </c>
      <c r="I1625" s="10">
        <v>45626</v>
      </c>
    </row>
    <row r="1626" spans="1:9" x14ac:dyDescent="0.15">
      <c r="A1626" s="9">
        <v>1625</v>
      </c>
      <c r="B1626" s="9" t="s">
        <v>9</v>
      </c>
      <c r="C1626" s="9">
        <v>1925</v>
      </c>
      <c r="D1626" s="10">
        <v>45715</v>
      </c>
      <c r="E1626" s="11" t="str">
        <f>+HYPERLINK("http://trademark.i-assist.jp/data/china/image_1925th/82280246.pdf","82280246")</f>
        <v>82280246</v>
      </c>
      <c r="F1626" s="9" t="s">
        <v>4437</v>
      </c>
      <c r="G1626" s="9" t="s">
        <v>4438</v>
      </c>
      <c r="H1626" s="9" t="s">
        <v>10</v>
      </c>
      <c r="I1626" s="10">
        <v>45626</v>
      </c>
    </row>
    <row r="1627" spans="1:9" x14ac:dyDescent="0.15">
      <c r="A1627" s="9">
        <v>1626</v>
      </c>
      <c r="B1627" s="9" t="s">
        <v>9</v>
      </c>
      <c r="C1627" s="9">
        <v>1925</v>
      </c>
      <c r="D1627" s="10">
        <v>45715</v>
      </c>
      <c r="E1627" s="11" t="str">
        <f>+HYPERLINK("http://trademark.i-assist.jp/data/china/image_1925th/82280303.pdf","82280303")</f>
        <v>82280303</v>
      </c>
      <c r="F1627" s="9" t="s">
        <v>4439</v>
      </c>
      <c r="G1627" s="12" t="s">
        <v>4440</v>
      </c>
      <c r="H1627" s="9" t="s">
        <v>4441</v>
      </c>
      <c r="I1627" s="10">
        <v>45626</v>
      </c>
    </row>
    <row r="1628" spans="1:9" x14ac:dyDescent="0.15">
      <c r="A1628" s="9">
        <v>1627</v>
      </c>
      <c r="B1628" s="9" t="s">
        <v>9</v>
      </c>
      <c r="C1628" s="9">
        <v>1925</v>
      </c>
      <c r="D1628" s="10">
        <v>45715</v>
      </c>
      <c r="E1628" s="11" t="str">
        <f>+HYPERLINK("http://trademark.i-assist.jp/data/china/image_1925th/82280481.pdf","82280481")</f>
        <v>82280481</v>
      </c>
      <c r="F1628" s="9" t="s">
        <v>4442</v>
      </c>
      <c r="G1628" s="9" t="s">
        <v>21</v>
      </c>
      <c r="H1628" s="9" t="s">
        <v>4443</v>
      </c>
      <c r="I1628" s="10">
        <v>45626</v>
      </c>
    </row>
    <row r="1629" spans="1:9" x14ac:dyDescent="0.15">
      <c r="A1629" s="9">
        <v>1628</v>
      </c>
      <c r="B1629" s="9" t="s">
        <v>9</v>
      </c>
      <c r="C1629" s="9">
        <v>1925</v>
      </c>
      <c r="D1629" s="10">
        <v>45715</v>
      </c>
      <c r="E1629" s="11" t="str">
        <f>+HYPERLINK("http://trademark.i-assist.jp/data/china/image_1925th/82280615.pdf","82280615")</f>
        <v>82280615</v>
      </c>
      <c r="F1629" s="9" t="s">
        <v>4444</v>
      </c>
      <c r="G1629" s="9" t="s">
        <v>4445</v>
      </c>
      <c r="H1629" s="9" t="s">
        <v>4446</v>
      </c>
      <c r="I1629" s="10">
        <v>45626</v>
      </c>
    </row>
    <row r="1630" spans="1:9" x14ac:dyDescent="0.15">
      <c r="A1630" s="9">
        <v>1629</v>
      </c>
      <c r="B1630" s="9" t="s">
        <v>9</v>
      </c>
      <c r="C1630" s="9">
        <v>1925</v>
      </c>
      <c r="D1630" s="10">
        <v>45715</v>
      </c>
      <c r="E1630" s="11" t="str">
        <f>+HYPERLINK("http://trademark.i-assist.jp/data/china/image_1925th/82280901.pdf","82280901")</f>
        <v>82280901</v>
      </c>
      <c r="F1630" s="12" t="s">
        <v>4447</v>
      </c>
      <c r="G1630" s="9" t="s">
        <v>4107</v>
      </c>
      <c r="H1630" s="9" t="s">
        <v>4448</v>
      </c>
      <c r="I1630" s="10">
        <v>45626</v>
      </c>
    </row>
    <row r="1631" spans="1:9" x14ac:dyDescent="0.15">
      <c r="A1631" s="9">
        <v>1630</v>
      </c>
      <c r="B1631" s="9" t="s">
        <v>9</v>
      </c>
      <c r="C1631" s="9">
        <v>1925</v>
      </c>
      <c r="D1631" s="10">
        <v>45715</v>
      </c>
      <c r="E1631" s="11" t="str">
        <f>+HYPERLINK("http://trademark.i-assist.jp/data/china/image_1925th/82280922.pdf","82280922")</f>
        <v>82280922</v>
      </c>
      <c r="F1631" s="9" t="s">
        <v>4449</v>
      </c>
      <c r="G1631" s="9" t="s">
        <v>3981</v>
      </c>
      <c r="H1631" s="9" t="s">
        <v>4450</v>
      </c>
      <c r="I1631" s="10">
        <v>45626</v>
      </c>
    </row>
    <row r="1632" spans="1:9" x14ac:dyDescent="0.15">
      <c r="A1632" s="9">
        <v>1631</v>
      </c>
      <c r="B1632" s="9" t="s">
        <v>9</v>
      </c>
      <c r="C1632" s="9">
        <v>1925</v>
      </c>
      <c r="D1632" s="10">
        <v>45715</v>
      </c>
      <c r="E1632" s="11" t="str">
        <f>+HYPERLINK("http://trademark.i-assist.jp/data/china/image_1925th/82281136.pdf","82281136")</f>
        <v>82281136</v>
      </c>
      <c r="F1632" s="9" t="s">
        <v>4451</v>
      </c>
      <c r="G1632" s="9" t="s">
        <v>4452</v>
      </c>
      <c r="H1632" s="9" t="s">
        <v>4453</v>
      </c>
      <c r="I1632" s="10">
        <v>45626</v>
      </c>
    </row>
    <row r="1633" spans="1:9" x14ac:dyDescent="0.15">
      <c r="A1633" s="9">
        <v>1632</v>
      </c>
      <c r="B1633" s="9" t="s">
        <v>9</v>
      </c>
      <c r="C1633" s="9">
        <v>1925</v>
      </c>
      <c r="D1633" s="10">
        <v>45715</v>
      </c>
      <c r="E1633" s="11" t="str">
        <f>+HYPERLINK("http://trademark.i-assist.jp/data/china/image_1925th/82281540.pdf","82281540")</f>
        <v>82281540</v>
      </c>
      <c r="F1633" s="9" t="s">
        <v>4454</v>
      </c>
      <c r="G1633" s="9" t="s">
        <v>4455</v>
      </c>
      <c r="H1633" s="9" t="s">
        <v>4456</v>
      </c>
      <c r="I1633" s="10">
        <v>45626</v>
      </c>
    </row>
    <row r="1634" spans="1:9" x14ac:dyDescent="0.15">
      <c r="A1634" s="9">
        <v>1633</v>
      </c>
      <c r="B1634" s="9" t="s">
        <v>9</v>
      </c>
      <c r="C1634" s="9">
        <v>1925</v>
      </c>
      <c r="D1634" s="10">
        <v>45715</v>
      </c>
      <c r="E1634" s="11" t="str">
        <f>+HYPERLINK("http://trademark.i-assist.jp/data/china/image_1925th/82281778.pdf","82281778")</f>
        <v>82281778</v>
      </c>
      <c r="F1634" s="9" t="s">
        <v>4457</v>
      </c>
      <c r="G1634" s="9" t="s">
        <v>4458</v>
      </c>
      <c r="H1634" s="9" t="s">
        <v>4459</v>
      </c>
      <c r="I1634" s="10">
        <v>45626</v>
      </c>
    </row>
    <row r="1635" spans="1:9" x14ac:dyDescent="0.15">
      <c r="A1635" s="9">
        <v>1634</v>
      </c>
      <c r="B1635" s="9" t="s">
        <v>9</v>
      </c>
      <c r="C1635" s="9">
        <v>1925</v>
      </c>
      <c r="D1635" s="10">
        <v>45715</v>
      </c>
      <c r="E1635" s="11" t="str">
        <f>+HYPERLINK("http://trademark.i-assist.jp/data/china/image_1925th/82281802.pdf","82281802")</f>
        <v>82281802</v>
      </c>
      <c r="F1635" s="9" t="s">
        <v>4460</v>
      </c>
      <c r="G1635" s="9" t="s">
        <v>4461</v>
      </c>
      <c r="H1635" s="9" t="s">
        <v>4462</v>
      </c>
      <c r="I1635" s="10">
        <v>45626</v>
      </c>
    </row>
    <row r="1636" spans="1:9" x14ac:dyDescent="0.15">
      <c r="A1636" s="9">
        <v>1635</v>
      </c>
      <c r="B1636" s="9" t="s">
        <v>9</v>
      </c>
      <c r="C1636" s="9">
        <v>1925</v>
      </c>
      <c r="D1636" s="10">
        <v>45715</v>
      </c>
      <c r="E1636" s="11" t="str">
        <f>+HYPERLINK("http://trademark.i-assist.jp/data/china/image_1925th/82281885.pdf","82281885")</f>
        <v>82281885</v>
      </c>
      <c r="F1636" s="9" t="s">
        <v>4463</v>
      </c>
      <c r="G1636" s="9" t="s">
        <v>21</v>
      </c>
      <c r="H1636" s="9" t="s">
        <v>4464</v>
      </c>
      <c r="I1636" s="10">
        <v>45626</v>
      </c>
    </row>
    <row r="1637" spans="1:9" x14ac:dyDescent="0.15">
      <c r="A1637" s="9">
        <v>1636</v>
      </c>
      <c r="B1637" s="9" t="s">
        <v>9</v>
      </c>
      <c r="C1637" s="9">
        <v>1925</v>
      </c>
      <c r="D1637" s="10">
        <v>45715</v>
      </c>
      <c r="E1637" s="11" t="str">
        <f>+HYPERLINK("http://trademark.i-assist.jp/data/china/image_1925th/82282859.pdf","82282859")</f>
        <v>82282859</v>
      </c>
      <c r="F1637" s="9" t="s">
        <v>4465</v>
      </c>
      <c r="G1637" s="9" t="s">
        <v>4466</v>
      </c>
      <c r="H1637" s="9" t="s">
        <v>4467</v>
      </c>
      <c r="I1637" s="10">
        <v>45626</v>
      </c>
    </row>
    <row r="1638" spans="1:9" x14ac:dyDescent="0.15">
      <c r="A1638" s="9">
        <v>1637</v>
      </c>
      <c r="B1638" s="9" t="s">
        <v>9</v>
      </c>
      <c r="C1638" s="9">
        <v>1925</v>
      </c>
      <c r="D1638" s="10">
        <v>45715</v>
      </c>
      <c r="E1638" s="11" t="str">
        <f>+HYPERLINK("http://trademark.i-assist.jp/data/china/image_1925th/82282891.pdf","82282891")</f>
        <v>82282891</v>
      </c>
      <c r="F1638" s="12" t="s">
        <v>4468</v>
      </c>
      <c r="G1638" s="9" t="s">
        <v>4469</v>
      </c>
      <c r="H1638" s="9" t="s">
        <v>4470</v>
      </c>
      <c r="I1638" s="10">
        <v>45626</v>
      </c>
    </row>
    <row r="1639" spans="1:9" x14ac:dyDescent="0.15">
      <c r="A1639" s="9">
        <v>1638</v>
      </c>
      <c r="B1639" s="9" t="s">
        <v>9</v>
      </c>
      <c r="C1639" s="9">
        <v>1925</v>
      </c>
      <c r="D1639" s="10">
        <v>45715</v>
      </c>
      <c r="E1639" s="11" t="str">
        <f>+HYPERLINK("http://trademark.i-assist.jp/data/china/image_1925th/82283197.pdf","82283197")</f>
        <v>82283197</v>
      </c>
      <c r="F1639" s="9" t="s">
        <v>4471</v>
      </c>
      <c r="G1639" s="9" t="s">
        <v>4472</v>
      </c>
      <c r="H1639" s="12" t="s">
        <v>4473</v>
      </c>
      <c r="I1639" s="10">
        <v>45626</v>
      </c>
    </row>
    <row r="1640" spans="1:9" x14ac:dyDescent="0.15">
      <c r="A1640" s="9">
        <v>1639</v>
      </c>
      <c r="B1640" s="9" t="s">
        <v>9</v>
      </c>
      <c r="C1640" s="9">
        <v>1925</v>
      </c>
      <c r="D1640" s="10">
        <v>45715</v>
      </c>
      <c r="E1640" s="11" t="str">
        <f>+HYPERLINK("http://trademark.i-assist.jp/data/china/image_1925th/82283271.pdf","82283271")</f>
        <v>82283271</v>
      </c>
      <c r="F1640" s="9" t="s">
        <v>4474</v>
      </c>
      <c r="G1640" s="9" t="s">
        <v>4408</v>
      </c>
      <c r="H1640" s="9" t="s">
        <v>4475</v>
      </c>
      <c r="I1640" s="10">
        <v>45626</v>
      </c>
    </row>
    <row r="1641" spans="1:9" x14ac:dyDescent="0.15">
      <c r="A1641" s="9">
        <v>1640</v>
      </c>
      <c r="B1641" s="9" t="s">
        <v>9</v>
      </c>
      <c r="C1641" s="9">
        <v>1925</v>
      </c>
      <c r="D1641" s="10">
        <v>45715</v>
      </c>
      <c r="E1641" s="11" t="str">
        <f>+HYPERLINK("http://trademark.i-assist.jp/data/china/image_1925th/82283419.pdf","82283419")</f>
        <v>82283419</v>
      </c>
      <c r="F1641" s="9" t="s">
        <v>4476</v>
      </c>
      <c r="G1641" s="9" t="s">
        <v>4408</v>
      </c>
      <c r="H1641" s="9" t="s">
        <v>4477</v>
      </c>
      <c r="I1641" s="10">
        <v>45626</v>
      </c>
    </row>
    <row r="1642" spans="1:9" x14ac:dyDescent="0.15">
      <c r="A1642" s="9">
        <v>1641</v>
      </c>
      <c r="B1642" s="9" t="s">
        <v>9</v>
      </c>
      <c r="C1642" s="9">
        <v>1925</v>
      </c>
      <c r="D1642" s="10">
        <v>45715</v>
      </c>
      <c r="E1642" s="11" t="str">
        <f>+HYPERLINK("http://trademark.i-assist.jp/data/china/image_1925th/82283532.pdf","82283532")</f>
        <v>82283532</v>
      </c>
      <c r="F1642" s="9" t="s">
        <v>4478</v>
      </c>
      <c r="G1642" s="9" t="s">
        <v>3884</v>
      </c>
      <c r="H1642" s="9" t="s">
        <v>4479</v>
      </c>
      <c r="I1642" s="10">
        <v>45626</v>
      </c>
    </row>
    <row r="1643" spans="1:9" x14ac:dyDescent="0.15">
      <c r="A1643" s="9">
        <v>1642</v>
      </c>
      <c r="B1643" s="9" t="s">
        <v>9</v>
      </c>
      <c r="C1643" s="9">
        <v>1925</v>
      </c>
      <c r="D1643" s="10">
        <v>45715</v>
      </c>
      <c r="E1643" s="11" t="str">
        <f>+HYPERLINK("http://trademark.i-assist.jp/data/china/image_1925th/82283666.pdf","82283666")</f>
        <v>82283666</v>
      </c>
      <c r="F1643" s="9" t="s">
        <v>4480</v>
      </c>
      <c r="G1643" s="9" t="s">
        <v>4481</v>
      </c>
      <c r="H1643" s="9" t="s">
        <v>4482</v>
      </c>
      <c r="I1643" s="10">
        <v>45626</v>
      </c>
    </row>
    <row r="1644" spans="1:9" x14ac:dyDescent="0.15">
      <c r="A1644" s="9">
        <v>1643</v>
      </c>
      <c r="B1644" s="9" t="s">
        <v>9</v>
      </c>
      <c r="C1644" s="9">
        <v>1925</v>
      </c>
      <c r="D1644" s="10">
        <v>45715</v>
      </c>
      <c r="E1644" s="11" t="str">
        <f>+HYPERLINK("http://trademark.i-assist.jp/data/china/image_1925th/82283763.pdf","82283763")</f>
        <v>82283763</v>
      </c>
      <c r="F1644" s="9" t="s">
        <v>4483</v>
      </c>
      <c r="G1644" s="9" t="s">
        <v>4484</v>
      </c>
      <c r="H1644" s="9" t="s">
        <v>4485</v>
      </c>
      <c r="I1644" s="10">
        <v>45626</v>
      </c>
    </row>
    <row r="1645" spans="1:9" x14ac:dyDescent="0.15">
      <c r="A1645" s="9">
        <v>1644</v>
      </c>
      <c r="B1645" s="9" t="s">
        <v>9</v>
      </c>
      <c r="C1645" s="9">
        <v>1925</v>
      </c>
      <c r="D1645" s="10">
        <v>45715</v>
      </c>
      <c r="E1645" s="11" t="str">
        <f>+HYPERLINK("http://trademark.i-assist.jp/data/china/image_1925th/82284085.pdf","82284085")</f>
        <v>82284085</v>
      </c>
      <c r="F1645" s="9" t="s">
        <v>4486</v>
      </c>
      <c r="G1645" s="12" t="s">
        <v>4487</v>
      </c>
      <c r="H1645" s="9" t="s">
        <v>4488</v>
      </c>
      <c r="I1645" s="10">
        <v>45626</v>
      </c>
    </row>
    <row r="1646" spans="1:9" x14ac:dyDescent="0.15">
      <c r="A1646" s="9">
        <v>1645</v>
      </c>
      <c r="B1646" s="9" t="s">
        <v>9</v>
      </c>
      <c r="C1646" s="9">
        <v>1925</v>
      </c>
      <c r="D1646" s="10">
        <v>45715</v>
      </c>
      <c r="E1646" s="11" t="str">
        <f>+HYPERLINK("http://trademark.i-assist.jp/data/china/image_1925th/82284248.pdf","82284248")</f>
        <v>82284248</v>
      </c>
      <c r="F1646" s="9" t="s">
        <v>4489</v>
      </c>
      <c r="G1646" s="9" t="s">
        <v>4490</v>
      </c>
      <c r="H1646" s="9" t="s">
        <v>4491</v>
      </c>
      <c r="I1646" s="10">
        <v>45626</v>
      </c>
    </row>
    <row r="1647" spans="1:9" x14ac:dyDescent="0.15">
      <c r="A1647" s="9">
        <v>1646</v>
      </c>
      <c r="B1647" s="9" t="s">
        <v>9</v>
      </c>
      <c r="C1647" s="9">
        <v>1925</v>
      </c>
      <c r="D1647" s="10">
        <v>45715</v>
      </c>
      <c r="E1647" s="11" t="str">
        <f>+HYPERLINK("http://trademark.i-assist.jp/data/china/image_1925th/82284505.pdf","82284505")</f>
        <v>82284505</v>
      </c>
      <c r="F1647" s="9" t="s">
        <v>4492</v>
      </c>
      <c r="G1647" s="9" t="s">
        <v>4493</v>
      </c>
      <c r="H1647" s="9" t="s">
        <v>4494</v>
      </c>
      <c r="I1647" s="10">
        <v>45626</v>
      </c>
    </row>
    <row r="1648" spans="1:9" x14ac:dyDescent="0.15">
      <c r="A1648" s="9">
        <v>1647</v>
      </c>
      <c r="B1648" s="9" t="s">
        <v>9</v>
      </c>
      <c r="C1648" s="9">
        <v>1925</v>
      </c>
      <c r="D1648" s="10">
        <v>45715</v>
      </c>
      <c r="E1648" s="11" t="str">
        <f>+HYPERLINK("http://trademark.i-assist.jp/data/china/image_1925th/82284527.pdf","82284527")</f>
        <v>82284527</v>
      </c>
      <c r="F1648" s="9" t="s">
        <v>4495</v>
      </c>
      <c r="G1648" s="9" t="s">
        <v>4472</v>
      </c>
      <c r="H1648" s="9" t="s">
        <v>4496</v>
      </c>
      <c r="I1648" s="10">
        <v>45626</v>
      </c>
    </row>
    <row r="1649" spans="1:9" x14ac:dyDescent="0.15">
      <c r="A1649" s="9">
        <v>1648</v>
      </c>
      <c r="B1649" s="9" t="s">
        <v>9</v>
      </c>
      <c r="C1649" s="9">
        <v>1925</v>
      </c>
      <c r="D1649" s="10">
        <v>45715</v>
      </c>
      <c r="E1649" s="11" t="str">
        <f>+HYPERLINK("http://trademark.i-assist.jp/data/china/image_1925th/82284731.pdf","82284731")</f>
        <v>82284731</v>
      </c>
      <c r="F1649" s="9" t="s">
        <v>4497</v>
      </c>
      <c r="G1649" s="9" t="s">
        <v>4498</v>
      </c>
      <c r="H1649" s="9" t="s">
        <v>4499</v>
      </c>
      <c r="I1649" s="10">
        <v>45626</v>
      </c>
    </row>
    <row r="1650" spans="1:9" x14ac:dyDescent="0.15">
      <c r="A1650" s="9">
        <v>1649</v>
      </c>
      <c r="B1650" s="9" t="s">
        <v>9</v>
      </c>
      <c r="C1650" s="9">
        <v>1925</v>
      </c>
      <c r="D1650" s="10">
        <v>45715</v>
      </c>
      <c r="E1650" s="11" t="str">
        <f>+HYPERLINK("http://trademark.i-assist.jp/data/china/image_1925th/82284828.pdf","82284828")</f>
        <v>82284828</v>
      </c>
      <c r="F1650" s="12" t="s">
        <v>57</v>
      </c>
      <c r="G1650" s="9" t="s">
        <v>4500</v>
      </c>
      <c r="H1650" s="9" t="s">
        <v>4501</v>
      </c>
      <c r="I1650" s="10">
        <v>45626</v>
      </c>
    </row>
    <row r="1651" spans="1:9" x14ac:dyDescent="0.15">
      <c r="A1651" s="9">
        <v>1650</v>
      </c>
      <c r="B1651" s="9" t="s">
        <v>9</v>
      </c>
      <c r="C1651" s="9">
        <v>1925</v>
      </c>
      <c r="D1651" s="10">
        <v>45715</v>
      </c>
      <c r="E1651" s="11" t="str">
        <f>+HYPERLINK("http://trademark.i-assist.jp/data/china/image_1925th/82284913.pdf","82284913")</f>
        <v>82284913</v>
      </c>
      <c r="F1651" s="12" t="s">
        <v>4502</v>
      </c>
      <c r="G1651" s="9" t="s">
        <v>4394</v>
      </c>
      <c r="H1651" s="9" t="s">
        <v>4503</v>
      </c>
      <c r="I1651" s="10">
        <v>45626</v>
      </c>
    </row>
    <row r="1652" spans="1:9" x14ac:dyDescent="0.15">
      <c r="A1652" s="9">
        <v>1651</v>
      </c>
      <c r="B1652" s="9" t="s">
        <v>9</v>
      </c>
      <c r="C1652" s="9">
        <v>1925</v>
      </c>
      <c r="D1652" s="10">
        <v>45715</v>
      </c>
      <c r="E1652" s="11" t="str">
        <f>+HYPERLINK("http://trademark.i-assist.jp/data/china/image_1925th/82285158.pdf","82285158")</f>
        <v>82285158</v>
      </c>
      <c r="F1652" s="9" t="s">
        <v>4504</v>
      </c>
      <c r="G1652" s="12" t="s">
        <v>4505</v>
      </c>
      <c r="H1652" s="9" t="s">
        <v>4506</v>
      </c>
      <c r="I1652" s="10">
        <v>45627</v>
      </c>
    </row>
    <row r="1653" spans="1:9" x14ac:dyDescent="0.15">
      <c r="A1653" s="9">
        <v>1652</v>
      </c>
      <c r="B1653" s="9" t="s">
        <v>9</v>
      </c>
      <c r="C1653" s="9">
        <v>1925</v>
      </c>
      <c r="D1653" s="10">
        <v>45715</v>
      </c>
      <c r="E1653" s="11" t="str">
        <f>+HYPERLINK("http://trademark.i-assist.jp/data/china/image_1925th/82285245.pdf","82285245")</f>
        <v>82285245</v>
      </c>
      <c r="F1653" s="12" t="s">
        <v>4507</v>
      </c>
      <c r="G1653" s="9" t="s">
        <v>4508</v>
      </c>
      <c r="H1653" s="9" t="s">
        <v>4509</v>
      </c>
      <c r="I1653" s="10">
        <v>45627</v>
      </c>
    </row>
    <row r="1654" spans="1:9" x14ac:dyDescent="0.15">
      <c r="A1654" s="9">
        <v>1653</v>
      </c>
      <c r="B1654" s="9" t="s">
        <v>9</v>
      </c>
      <c r="C1654" s="9">
        <v>1925</v>
      </c>
      <c r="D1654" s="10">
        <v>45715</v>
      </c>
      <c r="E1654" s="11" t="str">
        <f>+HYPERLINK("http://trademark.i-assist.jp/data/china/image_1925th/82285397.pdf","82285397")</f>
        <v>82285397</v>
      </c>
      <c r="F1654" s="9" t="s">
        <v>4510</v>
      </c>
      <c r="G1654" s="9" t="s">
        <v>4511</v>
      </c>
      <c r="H1654" s="9" t="s">
        <v>4512</v>
      </c>
      <c r="I1654" s="10">
        <v>45627</v>
      </c>
    </row>
    <row r="1655" spans="1:9" x14ac:dyDescent="0.15">
      <c r="A1655" s="9">
        <v>1654</v>
      </c>
      <c r="B1655" s="9" t="s">
        <v>9</v>
      </c>
      <c r="C1655" s="9">
        <v>1925</v>
      </c>
      <c r="D1655" s="10">
        <v>45715</v>
      </c>
      <c r="E1655" s="11" t="str">
        <f>+HYPERLINK("http://trademark.i-assist.jp/data/china/image_1925th/82285569.pdf","82285569")</f>
        <v>82285569</v>
      </c>
      <c r="F1655" s="12" t="s">
        <v>4513</v>
      </c>
      <c r="G1655" s="9" t="s">
        <v>4514</v>
      </c>
      <c r="H1655" s="9" t="s">
        <v>4515</v>
      </c>
      <c r="I1655" s="10">
        <v>45627</v>
      </c>
    </row>
    <row r="1656" spans="1:9" x14ac:dyDescent="0.15">
      <c r="A1656" s="9">
        <v>1655</v>
      </c>
      <c r="B1656" s="9" t="s">
        <v>9</v>
      </c>
      <c r="C1656" s="9">
        <v>1925</v>
      </c>
      <c r="D1656" s="10">
        <v>45715</v>
      </c>
      <c r="E1656" s="11" t="str">
        <f>+HYPERLINK("http://trademark.i-assist.jp/data/china/image_1925th/82285926.pdf","82285926")</f>
        <v>82285926</v>
      </c>
      <c r="F1656" s="9" t="s">
        <v>4516</v>
      </c>
      <c r="G1656" s="9" t="s">
        <v>4511</v>
      </c>
      <c r="H1656" s="9" t="s">
        <v>4517</v>
      </c>
      <c r="I1656" s="10">
        <v>45627</v>
      </c>
    </row>
    <row r="1657" spans="1:9" x14ac:dyDescent="0.15">
      <c r="A1657" s="9">
        <v>1656</v>
      </c>
      <c r="B1657" s="9" t="s">
        <v>9</v>
      </c>
      <c r="C1657" s="9">
        <v>1925</v>
      </c>
      <c r="D1657" s="10">
        <v>45715</v>
      </c>
      <c r="E1657" s="11" t="str">
        <f>+HYPERLINK("http://trademark.i-assist.jp/data/china/image_1925th/82286163.pdf","82286163")</f>
        <v>82286163</v>
      </c>
      <c r="F1657" s="12" t="s">
        <v>4518</v>
      </c>
      <c r="G1657" s="9" t="s">
        <v>4519</v>
      </c>
      <c r="H1657" s="9" t="s">
        <v>4520</v>
      </c>
      <c r="I1657" s="10">
        <v>45627</v>
      </c>
    </row>
    <row r="1658" spans="1:9" x14ac:dyDescent="0.15">
      <c r="A1658" s="9">
        <v>1657</v>
      </c>
      <c r="B1658" s="9" t="s">
        <v>9</v>
      </c>
      <c r="C1658" s="9">
        <v>1925</v>
      </c>
      <c r="D1658" s="10">
        <v>45715</v>
      </c>
      <c r="E1658" s="11" t="str">
        <f>+HYPERLINK("http://trademark.i-assist.jp/data/china/image_1925th/82286245.pdf","82286245")</f>
        <v>82286245</v>
      </c>
      <c r="F1658" s="9" t="s">
        <v>4521</v>
      </c>
      <c r="G1658" s="9" t="s">
        <v>4522</v>
      </c>
      <c r="H1658" s="9" t="s">
        <v>4523</v>
      </c>
      <c r="I1658" s="10">
        <v>45627</v>
      </c>
    </row>
    <row r="1659" spans="1:9" x14ac:dyDescent="0.15">
      <c r="A1659" s="9">
        <v>1658</v>
      </c>
      <c r="B1659" s="9" t="s">
        <v>9</v>
      </c>
      <c r="C1659" s="9">
        <v>1925</v>
      </c>
      <c r="D1659" s="10">
        <v>45715</v>
      </c>
      <c r="E1659" s="11" t="str">
        <f>+HYPERLINK("http://trademark.i-assist.jp/data/china/image_1925th/82286246.pdf","82286246")</f>
        <v>82286246</v>
      </c>
      <c r="F1659" s="9" t="s">
        <v>4524</v>
      </c>
      <c r="G1659" s="9" t="s">
        <v>4522</v>
      </c>
      <c r="H1659" s="9" t="s">
        <v>4525</v>
      </c>
      <c r="I1659" s="10">
        <v>45627</v>
      </c>
    </row>
    <row r="1660" spans="1:9" x14ac:dyDescent="0.15">
      <c r="A1660" s="9">
        <v>1659</v>
      </c>
      <c r="B1660" s="9" t="s">
        <v>9</v>
      </c>
      <c r="C1660" s="9">
        <v>1925</v>
      </c>
      <c r="D1660" s="10">
        <v>45715</v>
      </c>
      <c r="E1660" s="11" t="str">
        <f>+HYPERLINK("http://trademark.i-assist.jp/data/china/image_1925th/82286851.pdf","82286851")</f>
        <v>82286851</v>
      </c>
      <c r="F1660" s="12" t="s">
        <v>57</v>
      </c>
      <c r="G1660" s="9" t="s">
        <v>4526</v>
      </c>
      <c r="H1660" s="9" t="s">
        <v>4527</v>
      </c>
      <c r="I1660" s="10">
        <v>45627</v>
      </c>
    </row>
    <row r="1661" spans="1:9" x14ac:dyDescent="0.15">
      <c r="A1661" s="9">
        <v>1660</v>
      </c>
      <c r="B1661" s="9" t="s">
        <v>9</v>
      </c>
      <c r="C1661" s="9">
        <v>1925</v>
      </c>
      <c r="D1661" s="10">
        <v>45715</v>
      </c>
      <c r="E1661" s="11" t="str">
        <f>+HYPERLINK("http://trademark.i-assist.jp/data/china/image_1925th/82287054.pdf","82287054")</f>
        <v>82287054</v>
      </c>
      <c r="F1661" s="9" t="s">
        <v>4528</v>
      </c>
      <c r="G1661" s="9" t="s">
        <v>4529</v>
      </c>
      <c r="H1661" s="9" t="s">
        <v>4530</v>
      </c>
      <c r="I1661" s="10">
        <v>45627</v>
      </c>
    </row>
    <row r="1662" spans="1:9" x14ac:dyDescent="0.15">
      <c r="A1662" s="9">
        <v>1661</v>
      </c>
      <c r="B1662" s="9" t="s">
        <v>9</v>
      </c>
      <c r="C1662" s="9">
        <v>1925</v>
      </c>
      <c r="D1662" s="10">
        <v>45715</v>
      </c>
      <c r="E1662" s="11" t="str">
        <f>+HYPERLINK("http://trademark.i-assist.jp/data/china/image_1925th/82288632.pdf","82288632")</f>
        <v>82288632</v>
      </c>
      <c r="F1662" s="9" t="s">
        <v>4531</v>
      </c>
      <c r="G1662" s="9" t="s">
        <v>4532</v>
      </c>
      <c r="H1662" s="9" t="s">
        <v>4533</v>
      </c>
      <c r="I1662" s="10">
        <v>45628</v>
      </c>
    </row>
    <row r="1663" spans="1:9" x14ac:dyDescent="0.15">
      <c r="A1663" s="9">
        <v>1662</v>
      </c>
      <c r="B1663" s="9" t="s">
        <v>9</v>
      </c>
      <c r="C1663" s="9">
        <v>1925</v>
      </c>
      <c r="D1663" s="10">
        <v>45715</v>
      </c>
      <c r="E1663" s="11" t="str">
        <f>+HYPERLINK("http://trademark.i-assist.jp/data/china/image_1925th/82288869.pdf","82288869")</f>
        <v>82288869</v>
      </c>
      <c r="F1663" s="12" t="s">
        <v>4534</v>
      </c>
      <c r="G1663" s="9" t="s">
        <v>4535</v>
      </c>
      <c r="H1663" s="9" t="s">
        <v>4536</v>
      </c>
      <c r="I1663" s="10">
        <v>45628</v>
      </c>
    </row>
    <row r="1664" spans="1:9" x14ac:dyDescent="0.15">
      <c r="A1664" s="9">
        <v>1663</v>
      </c>
      <c r="B1664" s="9" t="s">
        <v>9</v>
      </c>
      <c r="C1664" s="9">
        <v>1925</v>
      </c>
      <c r="D1664" s="10">
        <v>45715</v>
      </c>
      <c r="E1664" s="11" t="str">
        <f>+HYPERLINK("http://trademark.i-assist.jp/data/china/image_1925th/82289035.pdf","82289035")</f>
        <v>82289035</v>
      </c>
      <c r="F1664" s="9" t="s">
        <v>4537</v>
      </c>
      <c r="G1664" s="9" t="s">
        <v>4538</v>
      </c>
      <c r="H1664" s="9" t="s">
        <v>4539</v>
      </c>
      <c r="I1664" s="10">
        <v>45628</v>
      </c>
    </row>
    <row r="1665" spans="1:9" x14ac:dyDescent="0.15">
      <c r="A1665" s="9">
        <v>1664</v>
      </c>
      <c r="B1665" s="9" t="s">
        <v>9</v>
      </c>
      <c r="C1665" s="9">
        <v>1925</v>
      </c>
      <c r="D1665" s="10">
        <v>45715</v>
      </c>
      <c r="E1665" s="11" t="str">
        <f>+HYPERLINK("http://trademark.i-assist.jp/data/china/image_1925th/82289039.pdf","82289039")</f>
        <v>82289039</v>
      </c>
      <c r="F1665" s="9" t="s">
        <v>4540</v>
      </c>
      <c r="G1665" s="9" t="s">
        <v>4538</v>
      </c>
      <c r="H1665" s="9" t="s">
        <v>4541</v>
      </c>
      <c r="I1665" s="10">
        <v>45628</v>
      </c>
    </row>
    <row r="1666" spans="1:9" x14ac:dyDescent="0.15">
      <c r="A1666" s="9">
        <v>1665</v>
      </c>
      <c r="B1666" s="9" t="s">
        <v>9</v>
      </c>
      <c r="C1666" s="9">
        <v>1925</v>
      </c>
      <c r="D1666" s="10">
        <v>45715</v>
      </c>
      <c r="E1666" s="11" t="str">
        <f>+HYPERLINK("http://trademark.i-assist.jp/data/china/image_1925th/82289285.pdf","82289285")</f>
        <v>82289285</v>
      </c>
      <c r="F1666" s="9" t="s">
        <v>4542</v>
      </c>
      <c r="G1666" s="9" t="s">
        <v>4543</v>
      </c>
      <c r="H1666" s="9" t="s">
        <v>4544</v>
      </c>
      <c r="I1666" s="10">
        <v>45628</v>
      </c>
    </row>
    <row r="1667" spans="1:9" x14ac:dyDescent="0.15">
      <c r="A1667" s="9">
        <v>1666</v>
      </c>
      <c r="B1667" s="9" t="s">
        <v>9</v>
      </c>
      <c r="C1667" s="9">
        <v>1925</v>
      </c>
      <c r="D1667" s="10">
        <v>45715</v>
      </c>
      <c r="E1667" s="11" t="str">
        <f>+HYPERLINK("http://trademark.i-assist.jp/data/china/image_1925th/82289328.pdf","82289328")</f>
        <v>82289328</v>
      </c>
      <c r="F1667" s="9" t="s">
        <v>4545</v>
      </c>
      <c r="G1667" s="9" t="s">
        <v>4543</v>
      </c>
      <c r="H1667" s="9" t="s">
        <v>4546</v>
      </c>
      <c r="I1667" s="10">
        <v>45628</v>
      </c>
    </row>
    <row r="1668" spans="1:9" x14ac:dyDescent="0.15">
      <c r="A1668" s="9">
        <v>1667</v>
      </c>
      <c r="B1668" s="9" t="s">
        <v>9</v>
      </c>
      <c r="C1668" s="9">
        <v>1925</v>
      </c>
      <c r="D1668" s="10">
        <v>45715</v>
      </c>
      <c r="E1668" s="11" t="str">
        <f>+HYPERLINK("http://trademark.i-assist.jp/data/china/image_1925th/82289445.pdf","82289445")</f>
        <v>82289445</v>
      </c>
      <c r="F1668" s="9" t="s">
        <v>4547</v>
      </c>
      <c r="G1668" s="9" t="s">
        <v>4548</v>
      </c>
      <c r="H1668" s="9" t="s">
        <v>4549</v>
      </c>
      <c r="I1668" s="10">
        <v>45628</v>
      </c>
    </row>
    <row r="1669" spans="1:9" x14ac:dyDescent="0.15">
      <c r="A1669" s="9">
        <v>1668</v>
      </c>
      <c r="B1669" s="9" t="s">
        <v>9</v>
      </c>
      <c r="C1669" s="9">
        <v>1925</v>
      </c>
      <c r="D1669" s="10">
        <v>45715</v>
      </c>
      <c r="E1669" s="11" t="str">
        <f>+HYPERLINK("http://trademark.i-assist.jp/data/china/image_1925th/82289469.pdf","82289469")</f>
        <v>82289469</v>
      </c>
      <c r="F1669" s="12" t="s">
        <v>4550</v>
      </c>
      <c r="G1669" s="9" t="s">
        <v>4551</v>
      </c>
      <c r="H1669" s="9" t="s">
        <v>4552</v>
      </c>
      <c r="I1669" s="10">
        <v>45628</v>
      </c>
    </row>
    <row r="1670" spans="1:9" x14ac:dyDescent="0.15">
      <c r="A1670" s="9">
        <v>1669</v>
      </c>
      <c r="B1670" s="9" t="s">
        <v>9</v>
      </c>
      <c r="C1670" s="9">
        <v>1925</v>
      </c>
      <c r="D1670" s="10">
        <v>45715</v>
      </c>
      <c r="E1670" s="11" t="str">
        <f>+HYPERLINK("http://trademark.i-assist.jp/data/china/image_1925th/82289546.pdf","82289546")</f>
        <v>82289546</v>
      </c>
      <c r="F1670" s="12" t="s">
        <v>57</v>
      </c>
      <c r="G1670" s="9" t="s">
        <v>4553</v>
      </c>
      <c r="H1670" s="9" t="s">
        <v>4554</v>
      </c>
      <c r="I1670" s="10">
        <v>45628</v>
      </c>
    </row>
    <row r="1671" spans="1:9" x14ac:dyDescent="0.15">
      <c r="A1671" s="9">
        <v>1670</v>
      </c>
      <c r="B1671" s="9" t="s">
        <v>9</v>
      </c>
      <c r="C1671" s="9">
        <v>1925</v>
      </c>
      <c r="D1671" s="10">
        <v>45715</v>
      </c>
      <c r="E1671" s="11" t="str">
        <f>+HYPERLINK("http://trademark.i-assist.jp/data/china/image_1925th/82290460.pdf","82290460")</f>
        <v>82290460</v>
      </c>
      <c r="F1671" s="9" t="s">
        <v>4555</v>
      </c>
      <c r="G1671" s="12" t="s">
        <v>4177</v>
      </c>
      <c r="H1671" s="9" t="s">
        <v>4556</v>
      </c>
      <c r="I1671" s="10">
        <v>45628</v>
      </c>
    </row>
    <row r="1672" spans="1:9" x14ac:dyDescent="0.15">
      <c r="A1672" s="9">
        <v>1671</v>
      </c>
      <c r="B1672" s="9" t="s">
        <v>9</v>
      </c>
      <c r="C1672" s="9">
        <v>1925</v>
      </c>
      <c r="D1672" s="10">
        <v>45715</v>
      </c>
      <c r="E1672" s="11" t="str">
        <f>+HYPERLINK("http://trademark.i-assist.jp/data/china/image_1925th/82290497.pdf","82290497")</f>
        <v>82290497</v>
      </c>
      <c r="F1672" s="12" t="s">
        <v>4557</v>
      </c>
      <c r="G1672" s="9" t="s">
        <v>4558</v>
      </c>
      <c r="H1672" s="9" t="s">
        <v>4559</v>
      </c>
      <c r="I1672" s="10">
        <v>45628</v>
      </c>
    </row>
    <row r="1673" spans="1:9" x14ac:dyDescent="0.15">
      <c r="A1673" s="9">
        <v>1672</v>
      </c>
      <c r="B1673" s="9" t="s">
        <v>9</v>
      </c>
      <c r="C1673" s="9">
        <v>1925</v>
      </c>
      <c r="D1673" s="10">
        <v>45715</v>
      </c>
      <c r="E1673" s="11" t="str">
        <f>+HYPERLINK("http://trademark.i-assist.jp/data/china/image_1925th/82290771.pdf","82290771")</f>
        <v>82290771</v>
      </c>
      <c r="F1673" s="9" t="s">
        <v>4560</v>
      </c>
      <c r="G1673" s="12" t="s">
        <v>4561</v>
      </c>
      <c r="H1673" s="9" t="s">
        <v>4562</v>
      </c>
      <c r="I1673" s="10">
        <v>45628</v>
      </c>
    </row>
    <row r="1674" spans="1:9" x14ac:dyDescent="0.15">
      <c r="A1674" s="9">
        <v>1673</v>
      </c>
      <c r="B1674" s="9" t="s">
        <v>9</v>
      </c>
      <c r="C1674" s="9">
        <v>1925</v>
      </c>
      <c r="D1674" s="10">
        <v>45715</v>
      </c>
      <c r="E1674" s="11" t="str">
        <f>+HYPERLINK("http://trademark.i-assist.jp/data/china/image_1925th/82290952.pdf","82290952")</f>
        <v>82290952</v>
      </c>
      <c r="F1674" s="12" t="s">
        <v>4563</v>
      </c>
      <c r="G1674" s="9" t="s">
        <v>4564</v>
      </c>
      <c r="H1674" s="9" t="s">
        <v>4565</v>
      </c>
      <c r="I1674" s="10">
        <v>45628</v>
      </c>
    </row>
    <row r="1675" spans="1:9" x14ac:dyDescent="0.15">
      <c r="A1675" s="9">
        <v>1674</v>
      </c>
      <c r="B1675" s="9" t="s">
        <v>9</v>
      </c>
      <c r="C1675" s="9">
        <v>1925</v>
      </c>
      <c r="D1675" s="10">
        <v>45715</v>
      </c>
      <c r="E1675" s="11" t="str">
        <f>+HYPERLINK("http://trademark.i-assist.jp/data/china/image_1925th/82291064.pdf","82291064")</f>
        <v>82291064</v>
      </c>
      <c r="F1675" s="9" t="s">
        <v>4566</v>
      </c>
      <c r="G1675" s="9" t="s">
        <v>4567</v>
      </c>
      <c r="H1675" s="9" t="s">
        <v>4568</v>
      </c>
      <c r="I1675" s="10">
        <v>45628</v>
      </c>
    </row>
    <row r="1676" spans="1:9" x14ac:dyDescent="0.15">
      <c r="A1676" s="9">
        <v>1675</v>
      </c>
      <c r="B1676" s="9" t="s">
        <v>9</v>
      </c>
      <c r="C1676" s="9">
        <v>1925</v>
      </c>
      <c r="D1676" s="10">
        <v>45715</v>
      </c>
      <c r="E1676" s="11" t="str">
        <f>+HYPERLINK("http://trademark.i-assist.jp/data/china/image_1925th/82291281.pdf","82291281")</f>
        <v>82291281</v>
      </c>
      <c r="F1676" s="9" t="s">
        <v>4569</v>
      </c>
      <c r="G1676" s="9" t="s">
        <v>4570</v>
      </c>
      <c r="H1676" s="9" t="s">
        <v>4571</v>
      </c>
      <c r="I1676" s="10">
        <v>45628</v>
      </c>
    </row>
    <row r="1677" spans="1:9" x14ac:dyDescent="0.15">
      <c r="A1677" s="9">
        <v>1676</v>
      </c>
      <c r="B1677" s="9" t="s">
        <v>9</v>
      </c>
      <c r="C1677" s="9">
        <v>1925</v>
      </c>
      <c r="D1677" s="10">
        <v>45715</v>
      </c>
      <c r="E1677" s="11" t="str">
        <f>+HYPERLINK("http://trademark.i-assist.jp/data/china/image_1925th/82291394.pdf","82291394")</f>
        <v>82291394</v>
      </c>
      <c r="F1677" s="9" t="s">
        <v>4572</v>
      </c>
      <c r="G1677" s="12" t="s">
        <v>4573</v>
      </c>
      <c r="H1677" s="12" t="s">
        <v>4574</v>
      </c>
      <c r="I1677" s="10">
        <v>45628</v>
      </c>
    </row>
    <row r="1678" spans="1:9" x14ac:dyDescent="0.15">
      <c r="A1678" s="9">
        <v>1677</v>
      </c>
      <c r="B1678" s="9" t="s">
        <v>9</v>
      </c>
      <c r="C1678" s="9">
        <v>1925</v>
      </c>
      <c r="D1678" s="10">
        <v>45715</v>
      </c>
      <c r="E1678" s="11" t="str">
        <f>+HYPERLINK("http://trademark.i-assist.jp/data/china/image_1925th/82291546.pdf","82291546")</f>
        <v>82291546</v>
      </c>
      <c r="F1678" s="12" t="s">
        <v>4575</v>
      </c>
      <c r="G1678" s="9" t="s">
        <v>4576</v>
      </c>
      <c r="H1678" s="9" t="s">
        <v>4577</v>
      </c>
      <c r="I1678" s="10">
        <v>45628</v>
      </c>
    </row>
    <row r="1679" spans="1:9" x14ac:dyDescent="0.15">
      <c r="A1679" s="9">
        <v>1678</v>
      </c>
      <c r="B1679" s="9" t="s">
        <v>9</v>
      </c>
      <c r="C1679" s="9">
        <v>1925</v>
      </c>
      <c r="D1679" s="10">
        <v>45715</v>
      </c>
      <c r="E1679" s="11" t="str">
        <f>+HYPERLINK("http://trademark.i-assist.jp/data/china/image_1925th/82291707.pdf","82291707")</f>
        <v>82291707</v>
      </c>
      <c r="F1679" s="9" t="s">
        <v>4578</v>
      </c>
      <c r="G1679" s="9" t="s">
        <v>4579</v>
      </c>
      <c r="H1679" s="12" t="s">
        <v>4580</v>
      </c>
      <c r="I1679" s="10">
        <v>45628</v>
      </c>
    </row>
    <row r="1680" spans="1:9" x14ac:dyDescent="0.15">
      <c r="A1680" s="9">
        <v>1679</v>
      </c>
      <c r="B1680" s="9" t="s">
        <v>9</v>
      </c>
      <c r="C1680" s="9">
        <v>1925</v>
      </c>
      <c r="D1680" s="10">
        <v>45715</v>
      </c>
      <c r="E1680" s="11" t="str">
        <f>+HYPERLINK("http://trademark.i-assist.jp/data/china/image_1925th/82291762.pdf","82291762")</f>
        <v>82291762</v>
      </c>
      <c r="F1680" s="9" t="s">
        <v>4581</v>
      </c>
      <c r="G1680" s="9" t="s">
        <v>4582</v>
      </c>
      <c r="H1680" s="9" t="s">
        <v>4583</v>
      </c>
      <c r="I1680" s="10">
        <v>45628</v>
      </c>
    </row>
    <row r="1681" spans="1:9" x14ac:dyDescent="0.15">
      <c r="A1681" s="9">
        <v>1680</v>
      </c>
      <c r="B1681" s="9" t="s">
        <v>9</v>
      </c>
      <c r="C1681" s="9">
        <v>1925</v>
      </c>
      <c r="D1681" s="10">
        <v>45715</v>
      </c>
      <c r="E1681" s="11" t="str">
        <f>+HYPERLINK("http://trademark.i-assist.jp/data/china/image_1925th/82292090.pdf","82292090")</f>
        <v>82292090</v>
      </c>
      <c r="F1681" s="9" t="s">
        <v>4584</v>
      </c>
      <c r="G1681" s="9" t="s">
        <v>4585</v>
      </c>
      <c r="H1681" s="9" t="s">
        <v>4586</v>
      </c>
      <c r="I1681" s="10">
        <v>45628</v>
      </c>
    </row>
    <row r="1682" spans="1:9" x14ac:dyDescent="0.15">
      <c r="A1682" s="9">
        <v>1681</v>
      </c>
      <c r="B1682" s="9" t="s">
        <v>9</v>
      </c>
      <c r="C1682" s="9">
        <v>1925</v>
      </c>
      <c r="D1682" s="10">
        <v>45715</v>
      </c>
      <c r="E1682" s="11" t="str">
        <f>+HYPERLINK("http://trademark.i-assist.jp/data/china/image_1925th/82292206.pdf","82292206")</f>
        <v>82292206</v>
      </c>
      <c r="F1682" s="12" t="s">
        <v>4587</v>
      </c>
      <c r="G1682" s="9" t="s">
        <v>4588</v>
      </c>
      <c r="H1682" s="9" t="s">
        <v>4589</v>
      </c>
      <c r="I1682" s="10">
        <v>45628</v>
      </c>
    </row>
    <row r="1683" spans="1:9" x14ac:dyDescent="0.15">
      <c r="A1683" s="9">
        <v>1682</v>
      </c>
      <c r="B1683" s="9" t="s">
        <v>9</v>
      </c>
      <c r="C1683" s="9">
        <v>1925</v>
      </c>
      <c r="D1683" s="10">
        <v>45715</v>
      </c>
      <c r="E1683" s="11" t="str">
        <f>+HYPERLINK("http://trademark.i-assist.jp/data/china/image_1925th/82292475.pdf","82292475")</f>
        <v>82292475</v>
      </c>
      <c r="F1683" s="12" t="s">
        <v>4590</v>
      </c>
      <c r="G1683" s="9" t="s">
        <v>4591</v>
      </c>
      <c r="H1683" s="9" t="s">
        <v>4592</v>
      </c>
      <c r="I1683" s="10">
        <v>45628</v>
      </c>
    </row>
    <row r="1684" spans="1:9" x14ac:dyDescent="0.15">
      <c r="A1684" s="9">
        <v>1683</v>
      </c>
      <c r="B1684" s="9" t="s">
        <v>9</v>
      </c>
      <c r="C1684" s="9">
        <v>1925</v>
      </c>
      <c r="D1684" s="10">
        <v>45715</v>
      </c>
      <c r="E1684" s="11" t="str">
        <f>+HYPERLINK("http://trademark.i-assist.jp/data/china/image_1925th/82292658.pdf","82292658")</f>
        <v>82292658</v>
      </c>
      <c r="F1684" s="9" t="s">
        <v>4593</v>
      </c>
      <c r="G1684" s="9" t="s">
        <v>4594</v>
      </c>
      <c r="H1684" s="9" t="s">
        <v>4595</v>
      </c>
      <c r="I1684" s="10">
        <v>45628</v>
      </c>
    </row>
    <row r="1685" spans="1:9" x14ac:dyDescent="0.15">
      <c r="A1685" s="9">
        <v>1684</v>
      </c>
      <c r="B1685" s="9" t="s">
        <v>9</v>
      </c>
      <c r="C1685" s="9">
        <v>1925</v>
      </c>
      <c r="D1685" s="10">
        <v>45715</v>
      </c>
      <c r="E1685" s="11" t="str">
        <f>+HYPERLINK("http://trademark.i-assist.jp/data/china/image_1925th/82293110.pdf","82293110")</f>
        <v>82293110</v>
      </c>
      <c r="F1685" s="9" t="s">
        <v>4596</v>
      </c>
      <c r="G1685" s="9" t="s">
        <v>702</v>
      </c>
      <c r="H1685" s="9" t="s">
        <v>4597</v>
      </c>
      <c r="I1685" s="10">
        <v>45628</v>
      </c>
    </row>
    <row r="1686" spans="1:9" x14ac:dyDescent="0.15">
      <c r="A1686" s="9">
        <v>1685</v>
      </c>
      <c r="B1686" s="9" t="s">
        <v>9</v>
      </c>
      <c r="C1686" s="9">
        <v>1925</v>
      </c>
      <c r="D1686" s="10">
        <v>45715</v>
      </c>
      <c r="E1686" s="11" t="str">
        <f>+HYPERLINK("http://trademark.i-assist.jp/data/china/image_1925th/82293214.pdf","82293214")</f>
        <v>82293214</v>
      </c>
      <c r="F1686" s="12" t="s">
        <v>57</v>
      </c>
      <c r="G1686" s="9" t="s">
        <v>4598</v>
      </c>
      <c r="H1686" s="9" t="s">
        <v>4599</v>
      </c>
      <c r="I1686" s="10">
        <v>45628</v>
      </c>
    </row>
    <row r="1687" spans="1:9" x14ac:dyDescent="0.15">
      <c r="A1687" s="9">
        <v>1686</v>
      </c>
      <c r="B1687" s="9" t="s">
        <v>9</v>
      </c>
      <c r="C1687" s="9">
        <v>1925</v>
      </c>
      <c r="D1687" s="10">
        <v>45715</v>
      </c>
      <c r="E1687" s="11" t="str">
        <f>+HYPERLINK("http://trademark.i-assist.jp/data/china/image_1925th/82293455.pdf","82293455")</f>
        <v>82293455</v>
      </c>
      <c r="F1687" s="9" t="s">
        <v>4600</v>
      </c>
      <c r="G1687" s="9" t="s">
        <v>4532</v>
      </c>
      <c r="H1687" s="9" t="s">
        <v>4601</v>
      </c>
      <c r="I1687" s="10">
        <v>45628</v>
      </c>
    </row>
    <row r="1688" spans="1:9" x14ac:dyDescent="0.15">
      <c r="A1688" s="9">
        <v>1687</v>
      </c>
      <c r="B1688" s="9" t="s">
        <v>9</v>
      </c>
      <c r="C1688" s="9">
        <v>1925</v>
      </c>
      <c r="D1688" s="10">
        <v>45715</v>
      </c>
      <c r="E1688" s="11" t="str">
        <f>+HYPERLINK("http://trademark.i-assist.jp/data/china/image_1925th/82293466.pdf","82293466")</f>
        <v>82293466</v>
      </c>
      <c r="F1688" s="9" t="s">
        <v>4602</v>
      </c>
      <c r="G1688" s="9" t="s">
        <v>4532</v>
      </c>
      <c r="H1688" s="9" t="s">
        <v>4603</v>
      </c>
      <c r="I1688" s="10">
        <v>45628</v>
      </c>
    </row>
    <row r="1689" spans="1:9" x14ac:dyDescent="0.15">
      <c r="A1689" s="9">
        <v>1688</v>
      </c>
      <c r="B1689" s="9" t="s">
        <v>9</v>
      </c>
      <c r="C1689" s="9">
        <v>1925</v>
      </c>
      <c r="D1689" s="10">
        <v>45715</v>
      </c>
      <c r="E1689" s="11" t="str">
        <f>+HYPERLINK("http://trademark.i-assist.jp/data/china/image_1925th/82293571.pdf","82293571")</f>
        <v>82293571</v>
      </c>
      <c r="F1689" s="12" t="s">
        <v>4604</v>
      </c>
      <c r="G1689" s="9" t="s">
        <v>4551</v>
      </c>
      <c r="H1689" s="9" t="s">
        <v>4605</v>
      </c>
      <c r="I1689" s="10">
        <v>45628</v>
      </c>
    </row>
    <row r="1690" spans="1:9" x14ac:dyDescent="0.15">
      <c r="A1690" s="9">
        <v>1689</v>
      </c>
      <c r="B1690" s="9" t="s">
        <v>9</v>
      </c>
      <c r="C1690" s="9">
        <v>1925</v>
      </c>
      <c r="D1690" s="10">
        <v>45715</v>
      </c>
      <c r="E1690" s="11" t="str">
        <f>+HYPERLINK("http://trademark.i-assist.jp/data/china/image_1925th/82293669.pdf","82293669")</f>
        <v>82293669</v>
      </c>
      <c r="F1690" s="9" t="s">
        <v>4606</v>
      </c>
      <c r="G1690" s="9" t="s">
        <v>4607</v>
      </c>
      <c r="H1690" s="9" t="s">
        <v>4608</v>
      </c>
      <c r="I1690" s="10">
        <v>45628</v>
      </c>
    </row>
    <row r="1691" spans="1:9" x14ac:dyDescent="0.15">
      <c r="A1691" s="9">
        <v>1690</v>
      </c>
      <c r="B1691" s="9" t="s">
        <v>9</v>
      </c>
      <c r="C1691" s="9">
        <v>1925</v>
      </c>
      <c r="D1691" s="10">
        <v>45715</v>
      </c>
      <c r="E1691" s="11" t="str">
        <f>+HYPERLINK("http://trademark.i-assist.jp/data/china/image_1925th/82294119.pdf","82294119")</f>
        <v>82294119</v>
      </c>
      <c r="F1691" s="9" t="s">
        <v>4609</v>
      </c>
      <c r="G1691" s="9" t="s">
        <v>4543</v>
      </c>
      <c r="H1691" s="9" t="s">
        <v>4610</v>
      </c>
      <c r="I1691" s="10">
        <v>45628</v>
      </c>
    </row>
    <row r="1692" spans="1:9" x14ac:dyDescent="0.15">
      <c r="A1692" s="9">
        <v>1691</v>
      </c>
      <c r="B1692" s="9" t="s">
        <v>9</v>
      </c>
      <c r="C1692" s="9">
        <v>1925</v>
      </c>
      <c r="D1692" s="10">
        <v>45715</v>
      </c>
      <c r="E1692" s="11" t="str">
        <f>+HYPERLINK("http://trademark.i-assist.jp/data/china/image_1925th/82294641.pdf","82294641")</f>
        <v>82294641</v>
      </c>
      <c r="F1692" s="9" t="s">
        <v>4611</v>
      </c>
      <c r="G1692" s="9" t="s">
        <v>4612</v>
      </c>
      <c r="H1692" s="9" t="s">
        <v>4613</v>
      </c>
      <c r="I1692" s="10">
        <v>45628</v>
      </c>
    </row>
    <row r="1693" spans="1:9" x14ac:dyDescent="0.15">
      <c r="A1693" s="9">
        <v>1692</v>
      </c>
      <c r="B1693" s="9" t="s">
        <v>9</v>
      </c>
      <c r="C1693" s="9">
        <v>1925</v>
      </c>
      <c r="D1693" s="10">
        <v>45715</v>
      </c>
      <c r="E1693" s="11" t="str">
        <f>+HYPERLINK("http://trademark.i-assist.jp/data/china/image_1925th/82294984.pdf","82294984")</f>
        <v>82294984</v>
      </c>
      <c r="F1693" s="9" t="s">
        <v>4614</v>
      </c>
      <c r="G1693" s="12" t="s">
        <v>4615</v>
      </c>
      <c r="H1693" s="9" t="s">
        <v>4616</v>
      </c>
      <c r="I1693" s="10">
        <v>45628</v>
      </c>
    </row>
    <row r="1694" spans="1:9" x14ac:dyDescent="0.15">
      <c r="A1694" s="9">
        <v>1693</v>
      </c>
      <c r="B1694" s="9" t="s">
        <v>9</v>
      </c>
      <c r="C1694" s="9">
        <v>1925</v>
      </c>
      <c r="D1694" s="10">
        <v>45715</v>
      </c>
      <c r="E1694" s="11" t="str">
        <f>+HYPERLINK("http://trademark.i-assist.jp/data/china/image_1925th/82295045.pdf","82295045")</f>
        <v>82295045</v>
      </c>
      <c r="F1694" s="9" t="s">
        <v>4617</v>
      </c>
      <c r="G1694" s="12" t="s">
        <v>4177</v>
      </c>
      <c r="H1694" s="9" t="s">
        <v>4618</v>
      </c>
      <c r="I1694" s="10">
        <v>45628</v>
      </c>
    </row>
    <row r="1695" spans="1:9" x14ac:dyDescent="0.15">
      <c r="A1695" s="9">
        <v>1694</v>
      </c>
      <c r="B1695" s="9" t="s">
        <v>9</v>
      </c>
      <c r="C1695" s="9">
        <v>1925</v>
      </c>
      <c r="D1695" s="10">
        <v>45715</v>
      </c>
      <c r="E1695" s="11" t="str">
        <f>+HYPERLINK("http://trademark.i-assist.jp/data/china/image_1925th/82295059.pdf","82295059")</f>
        <v>82295059</v>
      </c>
      <c r="F1695" s="9" t="s">
        <v>4619</v>
      </c>
      <c r="G1695" s="12" t="s">
        <v>4620</v>
      </c>
      <c r="H1695" s="9" t="s">
        <v>4621</v>
      </c>
      <c r="I1695" s="10">
        <v>45628</v>
      </c>
    </row>
    <row r="1696" spans="1:9" x14ac:dyDescent="0.15">
      <c r="A1696" s="9">
        <v>1695</v>
      </c>
      <c r="B1696" s="9" t="s">
        <v>9</v>
      </c>
      <c r="C1696" s="9">
        <v>1925</v>
      </c>
      <c r="D1696" s="10">
        <v>45715</v>
      </c>
      <c r="E1696" s="11" t="str">
        <f>+HYPERLINK("http://trademark.i-assist.jp/data/china/image_1925th/82295171.pdf","82295171")</f>
        <v>82295171</v>
      </c>
      <c r="F1696" s="12" t="s">
        <v>4622</v>
      </c>
      <c r="G1696" s="12" t="s">
        <v>4561</v>
      </c>
      <c r="H1696" s="9" t="s">
        <v>4623</v>
      </c>
      <c r="I1696" s="10">
        <v>45628</v>
      </c>
    </row>
    <row r="1697" spans="1:9" x14ac:dyDescent="0.15">
      <c r="A1697" s="9">
        <v>1696</v>
      </c>
      <c r="B1697" s="9" t="s">
        <v>9</v>
      </c>
      <c r="C1697" s="9">
        <v>1925</v>
      </c>
      <c r="D1697" s="10">
        <v>45715</v>
      </c>
      <c r="E1697" s="11" t="str">
        <f>+HYPERLINK("http://trademark.i-assist.jp/data/china/image_1925th/82295280.pdf","82295280")</f>
        <v>82295280</v>
      </c>
      <c r="F1697" s="9" t="s">
        <v>4624</v>
      </c>
      <c r="G1697" s="9" t="s">
        <v>4591</v>
      </c>
      <c r="H1697" s="9" t="s">
        <v>4625</v>
      </c>
      <c r="I1697" s="10">
        <v>45628</v>
      </c>
    </row>
    <row r="1698" spans="1:9" x14ac:dyDescent="0.15">
      <c r="A1698" s="9">
        <v>1697</v>
      </c>
      <c r="B1698" s="9" t="s">
        <v>9</v>
      </c>
      <c r="C1698" s="9">
        <v>1925</v>
      </c>
      <c r="D1698" s="10">
        <v>45715</v>
      </c>
      <c r="E1698" s="11" t="str">
        <f>+HYPERLINK("http://trademark.i-assist.jp/data/china/image_1925th/82295302.pdf","82295302")</f>
        <v>82295302</v>
      </c>
      <c r="F1698" s="9" t="s">
        <v>4626</v>
      </c>
      <c r="G1698" s="9" t="s">
        <v>4543</v>
      </c>
      <c r="H1698" s="9" t="s">
        <v>4627</v>
      </c>
      <c r="I1698" s="10">
        <v>45628</v>
      </c>
    </row>
    <row r="1699" spans="1:9" x14ac:dyDescent="0.15">
      <c r="A1699" s="9">
        <v>1698</v>
      </c>
      <c r="B1699" s="9" t="s">
        <v>9</v>
      </c>
      <c r="C1699" s="9">
        <v>1925</v>
      </c>
      <c r="D1699" s="10">
        <v>45715</v>
      </c>
      <c r="E1699" s="11" t="str">
        <f>+HYPERLINK("http://trademark.i-assist.jp/data/china/image_1925th/82295317.pdf","82295317")</f>
        <v>82295317</v>
      </c>
      <c r="F1699" s="9" t="s">
        <v>4628</v>
      </c>
      <c r="G1699" s="9" t="s">
        <v>4543</v>
      </c>
      <c r="H1699" s="9" t="s">
        <v>4629</v>
      </c>
      <c r="I1699" s="10">
        <v>45628</v>
      </c>
    </row>
    <row r="1700" spans="1:9" x14ac:dyDescent="0.15">
      <c r="A1700" s="9">
        <v>1699</v>
      </c>
      <c r="B1700" s="9" t="s">
        <v>9</v>
      </c>
      <c r="C1700" s="9">
        <v>1925</v>
      </c>
      <c r="D1700" s="10">
        <v>45715</v>
      </c>
      <c r="E1700" s="11" t="str">
        <f>+HYPERLINK("http://trademark.i-assist.jp/data/china/image_1925th/82295374.pdf","82295374")</f>
        <v>82295374</v>
      </c>
      <c r="F1700" s="12" t="s">
        <v>4630</v>
      </c>
      <c r="G1700" s="9" t="s">
        <v>4631</v>
      </c>
      <c r="H1700" s="9" t="s">
        <v>4632</v>
      </c>
      <c r="I1700" s="10">
        <v>45628</v>
      </c>
    </row>
    <row r="1701" spans="1:9" x14ac:dyDescent="0.15">
      <c r="A1701" s="9">
        <v>1700</v>
      </c>
      <c r="B1701" s="9" t="s">
        <v>9</v>
      </c>
      <c r="C1701" s="9">
        <v>1925</v>
      </c>
      <c r="D1701" s="10">
        <v>45715</v>
      </c>
      <c r="E1701" s="11" t="str">
        <f>+HYPERLINK("http://trademark.i-assist.jp/data/china/image_1925th/82295555.pdf","82295555")</f>
        <v>82295555</v>
      </c>
      <c r="F1701" s="12" t="s">
        <v>57</v>
      </c>
      <c r="G1701" s="9" t="s">
        <v>4633</v>
      </c>
      <c r="H1701" s="9" t="s">
        <v>4634</v>
      </c>
      <c r="I1701" s="10">
        <v>45628</v>
      </c>
    </row>
    <row r="1702" spans="1:9" x14ac:dyDescent="0.15">
      <c r="A1702" s="9">
        <v>1701</v>
      </c>
      <c r="B1702" s="9" t="s">
        <v>9</v>
      </c>
      <c r="C1702" s="9">
        <v>1925</v>
      </c>
      <c r="D1702" s="10">
        <v>45715</v>
      </c>
      <c r="E1702" s="11" t="str">
        <f>+HYPERLINK("http://trademark.i-assist.jp/data/china/image_1925th/82295656.pdf","82295656")</f>
        <v>82295656</v>
      </c>
      <c r="F1702" s="9" t="s">
        <v>4635</v>
      </c>
      <c r="G1702" s="9" t="s">
        <v>4636</v>
      </c>
      <c r="H1702" s="9" t="s">
        <v>4637</v>
      </c>
      <c r="I1702" s="10">
        <v>45628</v>
      </c>
    </row>
    <row r="1703" spans="1:9" x14ac:dyDescent="0.15">
      <c r="A1703" s="9">
        <v>1702</v>
      </c>
      <c r="B1703" s="9" t="s">
        <v>9</v>
      </c>
      <c r="C1703" s="9">
        <v>1925</v>
      </c>
      <c r="D1703" s="10">
        <v>45715</v>
      </c>
      <c r="E1703" s="11" t="str">
        <f>+HYPERLINK("http://trademark.i-assist.jp/data/china/image_1925th/82296409.pdf","82296409")</f>
        <v>82296409</v>
      </c>
      <c r="F1703" s="9" t="s">
        <v>4638</v>
      </c>
      <c r="G1703" s="9" t="s">
        <v>4639</v>
      </c>
      <c r="H1703" s="9" t="s">
        <v>4640</v>
      </c>
      <c r="I1703" s="10">
        <v>45628</v>
      </c>
    </row>
    <row r="1704" spans="1:9" x14ac:dyDescent="0.15">
      <c r="A1704" s="9">
        <v>1703</v>
      </c>
      <c r="B1704" s="9" t="s">
        <v>9</v>
      </c>
      <c r="C1704" s="9">
        <v>1925</v>
      </c>
      <c r="D1704" s="10">
        <v>45715</v>
      </c>
      <c r="E1704" s="11" t="str">
        <f>+HYPERLINK("http://trademark.i-assist.jp/data/china/image_1925th/82296688.pdf","82296688")</f>
        <v>82296688</v>
      </c>
      <c r="F1704" s="9" t="s">
        <v>4641</v>
      </c>
      <c r="G1704" s="9" t="s">
        <v>4642</v>
      </c>
      <c r="H1704" s="9" t="s">
        <v>4643</v>
      </c>
      <c r="I1704" s="10">
        <v>45628</v>
      </c>
    </row>
    <row r="1705" spans="1:9" x14ac:dyDescent="0.15">
      <c r="A1705" s="9">
        <v>1704</v>
      </c>
      <c r="B1705" s="9" t="s">
        <v>9</v>
      </c>
      <c r="C1705" s="9">
        <v>1925</v>
      </c>
      <c r="D1705" s="10">
        <v>45715</v>
      </c>
      <c r="E1705" s="11" t="str">
        <f>+HYPERLINK("http://trademark.i-assist.jp/data/china/image_1925th/82297038.pdf","82297038")</f>
        <v>82297038</v>
      </c>
      <c r="F1705" s="12" t="s">
        <v>4644</v>
      </c>
      <c r="G1705" s="9" t="s">
        <v>4645</v>
      </c>
      <c r="H1705" s="9" t="s">
        <v>4646</v>
      </c>
      <c r="I1705" s="10">
        <v>45628</v>
      </c>
    </row>
    <row r="1706" spans="1:9" x14ac:dyDescent="0.15">
      <c r="A1706" s="9">
        <v>1705</v>
      </c>
      <c r="B1706" s="9" t="s">
        <v>9</v>
      </c>
      <c r="C1706" s="9">
        <v>1925</v>
      </c>
      <c r="D1706" s="10">
        <v>45715</v>
      </c>
      <c r="E1706" s="11" t="str">
        <f>+HYPERLINK("http://trademark.i-assist.jp/data/china/image_1925th/82297107.pdf","82297107")</f>
        <v>82297107</v>
      </c>
      <c r="F1706" s="12" t="s">
        <v>4647</v>
      </c>
      <c r="G1706" s="9" t="s">
        <v>4648</v>
      </c>
      <c r="H1706" s="9" t="s">
        <v>4649</v>
      </c>
      <c r="I1706" s="10">
        <v>45628</v>
      </c>
    </row>
    <row r="1707" spans="1:9" x14ac:dyDescent="0.15">
      <c r="A1707" s="9">
        <v>1706</v>
      </c>
      <c r="B1707" s="9" t="s">
        <v>9</v>
      </c>
      <c r="C1707" s="9">
        <v>1925</v>
      </c>
      <c r="D1707" s="10">
        <v>45715</v>
      </c>
      <c r="E1707" s="11" t="str">
        <f>+HYPERLINK("http://trademark.i-assist.jp/data/china/image_1925th/82297379.pdf","82297379")</f>
        <v>82297379</v>
      </c>
      <c r="F1707" s="9" t="s">
        <v>4650</v>
      </c>
      <c r="G1707" s="12" t="s">
        <v>4651</v>
      </c>
      <c r="H1707" s="9" t="s">
        <v>4652</v>
      </c>
      <c r="I1707" s="10">
        <v>45628</v>
      </c>
    </row>
    <row r="1708" spans="1:9" x14ac:dyDescent="0.15">
      <c r="A1708" s="9">
        <v>1707</v>
      </c>
      <c r="B1708" s="9" t="s">
        <v>9</v>
      </c>
      <c r="C1708" s="9">
        <v>1925</v>
      </c>
      <c r="D1708" s="10">
        <v>45715</v>
      </c>
      <c r="E1708" s="11" t="str">
        <f>+HYPERLINK("http://trademark.i-assist.jp/data/china/image_1925th/82297487.pdf","82297487")</f>
        <v>82297487</v>
      </c>
      <c r="F1708" s="9" t="s">
        <v>4653</v>
      </c>
      <c r="G1708" s="9" t="s">
        <v>4654</v>
      </c>
      <c r="H1708" s="9" t="s">
        <v>4655</v>
      </c>
      <c r="I1708" s="10">
        <v>45628</v>
      </c>
    </row>
    <row r="1709" spans="1:9" x14ac:dyDescent="0.15">
      <c r="A1709" s="9">
        <v>1708</v>
      </c>
      <c r="B1709" s="9" t="s">
        <v>9</v>
      </c>
      <c r="C1709" s="9">
        <v>1925</v>
      </c>
      <c r="D1709" s="10">
        <v>45715</v>
      </c>
      <c r="E1709" s="11" t="str">
        <f>+HYPERLINK("http://trademark.i-assist.jp/data/china/image_1925th/82297617.pdf","82297617")</f>
        <v>82297617</v>
      </c>
      <c r="F1709" s="9" t="s">
        <v>4656</v>
      </c>
      <c r="G1709" s="9" t="s">
        <v>4657</v>
      </c>
      <c r="H1709" s="9" t="s">
        <v>4658</v>
      </c>
      <c r="I1709" s="10">
        <v>45628</v>
      </c>
    </row>
    <row r="1710" spans="1:9" x14ac:dyDescent="0.15">
      <c r="A1710" s="9">
        <v>1709</v>
      </c>
      <c r="B1710" s="9" t="s">
        <v>9</v>
      </c>
      <c r="C1710" s="9">
        <v>1925</v>
      </c>
      <c r="D1710" s="10">
        <v>45715</v>
      </c>
      <c r="E1710" s="11" t="str">
        <f>+HYPERLINK("http://trademark.i-assist.jp/data/china/image_1925th/82297622.pdf","82297622")</f>
        <v>82297622</v>
      </c>
      <c r="F1710" s="9" t="s">
        <v>4659</v>
      </c>
      <c r="G1710" s="9" t="s">
        <v>1164</v>
      </c>
      <c r="H1710" s="9" t="s">
        <v>4660</v>
      </c>
      <c r="I1710" s="10">
        <v>45628</v>
      </c>
    </row>
    <row r="1711" spans="1:9" x14ac:dyDescent="0.15">
      <c r="A1711" s="9">
        <v>1710</v>
      </c>
      <c r="B1711" s="9" t="s">
        <v>9</v>
      </c>
      <c r="C1711" s="9">
        <v>1925</v>
      </c>
      <c r="D1711" s="10">
        <v>45715</v>
      </c>
      <c r="E1711" s="11" t="str">
        <f>+HYPERLINK("http://trademark.i-assist.jp/data/china/image_1925th/82297827.pdf","82297827")</f>
        <v>82297827</v>
      </c>
      <c r="F1711" s="9" t="s">
        <v>4661</v>
      </c>
      <c r="G1711" s="9" t="s">
        <v>4654</v>
      </c>
      <c r="H1711" s="9" t="s">
        <v>4662</v>
      </c>
      <c r="I1711" s="10">
        <v>45628</v>
      </c>
    </row>
    <row r="1712" spans="1:9" x14ac:dyDescent="0.15">
      <c r="A1712" s="9">
        <v>1711</v>
      </c>
      <c r="B1712" s="9" t="s">
        <v>9</v>
      </c>
      <c r="C1712" s="9">
        <v>1925</v>
      </c>
      <c r="D1712" s="10">
        <v>45715</v>
      </c>
      <c r="E1712" s="11" t="str">
        <f>+HYPERLINK("http://trademark.i-assist.jp/data/china/image_1925th/82297867.pdf","82297867")</f>
        <v>82297867</v>
      </c>
      <c r="F1712" s="9" t="s">
        <v>4663</v>
      </c>
      <c r="G1712" s="9" t="s">
        <v>4532</v>
      </c>
      <c r="H1712" s="9" t="s">
        <v>4664</v>
      </c>
      <c r="I1712" s="10">
        <v>45628</v>
      </c>
    </row>
    <row r="1713" spans="1:9" x14ac:dyDescent="0.15">
      <c r="A1713" s="9">
        <v>1712</v>
      </c>
      <c r="B1713" s="9" t="s">
        <v>9</v>
      </c>
      <c r="C1713" s="9">
        <v>1925</v>
      </c>
      <c r="D1713" s="10">
        <v>45715</v>
      </c>
      <c r="E1713" s="11" t="str">
        <f>+HYPERLINK("http://trademark.i-assist.jp/data/china/image_1925th/82297902.pdf","82297902")</f>
        <v>82297902</v>
      </c>
      <c r="F1713" s="12" t="s">
        <v>4665</v>
      </c>
      <c r="G1713" s="12" t="s">
        <v>4561</v>
      </c>
      <c r="H1713" s="12" t="s">
        <v>4666</v>
      </c>
      <c r="I1713" s="10">
        <v>45628</v>
      </c>
    </row>
    <row r="1714" spans="1:9" x14ac:dyDescent="0.15">
      <c r="A1714" s="9">
        <v>1713</v>
      </c>
      <c r="B1714" s="9" t="s">
        <v>9</v>
      </c>
      <c r="C1714" s="9">
        <v>1925</v>
      </c>
      <c r="D1714" s="10">
        <v>45715</v>
      </c>
      <c r="E1714" s="11" t="str">
        <f>+HYPERLINK("http://trademark.i-assist.jp/data/china/image_1925th/82297906.pdf","82297906")</f>
        <v>82297906</v>
      </c>
      <c r="F1714" s="9" t="s">
        <v>4667</v>
      </c>
      <c r="G1714" s="12" t="s">
        <v>4668</v>
      </c>
      <c r="H1714" s="9" t="s">
        <v>4669</v>
      </c>
      <c r="I1714" s="10">
        <v>45628</v>
      </c>
    </row>
    <row r="1715" spans="1:9" x14ac:dyDescent="0.15">
      <c r="A1715" s="9">
        <v>1714</v>
      </c>
      <c r="B1715" s="9" t="s">
        <v>9</v>
      </c>
      <c r="C1715" s="9">
        <v>1925</v>
      </c>
      <c r="D1715" s="10">
        <v>45715</v>
      </c>
      <c r="E1715" s="11" t="str">
        <f>+HYPERLINK("http://trademark.i-assist.jp/data/china/image_1925th/82298081.pdf","82298081")</f>
        <v>82298081</v>
      </c>
      <c r="F1715" s="12" t="s">
        <v>4670</v>
      </c>
      <c r="G1715" s="12" t="s">
        <v>3871</v>
      </c>
      <c r="H1715" s="9" t="s">
        <v>4671</v>
      </c>
      <c r="I1715" s="10">
        <v>45628</v>
      </c>
    </row>
    <row r="1716" spans="1:9" x14ac:dyDescent="0.15">
      <c r="A1716" s="9">
        <v>1715</v>
      </c>
      <c r="B1716" s="9" t="s">
        <v>9</v>
      </c>
      <c r="C1716" s="9">
        <v>1925</v>
      </c>
      <c r="D1716" s="10">
        <v>45715</v>
      </c>
      <c r="E1716" s="11" t="str">
        <f>+HYPERLINK("http://trademark.i-assist.jp/data/china/image_1925th/82298210.pdf","82298210")</f>
        <v>82298210</v>
      </c>
      <c r="F1716" s="9" t="s">
        <v>4672</v>
      </c>
      <c r="G1716" s="12" t="s">
        <v>4673</v>
      </c>
      <c r="H1716" s="9" t="s">
        <v>4674</v>
      </c>
      <c r="I1716" s="10">
        <v>45628</v>
      </c>
    </row>
    <row r="1717" spans="1:9" x14ac:dyDescent="0.15">
      <c r="A1717" s="9">
        <v>1716</v>
      </c>
      <c r="B1717" s="9" t="s">
        <v>9</v>
      </c>
      <c r="C1717" s="9">
        <v>1925</v>
      </c>
      <c r="D1717" s="10">
        <v>45715</v>
      </c>
      <c r="E1717" s="11" t="str">
        <f>+HYPERLINK("http://trademark.i-assist.jp/data/china/image_1925th/82298240.pdf","82298240")</f>
        <v>82298240</v>
      </c>
      <c r="F1717" s="9" t="s">
        <v>4675</v>
      </c>
      <c r="G1717" s="9" t="s">
        <v>4654</v>
      </c>
      <c r="H1717" s="9" t="s">
        <v>4676</v>
      </c>
      <c r="I1717" s="10">
        <v>45628</v>
      </c>
    </row>
    <row r="1718" spans="1:9" x14ac:dyDescent="0.15">
      <c r="A1718" s="9">
        <v>1717</v>
      </c>
      <c r="B1718" s="9" t="s">
        <v>9</v>
      </c>
      <c r="C1718" s="9">
        <v>1925</v>
      </c>
      <c r="D1718" s="10">
        <v>45715</v>
      </c>
      <c r="E1718" s="11" t="str">
        <f>+HYPERLINK("http://trademark.i-assist.jp/data/china/image_1925th/82298390.pdf","82298390")</f>
        <v>82298390</v>
      </c>
      <c r="F1718" s="12" t="s">
        <v>4677</v>
      </c>
      <c r="G1718" s="9" t="s">
        <v>4678</v>
      </c>
      <c r="H1718" s="9" t="s">
        <v>4679</v>
      </c>
      <c r="I1718" s="10">
        <v>45628</v>
      </c>
    </row>
    <row r="1719" spans="1:9" x14ac:dyDescent="0.15">
      <c r="A1719" s="9">
        <v>1718</v>
      </c>
      <c r="B1719" s="9" t="s">
        <v>9</v>
      </c>
      <c r="C1719" s="9">
        <v>1925</v>
      </c>
      <c r="D1719" s="10">
        <v>45715</v>
      </c>
      <c r="E1719" s="11" t="str">
        <f>+HYPERLINK("http://trademark.i-assist.jp/data/china/image_1925th/82298485.pdf","82298485")</f>
        <v>82298485</v>
      </c>
      <c r="F1719" s="9" t="s">
        <v>4680</v>
      </c>
      <c r="G1719" s="9" t="s">
        <v>4681</v>
      </c>
      <c r="H1719" s="12" t="s">
        <v>4682</v>
      </c>
      <c r="I1719" s="10">
        <v>45628</v>
      </c>
    </row>
    <row r="1720" spans="1:9" x14ac:dyDescent="0.15">
      <c r="A1720" s="9">
        <v>1719</v>
      </c>
      <c r="B1720" s="9" t="s">
        <v>9</v>
      </c>
      <c r="C1720" s="9">
        <v>1925</v>
      </c>
      <c r="D1720" s="10">
        <v>45715</v>
      </c>
      <c r="E1720" s="11" t="str">
        <f>+HYPERLINK("http://trademark.i-assist.jp/data/china/image_1925th/82298626.pdf","82298626")</f>
        <v>82298626</v>
      </c>
      <c r="F1720" s="9" t="s">
        <v>4683</v>
      </c>
      <c r="G1720" s="9" t="s">
        <v>4684</v>
      </c>
      <c r="H1720" s="9" t="s">
        <v>4685</v>
      </c>
      <c r="I1720" s="10">
        <v>45628</v>
      </c>
    </row>
    <row r="1721" spans="1:9" x14ac:dyDescent="0.15">
      <c r="A1721" s="9">
        <v>1720</v>
      </c>
      <c r="B1721" s="9" t="s">
        <v>9</v>
      </c>
      <c r="C1721" s="9">
        <v>1925</v>
      </c>
      <c r="D1721" s="10">
        <v>45715</v>
      </c>
      <c r="E1721" s="11" t="str">
        <f>+HYPERLINK("http://trademark.i-assist.jp/data/china/image_1925th/82298659.pdf","82298659")</f>
        <v>82298659</v>
      </c>
      <c r="F1721" s="12" t="s">
        <v>4686</v>
      </c>
      <c r="G1721" s="9" t="s">
        <v>4687</v>
      </c>
      <c r="H1721" s="9" t="s">
        <v>4688</v>
      </c>
      <c r="I1721" s="10">
        <v>45628</v>
      </c>
    </row>
    <row r="1722" spans="1:9" x14ac:dyDescent="0.15">
      <c r="A1722" s="9">
        <v>1721</v>
      </c>
      <c r="B1722" s="9" t="s">
        <v>9</v>
      </c>
      <c r="C1722" s="9">
        <v>1925</v>
      </c>
      <c r="D1722" s="10">
        <v>45715</v>
      </c>
      <c r="E1722" s="11" t="str">
        <f>+HYPERLINK("http://trademark.i-assist.jp/data/china/image_1925th/82299030.pdf","82299030")</f>
        <v>82299030</v>
      </c>
      <c r="F1722" s="9" t="s">
        <v>4689</v>
      </c>
      <c r="G1722" s="9" t="s">
        <v>4690</v>
      </c>
      <c r="H1722" s="9" t="s">
        <v>4691</v>
      </c>
      <c r="I1722" s="10">
        <v>45628</v>
      </c>
    </row>
    <row r="1723" spans="1:9" x14ac:dyDescent="0.15">
      <c r="A1723" s="9">
        <v>1722</v>
      </c>
      <c r="B1723" s="9" t="s">
        <v>9</v>
      </c>
      <c r="C1723" s="9">
        <v>1925</v>
      </c>
      <c r="D1723" s="10">
        <v>45715</v>
      </c>
      <c r="E1723" s="11" t="str">
        <f>+HYPERLINK("http://trademark.i-assist.jp/data/china/image_1925th/82299103.pdf","82299103")</f>
        <v>82299103</v>
      </c>
      <c r="F1723" s="9" t="s">
        <v>4692</v>
      </c>
      <c r="G1723" s="12" t="s">
        <v>4693</v>
      </c>
      <c r="H1723" s="9" t="s">
        <v>4694</v>
      </c>
      <c r="I1723" s="10">
        <v>45628</v>
      </c>
    </row>
    <row r="1724" spans="1:9" x14ac:dyDescent="0.15">
      <c r="A1724" s="9">
        <v>1723</v>
      </c>
      <c r="B1724" s="9" t="s">
        <v>9</v>
      </c>
      <c r="C1724" s="9">
        <v>1925</v>
      </c>
      <c r="D1724" s="10">
        <v>45715</v>
      </c>
      <c r="E1724" s="11" t="str">
        <f>+HYPERLINK("http://trademark.i-assist.jp/data/china/image_1925th/82299297.pdf","82299297")</f>
        <v>82299297</v>
      </c>
      <c r="F1724" s="9" t="s">
        <v>4695</v>
      </c>
      <c r="G1724" s="9" t="s">
        <v>4548</v>
      </c>
      <c r="H1724" s="9" t="s">
        <v>4696</v>
      </c>
      <c r="I1724" s="10">
        <v>45628</v>
      </c>
    </row>
    <row r="1725" spans="1:9" x14ac:dyDescent="0.15">
      <c r="A1725" s="9">
        <v>1724</v>
      </c>
      <c r="B1725" s="9" t="s">
        <v>9</v>
      </c>
      <c r="C1725" s="9">
        <v>1925</v>
      </c>
      <c r="D1725" s="10">
        <v>45715</v>
      </c>
      <c r="E1725" s="11" t="str">
        <f>+HYPERLINK("http://trademark.i-assist.jp/data/china/image_1925th/82299309.pdf","82299309")</f>
        <v>82299309</v>
      </c>
      <c r="F1725" s="9" t="s">
        <v>4697</v>
      </c>
      <c r="G1725" s="9" t="s">
        <v>4698</v>
      </c>
      <c r="H1725" s="9" t="s">
        <v>4699</v>
      </c>
      <c r="I1725" s="10">
        <v>45628</v>
      </c>
    </row>
    <row r="1726" spans="1:9" x14ac:dyDescent="0.15">
      <c r="A1726" s="9">
        <v>1725</v>
      </c>
      <c r="B1726" s="9" t="s">
        <v>9</v>
      </c>
      <c r="C1726" s="9">
        <v>1925</v>
      </c>
      <c r="D1726" s="10">
        <v>45715</v>
      </c>
      <c r="E1726" s="11" t="str">
        <f>+HYPERLINK("http://trademark.i-assist.jp/data/china/image_1925th/82299415.pdf","82299415")</f>
        <v>82299415</v>
      </c>
      <c r="F1726" s="9" t="s">
        <v>4700</v>
      </c>
      <c r="G1726" s="9" t="s">
        <v>518</v>
      </c>
      <c r="H1726" s="9" t="s">
        <v>4701</v>
      </c>
      <c r="I1726" s="10">
        <v>45628</v>
      </c>
    </row>
    <row r="1727" spans="1:9" x14ac:dyDescent="0.15">
      <c r="A1727" s="9">
        <v>1726</v>
      </c>
      <c r="B1727" s="9" t="s">
        <v>9</v>
      </c>
      <c r="C1727" s="9">
        <v>1925</v>
      </c>
      <c r="D1727" s="10">
        <v>45715</v>
      </c>
      <c r="E1727" s="11" t="str">
        <f>+HYPERLINK("http://trademark.i-assist.jp/data/china/image_1925th/82299719.pdf","82299719")</f>
        <v>82299719</v>
      </c>
      <c r="F1727" s="9" t="s">
        <v>4702</v>
      </c>
      <c r="G1727" s="9" t="s">
        <v>4703</v>
      </c>
      <c r="H1727" s="9" t="s">
        <v>4704</v>
      </c>
      <c r="I1727" s="10">
        <v>45628</v>
      </c>
    </row>
    <row r="1728" spans="1:9" x14ac:dyDescent="0.15">
      <c r="A1728" s="9">
        <v>1727</v>
      </c>
      <c r="B1728" s="9" t="s">
        <v>9</v>
      </c>
      <c r="C1728" s="9">
        <v>1925</v>
      </c>
      <c r="D1728" s="10">
        <v>45715</v>
      </c>
      <c r="E1728" s="11" t="str">
        <f>+HYPERLINK("http://trademark.i-assist.jp/data/china/image_1925th/82299759.pdf","82299759")</f>
        <v>82299759</v>
      </c>
      <c r="F1728" s="9" t="s">
        <v>4705</v>
      </c>
      <c r="G1728" s="12" t="s">
        <v>4706</v>
      </c>
      <c r="H1728" s="9" t="s">
        <v>4707</v>
      </c>
      <c r="I1728" s="10">
        <v>45628</v>
      </c>
    </row>
    <row r="1729" spans="1:9" x14ac:dyDescent="0.15">
      <c r="A1729" s="9">
        <v>1728</v>
      </c>
      <c r="B1729" s="9" t="s">
        <v>9</v>
      </c>
      <c r="C1729" s="9">
        <v>1925</v>
      </c>
      <c r="D1729" s="10">
        <v>45715</v>
      </c>
      <c r="E1729" s="11" t="str">
        <f>+HYPERLINK("http://trademark.i-assist.jp/data/china/image_1925th/82299761.pdf","82299761")</f>
        <v>82299761</v>
      </c>
      <c r="F1729" s="9" t="s">
        <v>4708</v>
      </c>
      <c r="G1729" s="9" t="s">
        <v>4709</v>
      </c>
      <c r="H1729" s="9" t="s">
        <v>4710</v>
      </c>
      <c r="I1729" s="10">
        <v>45628</v>
      </c>
    </row>
    <row r="1730" spans="1:9" x14ac:dyDescent="0.15">
      <c r="A1730" s="9">
        <v>1729</v>
      </c>
      <c r="B1730" s="9" t="s">
        <v>9</v>
      </c>
      <c r="C1730" s="9">
        <v>1925</v>
      </c>
      <c r="D1730" s="10">
        <v>45715</v>
      </c>
      <c r="E1730" s="11" t="str">
        <f>+HYPERLINK("http://trademark.i-assist.jp/data/china/image_1925th/82299870.pdf","82299870")</f>
        <v>82299870</v>
      </c>
      <c r="F1730" s="9" t="s">
        <v>4711</v>
      </c>
      <c r="G1730" s="9" t="s">
        <v>4712</v>
      </c>
      <c r="H1730" s="9" t="s">
        <v>4713</v>
      </c>
      <c r="I1730" s="10">
        <v>45628</v>
      </c>
    </row>
    <row r="1731" spans="1:9" x14ac:dyDescent="0.15">
      <c r="A1731" s="9">
        <v>1730</v>
      </c>
      <c r="B1731" s="9" t="s">
        <v>9</v>
      </c>
      <c r="C1731" s="9">
        <v>1925</v>
      </c>
      <c r="D1731" s="10">
        <v>45715</v>
      </c>
      <c r="E1731" s="11" t="str">
        <f>+HYPERLINK("http://trademark.i-assist.jp/data/china/image_1925th/82299938.pdf","82299938")</f>
        <v>82299938</v>
      </c>
      <c r="F1731" s="9" t="s">
        <v>4714</v>
      </c>
      <c r="G1731" s="9" t="s">
        <v>4715</v>
      </c>
      <c r="H1731" s="9" t="s">
        <v>4716</v>
      </c>
      <c r="I1731" s="10">
        <v>45628</v>
      </c>
    </row>
    <row r="1732" spans="1:9" x14ac:dyDescent="0.15">
      <c r="A1732" s="9">
        <v>1731</v>
      </c>
      <c r="B1732" s="9" t="s">
        <v>9</v>
      </c>
      <c r="C1732" s="9">
        <v>1925</v>
      </c>
      <c r="D1732" s="10">
        <v>45715</v>
      </c>
      <c r="E1732" s="11" t="str">
        <f>+HYPERLINK("http://trademark.i-assist.jp/data/china/image_1925th/82300482.pdf","82300482")</f>
        <v>82300482</v>
      </c>
      <c r="F1732" s="12" t="s">
        <v>4717</v>
      </c>
      <c r="G1732" s="9" t="s">
        <v>4591</v>
      </c>
      <c r="H1732" s="9" t="s">
        <v>4718</v>
      </c>
      <c r="I1732" s="10">
        <v>45628</v>
      </c>
    </row>
    <row r="1733" spans="1:9" x14ac:dyDescent="0.15">
      <c r="A1733" s="9">
        <v>1732</v>
      </c>
      <c r="B1733" s="9" t="s">
        <v>9</v>
      </c>
      <c r="C1733" s="9">
        <v>1925</v>
      </c>
      <c r="D1733" s="10">
        <v>45715</v>
      </c>
      <c r="E1733" s="11" t="str">
        <f>+HYPERLINK("http://trademark.i-assist.jp/data/china/image_1925th/82300595.pdf","82300595")</f>
        <v>82300595</v>
      </c>
      <c r="F1733" s="12" t="s">
        <v>4719</v>
      </c>
      <c r="G1733" s="9" t="s">
        <v>4720</v>
      </c>
      <c r="H1733" s="9" t="s">
        <v>4721</v>
      </c>
      <c r="I1733" s="10">
        <v>45628</v>
      </c>
    </row>
    <row r="1734" spans="1:9" x14ac:dyDescent="0.15">
      <c r="A1734" s="9">
        <v>1733</v>
      </c>
      <c r="B1734" s="9" t="s">
        <v>9</v>
      </c>
      <c r="C1734" s="9">
        <v>1925</v>
      </c>
      <c r="D1734" s="10">
        <v>45715</v>
      </c>
      <c r="E1734" s="11" t="str">
        <f>+HYPERLINK("http://trademark.i-assist.jp/data/china/image_1925th/82300889.pdf","82300889")</f>
        <v>82300889</v>
      </c>
      <c r="F1734" s="9" t="s">
        <v>4722</v>
      </c>
      <c r="G1734" s="9" t="s">
        <v>4532</v>
      </c>
      <c r="H1734" s="9" t="s">
        <v>4723</v>
      </c>
      <c r="I1734" s="10">
        <v>45628</v>
      </c>
    </row>
    <row r="1735" spans="1:9" x14ac:dyDescent="0.15">
      <c r="A1735" s="9">
        <v>1734</v>
      </c>
      <c r="B1735" s="9" t="s">
        <v>9</v>
      </c>
      <c r="C1735" s="9">
        <v>1925</v>
      </c>
      <c r="D1735" s="10">
        <v>45715</v>
      </c>
      <c r="E1735" s="11" t="str">
        <f>+HYPERLINK("http://trademark.i-assist.jp/data/china/image_1925th/82300961.pdf","82300961")</f>
        <v>82300961</v>
      </c>
      <c r="F1735" s="9" t="s">
        <v>4724</v>
      </c>
      <c r="G1735" s="12" t="s">
        <v>4177</v>
      </c>
      <c r="H1735" s="9" t="s">
        <v>4725</v>
      </c>
      <c r="I1735" s="10">
        <v>45628</v>
      </c>
    </row>
    <row r="1736" spans="1:9" x14ac:dyDescent="0.15">
      <c r="A1736" s="9">
        <v>1735</v>
      </c>
      <c r="B1736" s="9" t="s">
        <v>9</v>
      </c>
      <c r="C1736" s="9">
        <v>1925</v>
      </c>
      <c r="D1736" s="10">
        <v>45715</v>
      </c>
      <c r="E1736" s="11" t="str">
        <f>+HYPERLINK("http://trademark.i-assist.jp/data/china/image_1925th/82301025.pdf","82301025")</f>
        <v>82301025</v>
      </c>
      <c r="F1736" s="12" t="s">
        <v>4726</v>
      </c>
      <c r="G1736" s="9" t="s">
        <v>4727</v>
      </c>
      <c r="H1736" s="9" t="s">
        <v>4728</v>
      </c>
      <c r="I1736" s="10">
        <v>45628</v>
      </c>
    </row>
    <row r="1737" spans="1:9" x14ac:dyDescent="0.15">
      <c r="A1737" s="9">
        <v>1736</v>
      </c>
      <c r="B1737" s="9" t="s">
        <v>9</v>
      </c>
      <c r="C1737" s="9">
        <v>1925</v>
      </c>
      <c r="D1737" s="10">
        <v>45715</v>
      </c>
      <c r="E1737" s="11" t="str">
        <f>+HYPERLINK("http://trademark.i-assist.jp/data/china/image_1925th/82301146.pdf","82301146")</f>
        <v>82301146</v>
      </c>
      <c r="F1737" s="9" t="s">
        <v>4729</v>
      </c>
      <c r="G1737" s="9" t="s">
        <v>4729</v>
      </c>
      <c r="H1737" s="9" t="s">
        <v>4730</v>
      </c>
      <c r="I1737" s="10">
        <v>45628</v>
      </c>
    </row>
    <row r="1738" spans="1:9" x14ac:dyDescent="0.15">
      <c r="A1738" s="9">
        <v>1737</v>
      </c>
      <c r="B1738" s="9" t="s">
        <v>9</v>
      </c>
      <c r="C1738" s="9">
        <v>1925</v>
      </c>
      <c r="D1738" s="10">
        <v>45715</v>
      </c>
      <c r="E1738" s="11" t="str">
        <f>+HYPERLINK("http://trademark.i-assist.jp/data/china/image_1925th/82301156.pdf","82301156")</f>
        <v>82301156</v>
      </c>
      <c r="F1738" s="9" t="s">
        <v>4731</v>
      </c>
      <c r="G1738" s="9" t="s">
        <v>4732</v>
      </c>
      <c r="H1738" s="9" t="s">
        <v>4733</v>
      </c>
      <c r="I1738" s="10">
        <v>45628</v>
      </c>
    </row>
    <row r="1739" spans="1:9" x14ac:dyDescent="0.15">
      <c r="A1739" s="9">
        <v>1738</v>
      </c>
      <c r="B1739" s="9" t="s">
        <v>9</v>
      </c>
      <c r="C1739" s="9">
        <v>1925</v>
      </c>
      <c r="D1739" s="10">
        <v>45715</v>
      </c>
      <c r="E1739" s="11" t="str">
        <f>+HYPERLINK("http://trademark.i-assist.jp/data/china/image_1925th/82301184.pdf","82301184")</f>
        <v>82301184</v>
      </c>
      <c r="F1739" s="9" t="s">
        <v>4734</v>
      </c>
      <c r="G1739" s="12" t="s">
        <v>3871</v>
      </c>
      <c r="H1739" s="9" t="s">
        <v>4735</v>
      </c>
      <c r="I1739" s="10">
        <v>45628</v>
      </c>
    </row>
    <row r="1740" spans="1:9" x14ac:dyDescent="0.15">
      <c r="A1740" s="9">
        <v>1739</v>
      </c>
      <c r="B1740" s="9" t="s">
        <v>9</v>
      </c>
      <c r="C1740" s="9">
        <v>1925</v>
      </c>
      <c r="D1740" s="10">
        <v>45715</v>
      </c>
      <c r="E1740" s="11" t="str">
        <f>+HYPERLINK("http://trademark.i-assist.jp/data/china/image_1925th/82301334.pdf","82301334")</f>
        <v>82301334</v>
      </c>
      <c r="F1740" s="9" t="s">
        <v>4736</v>
      </c>
      <c r="G1740" s="12" t="s">
        <v>4737</v>
      </c>
      <c r="H1740" s="12" t="s">
        <v>4738</v>
      </c>
      <c r="I1740" s="10">
        <v>45628</v>
      </c>
    </row>
    <row r="1741" spans="1:9" x14ac:dyDescent="0.15">
      <c r="A1741" s="9">
        <v>1740</v>
      </c>
      <c r="B1741" s="9" t="s">
        <v>9</v>
      </c>
      <c r="C1741" s="9">
        <v>1925</v>
      </c>
      <c r="D1741" s="10">
        <v>45715</v>
      </c>
      <c r="E1741" s="11" t="str">
        <f>+HYPERLINK("http://trademark.i-assist.jp/data/china/image_1925th/82301551.pdf","82301551")</f>
        <v>82301551</v>
      </c>
      <c r="F1741" s="12" t="s">
        <v>57</v>
      </c>
      <c r="G1741" s="9" t="s">
        <v>4739</v>
      </c>
      <c r="H1741" s="9" t="s">
        <v>4740</v>
      </c>
      <c r="I1741" s="10">
        <v>45628</v>
      </c>
    </row>
    <row r="1742" spans="1:9" x14ac:dyDescent="0.15">
      <c r="A1742" s="9">
        <v>1741</v>
      </c>
      <c r="B1742" s="9" t="s">
        <v>9</v>
      </c>
      <c r="C1742" s="9">
        <v>1925</v>
      </c>
      <c r="D1742" s="10">
        <v>45715</v>
      </c>
      <c r="E1742" s="11" t="str">
        <f>+HYPERLINK("http://trademark.i-assist.jp/data/china/image_1925th/82301617.pdf","82301617")</f>
        <v>82301617</v>
      </c>
      <c r="F1742" s="12" t="s">
        <v>4741</v>
      </c>
      <c r="G1742" s="9" t="s">
        <v>4742</v>
      </c>
      <c r="H1742" s="9" t="s">
        <v>4743</v>
      </c>
      <c r="I1742" s="10">
        <v>45628</v>
      </c>
    </row>
    <row r="1743" spans="1:9" x14ac:dyDescent="0.15">
      <c r="A1743" s="9">
        <v>1742</v>
      </c>
      <c r="B1743" s="9" t="s">
        <v>9</v>
      </c>
      <c r="C1743" s="9">
        <v>1925</v>
      </c>
      <c r="D1743" s="10">
        <v>45715</v>
      </c>
      <c r="E1743" s="11" t="str">
        <f>+HYPERLINK("http://trademark.i-assist.jp/data/china/image_1925th/82301970.pdf","82301970")</f>
        <v>82301970</v>
      </c>
      <c r="F1743" s="9" t="s">
        <v>4744</v>
      </c>
      <c r="G1743" s="9" t="s">
        <v>4709</v>
      </c>
      <c r="H1743" s="9" t="s">
        <v>4745</v>
      </c>
      <c r="I1743" s="10">
        <v>45628</v>
      </c>
    </row>
    <row r="1744" spans="1:9" x14ac:dyDescent="0.15">
      <c r="A1744" s="9">
        <v>1743</v>
      </c>
      <c r="B1744" s="9" t="s">
        <v>9</v>
      </c>
      <c r="C1744" s="9">
        <v>1925</v>
      </c>
      <c r="D1744" s="10">
        <v>45715</v>
      </c>
      <c r="E1744" s="11" t="str">
        <f>+HYPERLINK("http://trademark.i-assist.jp/data/china/image_1925th/82302039.pdf","82302039")</f>
        <v>82302039</v>
      </c>
      <c r="F1744" s="9" t="s">
        <v>4746</v>
      </c>
      <c r="G1744" s="9" t="s">
        <v>4591</v>
      </c>
      <c r="H1744" s="9" t="s">
        <v>4747</v>
      </c>
      <c r="I1744" s="10">
        <v>45628</v>
      </c>
    </row>
    <row r="1745" spans="1:9" x14ac:dyDescent="0.15">
      <c r="A1745" s="9">
        <v>1744</v>
      </c>
      <c r="B1745" s="9" t="s">
        <v>9</v>
      </c>
      <c r="C1745" s="9">
        <v>1925</v>
      </c>
      <c r="D1745" s="10">
        <v>45715</v>
      </c>
      <c r="E1745" s="11" t="str">
        <f>+HYPERLINK("http://trademark.i-assist.jp/data/china/image_1925th/82302191.pdf","82302191")</f>
        <v>82302191</v>
      </c>
      <c r="F1745" s="12" t="s">
        <v>4748</v>
      </c>
      <c r="G1745" s="12" t="s">
        <v>4749</v>
      </c>
      <c r="H1745" s="9" t="s">
        <v>4750</v>
      </c>
      <c r="I1745" s="10">
        <v>45628</v>
      </c>
    </row>
    <row r="1746" spans="1:9" x14ac:dyDescent="0.15">
      <c r="A1746" s="9">
        <v>1745</v>
      </c>
      <c r="B1746" s="9" t="s">
        <v>9</v>
      </c>
      <c r="C1746" s="9">
        <v>1925</v>
      </c>
      <c r="D1746" s="10">
        <v>45715</v>
      </c>
      <c r="E1746" s="11" t="str">
        <f>+HYPERLINK("http://trademark.i-assist.jp/data/china/image_1925th/82302366.pdf","82302366")</f>
        <v>82302366</v>
      </c>
      <c r="F1746" s="9" t="s">
        <v>4751</v>
      </c>
      <c r="G1746" s="12" t="s">
        <v>4752</v>
      </c>
      <c r="H1746" s="9" t="s">
        <v>4753</v>
      </c>
      <c r="I1746" s="10">
        <v>45628</v>
      </c>
    </row>
    <row r="1747" spans="1:9" x14ac:dyDescent="0.15">
      <c r="A1747" s="9">
        <v>1746</v>
      </c>
      <c r="B1747" s="9" t="s">
        <v>9</v>
      </c>
      <c r="C1747" s="9">
        <v>1925</v>
      </c>
      <c r="D1747" s="10">
        <v>45715</v>
      </c>
      <c r="E1747" s="11" t="str">
        <f>+HYPERLINK("http://trademark.i-assist.jp/data/china/image_1925th/82302531.pdf","82302531")</f>
        <v>82302531</v>
      </c>
      <c r="F1747" s="9" t="s">
        <v>4754</v>
      </c>
      <c r="G1747" s="9" t="s">
        <v>518</v>
      </c>
      <c r="H1747" s="9" t="s">
        <v>4755</v>
      </c>
      <c r="I1747" s="10">
        <v>45628</v>
      </c>
    </row>
    <row r="1748" spans="1:9" x14ac:dyDescent="0.15">
      <c r="A1748" s="9">
        <v>1747</v>
      </c>
      <c r="B1748" s="9" t="s">
        <v>9</v>
      </c>
      <c r="C1748" s="9">
        <v>1925</v>
      </c>
      <c r="D1748" s="10">
        <v>45715</v>
      </c>
      <c r="E1748" s="11" t="str">
        <f>+HYPERLINK("http://trademark.i-assist.jp/data/china/image_1925th/82302776.pdf","82302776")</f>
        <v>82302776</v>
      </c>
      <c r="F1748" s="9" t="s">
        <v>4756</v>
      </c>
      <c r="G1748" s="9" t="s">
        <v>4594</v>
      </c>
      <c r="H1748" s="9" t="s">
        <v>4757</v>
      </c>
      <c r="I1748" s="10">
        <v>45628</v>
      </c>
    </row>
    <row r="1749" spans="1:9" x14ac:dyDescent="0.15">
      <c r="A1749" s="9">
        <v>1748</v>
      </c>
      <c r="B1749" s="9" t="s">
        <v>9</v>
      </c>
      <c r="C1749" s="9">
        <v>1925</v>
      </c>
      <c r="D1749" s="10">
        <v>45715</v>
      </c>
      <c r="E1749" s="11" t="str">
        <f>+HYPERLINK("http://trademark.i-assist.jp/data/china/image_1925th/82302857.pdf","82302857")</f>
        <v>82302857</v>
      </c>
      <c r="F1749" s="9" t="s">
        <v>4758</v>
      </c>
      <c r="G1749" s="9" t="s">
        <v>4607</v>
      </c>
      <c r="H1749" s="9" t="s">
        <v>4759</v>
      </c>
      <c r="I1749" s="10">
        <v>45628</v>
      </c>
    </row>
    <row r="1750" spans="1:9" x14ac:dyDescent="0.15">
      <c r="A1750" s="9">
        <v>1749</v>
      </c>
      <c r="B1750" s="9" t="s">
        <v>9</v>
      </c>
      <c r="C1750" s="9">
        <v>1925</v>
      </c>
      <c r="D1750" s="10">
        <v>45715</v>
      </c>
      <c r="E1750" s="11" t="str">
        <f>+HYPERLINK("http://trademark.i-assist.jp/data/china/image_1925th/82302900.pdf","82302900")</f>
        <v>82302900</v>
      </c>
      <c r="F1750" s="9" t="s">
        <v>4760</v>
      </c>
      <c r="G1750" s="9" t="s">
        <v>4761</v>
      </c>
      <c r="H1750" s="9" t="s">
        <v>4762</v>
      </c>
      <c r="I1750" s="10">
        <v>45628</v>
      </c>
    </row>
    <row r="1751" spans="1:9" x14ac:dyDescent="0.15">
      <c r="A1751" s="9">
        <v>1750</v>
      </c>
      <c r="B1751" s="9" t="s">
        <v>9</v>
      </c>
      <c r="C1751" s="9">
        <v>1925</v>
      </c>
      <c r="D1751" s="10">
        <v>45715</v>
      </c>
      <c r="E1751" s="11" t="str">
        <f>+HYPERLINK("http://trademark.i-assist.jp/data/china/image_1925th/82303296.pdf","82303296")</f>
        <v>82303296</v>
      </c>
      <c r="F1751" s="9" t="s">
        <v>4763</v>
      </c>
      <c r="G1751" s="9" t="s">
        <v>4703</v>
      </c>
      <c r="H1751" s="9" t="s">
        <v>4764</v>
      </c>
      <c r="I1751" s="10">
        <v>45628</v>
      </c>
    </row>
    <row r="1752" spans="1:9" x14ac:dyDescent="0.15">
      <c r="A1752" s="9">
        <v>1751</v>
      </c>
      <c r="B1752" s="9" t="s">
        <v>9</v>
      </c>
      <c r="C1752" s="9">
        <v>1925</v>
      </c>
      <c r="D1752" s="10">
        <v>45715</v>
      </c>
      <c r="E1752" s="11" t="str">
        <f>+HYPERLINK("http://trademark.i-assist.jp/data/china/image_1925th/82303375.pdf","82303375")</f>
        <v>82303375</v>
      </c>
      <c r="F1752" s="12" t="s">
        <v>57</v>
      </c>
      <c r="G1752" s="9" t="s">
        <v>4765</v>
      </c>
      <c r="H1752" s="9" t="s">
        <v>4766</v>
      </c>
      <c r="I1752" s="10">
        <v>45628</v>
      </c>
    </row>
    <row r="1753" spans="1:9" x14ac:dyDescent="0.15">
      <c r="A1753" s="9">
        <v>1752</v>
      </c>
      <c r="B1753" s="9" t="s">
        <v>9</v>
      </c>
      <c r="C1753" s="9">
        <v>1925</v>
      </c>
      <c r="D1753" s="10">
        <v>45715</v>
      </c>
      <c r="E1753" s="11" t="str">
        <f>+HYPERLINK("http://trademark.i-assist.jp/data/china/image_1925th/82303390.pdf","82303390")</f>
        <v>82303390</v>
      </c>
      <c r="F1753" s="9" t="s">
        <v>4767</v>
      </c>
      <c r="G1753" s="9" t="s">
        <v>4543</v>
      </c>
      <c r="H1753" s="9" t="s">
        <v>4768</v>
      </c>
      <c r="I1753" s="10">
        <v>45628</v>
      </c>
    </row>
    <row r="1754" spans="1:9" x14ac:dyDescent="0.15">
      <c r="A1754" s="9">
        <v>1753</v>
      </c>
      <c r="B1754" s="9" t="s">
        <v>9</v>
      </c>
      <c r="C1754" s="9">
        <v>1925</v>
      </c>
      <c r="D1754" s="10">
        <v>45715</v>
      </c>
      <c r="E1754" s="11" t="str">
        <f>+HYPERLINK("http://trademark.i-assist.jp/data/china/image_1925th/82303456.pdf","82303456")</f>
        <v>82303456</v>
      </c>
      <c r="F1754" s="9" t="s">
        <v>4769</v>
      </c>
      <c r="G1754" s="9" t="s">
        <v>1785</v>
      </c>
      <c r="H1754" s="9" t="s">
        <v>4770</v>
      </c>
      <c r="I1754" s="10">
        <v>45628</v>
      </c>
    </row>
    <row r="1755" spans="1:9" x14ac:dyDescent="0.15">
      <c r="A1755" s="9">
        <v>1754</v>
      </c>
      <c r="B1755" s="9" t="s">
        <v>9</v>
      </c>
      <c r="C1755" s="9">
        <v>1925</v>
      </c>
      <c r="D1755" s="10">
        <v>45715</v>
      </c>
      <c r="E1755" s="11" t="str">
        <f>+HYPERLINK("http://trademark.i-assist.jp/data/china/image_1925th/82303556.pdf","82303556")</f>
        <v>82303556</v>
      </c>
      <c r="F1755" s="9" t="s">
        <v>4771</v>
      </c>
      <c r="G1755" s="9" t="s">
        <v>4532</v>
      </c>
      <c r="H1755" s="9" t="s">
        <v>4772</v>
      </c>
      <c r="I1755" s="10">
        <v>45628</v>
      </c>
    </row>
    <row r="1756" spans="1:9" x14ac:dyDescent="0.15">
      <c r="A1756" s="9">
        <v>1755</v>
      </c>
      <c r="B1756" s="9" t="s">
        <v>9</v>
      </c>
      <c r="C1756" s="9">
        <v>1925</v>
      </c>
      <c r="D1756" s="10">
        <v>45715</v>
      </c>
      <c r="E1756" s="11" t="str">
        <f>+HYPERLINK("http://trademark.i-assist.jp/data/china/image_1925th/82303590.pdf","82303590")</f>
        <v>82303590</v>
      </c>
      <c r="F1756" s="9" t="s">
        <v>4773</v>
      </c>
      <c r="G1756" s="9" t="s">
        <v>4774</v>
      </c>
      <c r="H1756" s="9" t="s">
        <v>4775</v>
      </c>
      <c r="I1756" s="10">
        <v>45628</v>
      </c>
    </row>
    <row r="1757" spans="1:9" x14ac:dyDescent="0.15">
      <c r="A1757" s="9">
        <v>1756</v>
      </c>
      <c r="B1757" s="9" t="s">
        <v>9</v>
      </c>
      <c r="C1757" s="9">
        <v>1925</v>
      </c>
      <c r="D1757" s="10">
        <v>45715</v>
      </c>
      <c r="E1757" s="11" t="str">
        <f>+HYPERLINK("http://trademark.i-assist.jp/data/china/image_1925th/82303993.pdf","82303993")</f>
        <v>82303993</v>
      </c>
      <c r="F1757" s="9" t="s">
        <v>4776</v>
      </c>
      <c r="G1757" s="9" t="s">
        <v>4777</v>
      </c>
      <c r="H1757" s="9" t="s">
        <v>4778</v>
      </c>
      <c r="I1757" s="10">
        <v>45628</v>
      </c>
    </row>
    <row r="1758" spans="1:9" x14ac:dyDescent="0.15">
      <c r="A1758" s="9">
        <v>1757</v>
      </c>
      <c r="B1758" s="9" t="s">
        <v>9</v>
      </c>
      <c r="C1758" s="9">
        <v>1925</v>
      </c>
      <c r="D1758" s="10">
        <v>45715</v>
      </c>
      <c r="E1758" s="11" t="str">
        <f>+HYPERLINK("http://trademark.i-assist.jp/data/china/image_1925th/82304658.pdf","82304658")</f>
        <v>82304658</v>
      </c>
      <c r="F1758" s="12" t="s">
        <v>4779</v>
      </c>
      <c r="G1758" s="9" t="s">
        <v>4780</v>
      </c>
      <c r="H1758" s="9" t="s">
        <v>4781</v>
      </c>
      <c r="I1758" s="10">
        <v>45628</v>
      </c>
    </row>
    <row r="1759" spans="1:9" x14ac:dyDescent="0.15">
      <c r="A1759" s="9">
        <v>1758</v>
      </c>
      <c r="B1759" s="9" t="s">
        <v>9</v>
      </c>
      <c r="C1759" s="9">
        <v>1925</v>
      </c>
      <c r="D1759" s="10">
        <v>45715</v>
      </c>
      <c r="E1759" s="11" t="str">
        <f>+HYPERLINK("http://trademark.i-assist.jp/data/china/image_1925th/82304676.pdf","82304676")</f>
        <v>82304676</v>
      </c>
      <c r="F1759" s="9" t="s">
        <v>4782</v>
      </c>
      <c r="G1759" s="9" t="s">
        <v>702</v>
      </c>
      <c r="H1759" s="9" t="s">
        <v>4783</v>
      </c>
      <c r="I1759" s="10">
        <v>45628</v>
      </c>
    </row>
    <row r="1760" spans="1:9" x14ac:dyDescent="0.15">
      <c r="A1760" s="9">
        <v>1759</v>
      </c>
      <c r="B1760" s="9" t="s">
        <v>9</v>
      </c>
      <c r="C1760" s="9">
        <v>1925</v>
      </c>
      <c r="D1760" s="10">
        <v>45715</v>
      </c>
      <c r="E1760" s="11" t="str">
        <f>+HYPERLINK("http://trademark.i-assist.jp/data/china/image_1925th/82304867.pdf","82304867")</f>
        <v>82304867</v>
      </c>
      <c r="F1760" s="12" t="s">
        <v>4784</v>
      </c>
      <c r="G1760" s="9" t="s">
        <v>4785</v>
      </c>
      <c r="H1760" s="9" t="s">
        <v>4786</v>
      </c>
      <c r="I1760" s="10">
        <v>45628</v>
      </c>
    </row>
    <row r="1761" spans="1:9" x14ac:dyDescent="0.15">
      <c r="A1761" s="9">
        <v>1760</v>
      </c>
      <c r="B1761" s="9" t="s">
        <v>9</v>
      </c>
      <c r="C1761" s="9">
        <v>1925</v>
      </c>
      <c r="D1761" s="10">
        <v>45715</v>
      </c>
      <c r="E1761" s="11" t="str">
        <f>+HYPERLINK("http://trademark.i-assist.jp/data/china/image_1925th/82304900.pdf","82304900")</f>
        <v>82304900</v>
      </c>
      <c r="F1761" s="9" t="s">
        <v>4787</v>
      </c>
      <c r="G1761" s="9" t="s">
        <v>4654</v>
      </c>
      <c r="H1761" s="9" t="s">
        <v>4788</v>
      </c>
      <c r="I1761" s="10">
        <v>45628</v>
      </c>
    </row>
    <row r="1762" spans="1:9" x14ac:dyDescent="0.15">
      <c r="A1762" s="9">
        <v>1761</v>
      </c>
      <c r="B1762" s="9" t="s">
        <v>9</v>
      </c>
      <c r="C1762" s="9">
        <v>1925</v>
      </c>
      <c r="D1762" s="10">
        <v>45715</v>
      </c>
      <c r="E1762" s="11" t="str">
        <f>+HYPERLINK("http://trademark.i-assist.jp/data/china/image_1925th/82304957.pdf","82304957")</f>
        <v>82304957</v>
      </c>
      <c r="F1762" s="12" t="s">
        <v>4789</v>
      </c>
      <c r="G1762" s="9" t="s">
        <v>4591</v>
      </c>
      <c r="H1762" s="9" t="s">
        <v>4790</v>
      </c>
      <c r="I1762" s="10">
        <v>45628</v>
      </c>
    </row>
    <row r="1763" spans="1:9" x14ac:dyDescent="0.15">
      <c r="A1763" s="9">
        <v>1762</v>
      </c>
      <c r="B1763" s="9" t="s">
        <v>9</v>
      </c>
      <c r="C1763" s="9">
        <v>1925</v>
      </c>
      <c r="D1763" s="10">
        <v>45715</v>
      </c>
      <c r="E1763" s="11" t="str">
        <f>+HYPERLINK("http://trademark.i-assist.jp/data/china/image_1925th/82305308.pdf","82305308")</f>
        <v>82305308</v>
      </c>
      <c r="F1763" s="12" t="s">
        <v>4791</v>
      </c>
      <c r="G1763" s="9" t="s">
        <v>4792</v>
      </c>
      <c r="H1763" s="9" t="s">
        <v>4793</v>
      </c>
      <c r="I1763" s="10">
        <v>45629</v>
      </c>
    </row>
    <row r="1764" spans="1:9" x14ac:dyDescent="0.15">
      <c r="A1764" s="9">
        <v>1763</v>
      </c>
      <c r="B1764" s="9" t="s">
        <v>9</v>
      </c>
      <c r="C1764" s="9">
        <v>1925</v>
      </c>
      <c r="D1764" s="10">
        <v>45715</v>
      </c>
      <c r="E1764" s="11" t="str">
        <f>+HYPERLINK("http://trademark.i-assist.jp/data/china/image_1925th/82305532.pdf","82305532")</f>
        <v>82305532</v>
      </c>
      <c r="F1764" s="9" t="s">
        <v>4794</v>
      </c>
      <c r="G1764" s="13" t="s">
        <v>4795</v>
      </c>
      <c r="H1764" s="9" t="s">
        <v>4796</v>
      </c>
      <c r="I1764" s="10">
        <v>45629</v>
      </c>
    </row>
    <row r="1765" spans="1:9" x14ac:dyDescent="0.15">
      <c r="A1765" s="9">
        <v>1764</v>
      </c>
      <c r="B1765" s="9" t="s">
        <v>9</v>
      </c>
      <c r="C1765" s="9">
        <v>1925</v>
      </c>
      <c r="D1765" s="10">
        <v>45715</v>
      </c>
      <c r="E1765" s="11" t="str">
        <f>+HYPERLINK("http://trademark.i-assist.jp/data/china/image_1925th/82305546.pdf","82305546")</f>
        <v>82305546</v>
      </c>
      <c r="F1765" s="12" t="s">
        <v>4797</v>
      </c>
      <c r="G1765" s="9" t="s">
        <v>4798</v>
      </c>
      <c r="H1765" s="9" t="s">
        <v>4799</v>
      </c>
      <c r="I1765" s="10">
        <v>45629</v>
      </c>
    </row>
    <row r="1766" spans="1:9" x14ac:dyDescent="0.15">
      <c r="A1766" s="9">
        <v>1765</v>
      </c>
      <c r="B1766" s="9" t="s">
        <v>9</v>
      </c>
      <c r="C1766" s="9">
        <v>1925</v>
      </c>
      <c r="D1766" s="10">
        <v>45715</v>
      </c>
      <c r="E1766" s="11" t="str">
        <f>+HYPERLINK("http://trademark.i-assist.jp/data/china/image_1925th/82305806.pdf","82305806")</f>
        <v>82305806</v>
      </c>
      <c r="F1766" s="9" t="s">
        <v>4800</v>
      </c>
      <c r="G1766" s="9" t="s">
        <v>4801</v>
      </c>
      <c r="H1766" s="9" t="s">
        <v>4802</v>
      </c>
      <c r="I1766" s="10">
        <v>45629</v>
      </c>
    </row>
    <row r="1767" spans="1:9" x14ac:dyDescent="0.15">
      <c r="A1767" s="9">
        <v>1766</v>
      </c>
      <c r="B1767" s="9" t="s">
        <v>9</v>
      </c>
      <c r="C1767" s="9">
        <v>1925</v>
      </c>
      <c r="D1767" s="10">
        <v>45715</v>
      </c>
      <c r="E1767" s="11" t="str">
        <f>+HYPERLINK("http://trademark.i-assist.jp/data/china/image_1925th/82305942.pdf","82305942")</f>
        <v>82305942</v>
      </c>
      <c r="F1767" s="9" t="s">
        <v>4803</v>
      </c>
      <c r="G1767" s="9" t="s">
        <v>4804</v>
      </c>
      <c r="H1767" s="12" t="s">
        <v>4805</v>
      </c>
      <c r="I1767" s="10">
        <v>45629</v>
      </c>
    </row>
    <row r="1768" spans="1:9" x14ac:dyDescent="0.15">
      <c r="A1768" s="9">
        <v>1767</v>
      </c>
      <c r="B1768" s="9" t="s">
        <v>9</v>
      </c>
      <c r="C1768" s="9">
        <v>1925</v>
      </c>
      <c r="D1768" s="10">
        <v>45715</v>
      </c>
      <c r="E1768" s="11" t="str">
        <f>+HYPERLINK("http://trademark.i-assist.jp/data/china/image_1925th/82306124.pdf","82306124")</f>
        <v>82306124</v>
      </c>
      <c r="F1768" s="12" t="s">
        <v>4806</v>
      </c>
      <c r="G1768" s="12" t="s">
        <v>4807</v>
      </c>
      <c r="H1768" s="12" t="s">
        <v>4808</v>
      </c>
      <c r="I1768" s="10">
        <v>45629</v>
      </c>
    </row>
    <row r="1769" spans="1:9" x14ac:dyDescent="0.15">
      <c r="A1769" s="9">
        <v>1768</v>
      </c>
      <c r="B1769" s="9" t="s">
        <v>9</v>
      </c>
      <c r="C1769" s="9">
        <v>1925</v>
      </c>
      <c r="D1769" s="10">
        <v>45715</v>
      </c>
      <c r="E1769" s="11" t="str">
        <f>+HYPERLINK("http://trademark.i-assist.jp/data/china/image_1925th/82306332.pdf","82306332")</f>
        <v>82306332</v>
      </c>
      <c r="F1769" s="9" t="s">
        <v>4809</v>
      </c>
      <c r="G1769" s="9" t="s">
        <v>4810</v>
      </c>
      <c r="H1769" s="9" t="s">
        <v>4811</v>
      </c>
      <c r="I1769" s="10">
        <v>45629</v>
      </c>
    </row>
    <row r="1770" spans="1:9" x14ac:dyDescent="0.15">
      <c r="A1770" s="9">
        <v>1769</v>
      </c>
      <c r="B1770" s="9" t="s">
        <v>9</v>
      </c>
      <c r="C1770" s="9">
        <v>1925</v>
      </c>
      <c r="D1770" s="10">
        <v>45715</v>
      </c>
      <c r="E1770" s="11" t="str">
        <f>+HYPERLINK("http://trademark.i-assist.jp/data/china/image_1925th/82306350.pdf","82306350")</f>
        <v>82306350</v>
      </c>
      <c r="F1770" s="9" t="s">
        <v>4812</v>
      </c>
      <c r="G1770" s="12" t="s">
        <v>4813</v>
      </c>
      <c r="H1770" s="9" t="s">
        <v>4814</v>
      </c>
      <c r="I1770" s="10">
        <v>45629</v>
      </c>
    </row>
    <row r="1771" spans="1:9" x14ac:dyDescent="0.15">
      <c r="A1771" s="9">
        <v>1770</v>
      </c>
      <c r="B1771" s="9" t="s">
        <v>9</v>
      </c>
      <c r="C1771" s="9">
        <v>1925</v>
      </c>
      <c r="D1771" s="10">
        <v>45715</v>
      </c>
      <c r="E1771" s="11" t="str">
        <f>+HYPERLINK("http://trademark.i-assist.jp/data/china/image_1925th/82307228.pdf","82307228")</f>
        <v>82307228</v>
      </c>
      <c r="F1771" s="9" t="s">
        <v>4815</v>
      </c>
      <c r="G1771" s="9" t="s">
        <v>4816</v>
      </c>
      <c r="H1771" s="12" t="s">
        <v>4817</v>
      </c>
      <c r="I1771" s="10">
        <v>45629</v>
      </c>
    </row>
    <row r="1772" spans="1:9" x14ac:dyDescent="0.15">
      <c r="A1772" s="9">
        <v>1771</v>
      </c>
      <c r="B1772" s="9" t="s">
        <v>9</v>
      </c>
      <c r="C1772" s="9">
        <v>1925</v>
      </c>
      <c r="D1772" s="10">
        <v>45715</v>
      </c>
      <c r="E1772" s="11" t="str">
        <f>+HYPERLINK("http://trademark.i-assist.jp/data/china/image_1925th/82307232.pdf","82307232")</f>
        <v>82307232</v>
      </c>
      <c r="F1772" s="9" t="s">
        <v>4818</v>
      </c>
      <c r="G1772" s="9" t="s">
        <v>4819</v>
      </c>
      <c r="H1772" s="9" t="s">
        <v>4820</v>
      </c>
      <c r="I1772" s="10">
        <v>45629</v>
      </c>
    </row>
    <row r="1773" spans="1:9" x14ac:dyDescent="0.15">
      <c r="A1773" s="9">
        <v>1772</v>
      </c>
      <c r="B1773" s="9" t="s">
        <v>9</v>
      </c>
      <c r="C1773" s="9">
        <v>1925</v>
      </c>
      <c r="D1773" s="10">
        <v>45715</v>
      </c>
      <c r="E1773" s="11" t="str">
        <f>+HYPERLINK("http://trademark.i-assist.jp/data/china/image_1925th/82307337.pdf","82307337")</f>
        <v>82307337</v>
      </c>
      <c r="F1773" s="9" t="s">
        <v>4821</v>
      </c>
      <c r="G1773" s="9" t="s">
        <v>4822</v>
      </c>
      <c r="H1773" s="9" t="s">
        <v>4823</v>
      </c>
      <c r="I1773" s="10">
        <v>45629</v>
      </c>
    </row>
    <row r="1774" spans="1:9" x14ac:dyDescent="0.15">
      <c r="A1774" s="9">
        <v>1773</v>
      </c>
      <c r="B1774" s="9" t="s">
        <v>9</v>
      </c>
      <c r="C1774" s="9">
        <v>1925</v>
      </c>
      <c r="D1774" s="10">
        <v>45715</v>
      </c>
      <c r="E1774" s="11" t="str">
        <f>+HYPERLINK("http://trademark.i-assist.jp/data/china/image_1925th/82307549.pdf","82307549")</f>
        <v>82307549</v>
      </c>
      <c r="F1774" s="9" t="s">
        <v>4824</v>
      </c>
      <c r="G1774" s="12" t="s">
        <v>4825</v>
      </c>
      <c r="H1774" s="9" t="s">
        <v>4826</v>
      </c>
      <c r="I1774" s="10">
        <v>45629</v>
      </c>
    </row>
    <row r="1775" spans="1:9" x14ac:dyDescent="0.15">
      <c r="A1775" s="9">
        <v>1774</v>
      </c>
      <c r="B1775" s="9" t="s">
        <v>9</v>
      </c>
      <c r="C1775" s="9">
        <v>1925</v>
      </c>
      <c r="D1775" s="10">
        <v>45715</v>
      </c>
      <c r="E1775" s="11" t="str">
        <f>+HYPERLINK("http://trademark.i-assist.jp/data/china/image_1925th/82307816.pdf","82307816")</f>
        <v>82307816</v>
      </c>
      <c r="F1775" s="9" t="s">
        <v>4827</v>
      </c>
      <c r="G1775" s="9" t="s">
        <v>4828</v>
      </c>
      <c r="H1775" s="9" t="s">
        <v>4829</v>
      </c>
      <c r="I1775" s="10">
        <v>45629</v>
      </c>
    </row>
    <row r="1776" spans="1:9" x14ac:dyDescent="0.15">
      <c r="A1776" s="9">
        <v>1775</v>
      </c>
      <c r="B1776" s="9" t="s">
        <v>9</v>
      </c>
      <c r="C1776" s="9">
        <v>1925</v>
      </c>
      <c r="D1776" s="10">
        <v>45715</v>
      </c>
      <c r="E1776" s="11" t="str">
        <f>+HYPERLINK("http://trademark.i-assist.jp/data/china/image_1925th/82308039.pdf","82308039")</f>
        <v>82308039</v>
      </c>
      <c r="F1776" s="9" t="s">
        <v>4830</v>
      </c>
      <c r="G1776" s="9" t="s">
        <v>4831</v>
      </c>
      <c r="H1776" s="9" t="s">
        <v>4832</v>
      </c>
      <c r="I1776" s="10">
        <v>45629</v>
      </c>
    </row>
    <row r="1777" spans="1:9" x14ac:dyDescent="0.15">
      <c r="A1777" s="9">
        <v>1776</v>
      </c>
      <c r="B1777" s="9" t="s">
        <v>9</v>
      </c>
      <c r="C1777" s="9">
        <v>1925</v>
      </c>
      <c r="D1777" s="10">
        <v>45715</v>
      </c>
      <c r="E1777" s="11" t="str">
        <f>+HYPERLINK("http://trademark.i-assist.jp/data/china/image_1925th/82308143.pdf","82308143")</f>
        <v>82308143</v>
      </c>
      <c r="F1777" s="9" t="s">
        <v>4833</v>
      </c>
      <c r="G1777" s="9" t="s">
        <v>4834</v>
      </c>
      <c r="H1777" s="12" t="s">
        <v>4835</v>
      </c>
      <c r="I1777" s="10">
        <v>45629</v>
      </c>
    </row>
    <row r="1778" spans="1:9" x14ac:dyDescent="0.15">
      <c r="A1778" s="9">
        <v>1777</v>
      </c>
      <c r="B1778" s="9" t="s">
        <v>9</v>
      </c>
      <c r="C1778" s="9">
        <v>1925</v>
      </c>
      <c r="D1778" s="10">
        <v>45715</v>
      </c>
      <c r="E1778" s="11" t="str">
        <f>+HYPERLINK("http://trademark.i-assist.jp/data/china/image_1925th/82308394.pdf","82308394")</f>
        <v>82308394</v>
      </c>
      <c r="F1778" s="9" t="s">
        <v>4836</v>
      </c>
      <c r="G1778" s="9" t="s">
        <v>287</v>
      </c>
      <c r="H1778" s="9" t="s">
        <v>4837</v>
      </c>
      <c r="I1778" s="10">
        <v>45629</v>
      </c>
    </row>
    <row r="1779" spans="1:9" x14ac:dyDescent="0.15">
      <c r="A1779" s="9">
        <v>1778</v>
      </c>
      <c r="B1779" s="9" t="s">
        <v>9</v>
      </c>
      <c r="C1779" s="9">
        <v>1925</v>
      </c>
      <c r="D1779" s="10">
        <v>45715</v>
      </c>
      <c r="E1779" s="11" t="str">
        <f>+HYPERLINK("http://trademark.i-assist.jp/data/china/image_1925th/82308561.pdf","82308561")</f>
        <v>82308561</v>
      </c>
      <c r="F1779" s="12" t="s">
        <v>57</v>
      </c>
      <c r="G1779" s="9" t="s">
        <v>4838</v>
      </c>
      <c r="H1779" s="9" t="s">
        <v>4839</v>
      </c>
      <c r="I1779" s="10">
        <v>45629</v>
      </c>
    </row>
    <row r="1780" spans="1:9" x14ac:dyDescent="0.15">
      <c r="A1780" s="9">
        <v>1779</v>
      </c>
      <c r="B1780" s="9" t="s">
        <v>9</v>
      </c>
      <c r="C1780" s="9">
        <v>1925</v>
      </c>
      <c r="D1780" s="10">
        <v>45715</v>
      </c>
      <c r="E1780" s="11" t="str">
        <f>+HYPERLINK("http://trademark.i-assist.jp/data/china/image_1925th/82308604.pdf","82308604")</f>
        <v>82308604</v>
      </c>
      <c r="F1780" s="9" t="s">
        <v>4840</v>
      </c>
      <c r="G1780" s="9" t="s">
        <v>4841</v>
      </c>
      <c r="H1780" s="9" t="s">
        <v>4842</v>
      </c>
      <c r="I1780" s="10">
        <v>45629</v>
      </c>
    </row>
    <row r="1781" spans="1:9" x14ac:dyDescent="0.15">
      <c r="A1781" s="9">
        <v>1780</v>
      </c>
      <c r="B1781" s="9" t="s">
        <v>9</v>
      </c>
      <c r="C1781" s="9">
        <v>1925</v>
      </c>
      <c r="D1781" s="10">
        <v>45715</v>
      </c>
      <c r="E1781" s="11" t="str">
        <f>+HYPERLINK("http://trademark.i-assist.jp/data/china/image_1925th/82308866.pdf","82308866")</f>
        <v>82308866</v>
      </c>
      <c r="F1781" s="9" t="s">
        <v>4843</v>
      </c>
      <c r="G1781" s="12" t="s">
        <v>4844</v>
      </c>
      <c r="H1781" s="12" t="s">
        <v>4845</v>
      </c>
      <c r="I1781" s="10">
        <v>45629</v>
      </c>
    </row>
    <row r="1782" spans="1:9" x14ac:dyDescent="0.15">
      <c r="A1782" s="9">
        <v>1781</v>
      </c>
      <c r="B1782" s="9" t="s">
        <v>9</v>
      </c>
      <c r="C1782" s="9">
        <v>1925</v>
      </c>
      <c r="D1782" s="10">
        <v>45715</v>
      </c>
      <c r="E1782" s="11" t="str">
        <f>+HYPERLINK("http://trademark.i-assist.jp/data/china/image_1925th/82309009.pdf","82309009")</f>
        <v>82309009</v>
      </c>
      <c r="F1782" s="9" t="s">
        <v>4846</v>
      </c>
      <c r="G1782" s="12" t="s">
        <v>4847</v>
      </c>
      <c r="H1782" s="9" t="s">
        <v>4848</v>
      </c>
      <c r="I1782" s="10">
        <v>45629</v>
      </c>
    </row>
    <row r="1783" spans="1:9" x14ac:dyDescent="0.15">
      <c r="A1783" s="9">
        <v>1782</v>
      </c>
      <c r="B1783" s="9" t="s">
        <v>9</v>
      </c>
      <c r="C1783" s="9">
        <v>1925</v>
      </c>
      <c r="D1783" s="10">
        <v>45715</v>
      </c>
      <c r="E1783" s="11" t="str">
        <f>+HYPERLINK("http://trademark.i-assist.jp/data/china/image_1925th/82309287.pdf","82309287")</f>
        <v>82309287</v>
      </c>
      <c r="F1783" s="9" t="s">
        <v>4849</v>
      </c>
      <c r="G1783" s="9" t="s">
        <v>4850</v>
      </c>
      <c r="H1783" s="9" t="s">
        <v>4851</v>
      </c>
      <c r="I1783" s="10">
        <v>45629</v>
      </c>
    </row>
    <row r="1784" spans="1:9" x14ac:dyDescent="0.15">
      <c r="A1784" s="9">
        <v>1783</v>
      </c>
      <c r="B1784" s="9" t="s">
        <v>9</v>
      </c>
      <c r="C1784" s="9">
        <v>1925</v>
      </c>
      <c r="D1784" s="10">
        <v>45715</v>
      </c>
      <c r="E1784" s="11" t="str">
        <f>+HYPERLINK("http://trademark.i-assist.jp/data/china/image_1925th/82309502.pdf","82309502")</f>
        <v>82309502</v>
      </c>
      <c r="F1784" s="9" t="s">
        <v>4852</v>
      </c>
      <c r="G1784" s="9" t="s">
        <v>4853</v>
      </c>
      <c r="H1784" s="12" t="s">
        <v>4854</v>
      </c>
      <c r="I1784" s="10">
        <v>45629</v>
      </c>
    </row>
    <row r="1785" spans="1:9" x14ac:dyDescent="0.15">
      <c r="A1785" s="9">
        <v>1784</v>
      </c>
      <c r="B1785" s="9" t="s">
        <v>9</v>
      </c>
      <c r="C1785" s="9">
        <v>1925</v>
      </c>
      <c r="D1785" s="10">
        <v>45715</v>
      </c>
      <c r="E1785" s="11" t="str">
        <f>+HYPERLINK("http://trademark.i-assist.jp/data/china/image_1925th/82309984.pdf","82309984")</f>
        <v>82309984</v>
      </c>
      <c r="F1785" s="9" t="s">
        <v>4855</v>
      </c>
      <c r="G1785" s="9" t="s">
        <v>4856</v>
      </c>
      <c r="H1785" s="9" t="s">
        <v>4857</v>
      </c>
      <c r="I1785" s="10">
        <v>45629</v>
      </c>
    </row>
    <row r="1786" spans="1:9" x14ac:dyDescent="0.15">
      <c r="A1786" s="9">
        <v>1785</v>
      </c>
      <c r="B1786" s="9" t="s">
        <v>9</v>
      </c>
      <c r="C1786" s="9">
        <v>1925</v>
      </c>
      <c r="D1786" s="10">
        <v>45715</v>
      </c>
      <c r="E1786" s="11" t="str">
        <f>+HYPERLINK("http://trademark.i-assist.jp/data/china/image_1925th/82310251.pdf","82310251")</f>
        <v>82310251</v>
      </c>
      <c r="F1786" s="9" t="s">
        <v>4858</v>
      </c>
      <c r="G1786" s="9" t="s">
        <v>4801</v>
      </c>
      <c r="H1786" s="9" t="s">
        <v>4859</v>
      </c>
      <c r="I1786" s="10">
        <v>45629</v>
      </c>
    </row>
    <row r="1787" spans="1:9" x14ac:dyDescent="0.15">
      <c r="A1787" s="9">
        <v>1786</v>
      </c>
      <c r="B1787" s="9" t="s">
        <v>9</v>
      </c>
      <c r="C1787" s="9">
        <v>1925</v>
      </c>
      <c r="D1787" s="10">
        <v>45715</v>
      </c>
      <c r="E1787" s="11" t="str">
        <f>+HYPERLINK("http://trademark.i-assist.jp/data/china/image_1925th/82310275.pdf","82310275")</f>
        <v>82310275</v>
      </c>
      <c r="F1787" s="9" t="s">
        <v>4860</v>
      </c>
      <c r="G1787" s="9" t="s">
        <v>4801</v>
      </c>
      <c r="H1787" s="12" t="s">
        <v>4861</v>
      </c>
      <c r="I1787" s="10">
        <v>45629</v>
      </c>
    </row>
    <row r="1788" spans="1:9" x14ac:dyDescent="0.15">
      <c r="A1788" s="9">
        <v>1787</v>
      </c>
      <c r="B1788" s="9" t="s">
        <v>9</v>
      </c>
      <c r="C1788" s="9">
        <v>1925</v>
      </c>
      <c r="D1788" s="10">
        <v>45715</v>
      </c>
      <c r="E1788" s="11" t="str">
        <f>+HYPERLINK("http://trademark.i-assist.jp/data/china/image_1925th/82310398.pdf","82310398")</f>
        <v>82310398</v>
      </c>
      <c r="F1788" s="12" t="s">
        <v>57</v>
      </c>
      <c r="G1788" s="9" t="s">
        <v>4862</v>
      </c>
      <c r="H1788" s="9" t="s">
        <v>4863</v>
      </c>
      <c r="I1788" s="10">
        <v>45629</v>
      </c>
    </row>
    <row r="1789" spans="1:9" x14ac:dyDescent="0.15">
      <c r="A1789" s="9">
        <v>1788</v>
      </c>
      <c r="B1789" s="9" t="s">
        <v>9</v>
      </c>
      <c r="C1789" s="9">
        <v>1925</v>
      </c>
      <c r="D1789" s="10">
        <v>45715</v>
      </c>
      <c r="E1789" s="11" t="str">
        <f>+HYPERLINK("http://trademark.i-assist.jp/data/china/image_1925th/82310531.pdf","82310531")</f>
        <v>82310531</v>
      </c>
      <c r="F1789" s="9" t="s">
        <v>4864</v>
      </c>
      <c r="G1789" s="9" t="s">
        <v>3884</v>
      </c>
      <c r="H1789" s="9" t="s">
        <v>4865</v>
      </c>
      <c r="I1789" s="10">
        <v>45629</v>
      </c>
    </row>
    <row r="1790" spans="1:9" x14ac:dyDescent="0.15">
      <c r="A1790" s="9">
        <v>1789</v>
      </c>
      <c r="B1790" s="9" t="s">
        <v>9</v>
      </c>
      <c r="C1790" s="9">
        <v>1925</v>
      </c>
      <c r="D1790" s="10">
        <v>45715</v>
      </c>
      <c r="E1790" s="11" t="str">
        <f>+HYPERLINK("http://trademark.i-assist.jp/data/china/image_1925th/82310857.pdf","82310857")</f>
        <v>82310857</v>
      </c>
      <c r="F1790" s="9" t="s">
        <v>4866</v>
      </c>
      <c r="G1790" s="12" t="s">
        <v>4867</v>
      </c>
      <c r="H1790" s="9" t="s">
        <v>4868</v>
      </c>
      <c r="I1790" s="10">
        <v>45629</v>
      </c>
    </row>
    <row r="1791" spans="1:9" x14ac:dyDescent="0.15">
      <c r="A1791" s="9">
        <v>1790</v>
      </c>
      <c r="B1791" s="9" t="s">
        <v>9</v>
      </c>
      <c r="C1791" s="9">
        <v>1925</v>
      </c>
      <c r="D1791" s="10">
        <v>45715</v>
      </c>
      <c r="E1791" s="11" t="str">
        <f>+HYPERLINK("http://trademark.i-assist.jp/data/china/image_1925th/82311079.pdf","82311079")</f>
        <v>82311079</v>
      </c>
      <c r="F1791" s="9" t="s">
        <v>4869</v>
      </c>
      <c r="G1791" s="12" t="s">
        <v>4870</v>
      </c>
      <c r="H1791" s="9" t="s">
        <v>4871</v>
      </c>
      <c r="I1791" s="10">
        <v>45629</v>
      </c>
    </row>
    <row r="1792" spans="1:9" x14ac:dyDescent="0.15">
      <c r="A1792" s="9">
        <v>1791</v>
      </c>
      <c r="B1792" s="9" t="s">
        <v>9</v>
      </c>
      <c r="C1792" s="9">
        <v>1925</v>
      </c>
      <c r="D1792" s="10">
        <v>45715</v>
      </c>
      <c r="E1792" s="11" t="str">
        <f>+HYPERLINK("http://trademark.i-assist.jp/data/china/image_1925th/82311185.pdf","82311185")</f>
        <v>82311185</v>
      </c>
      <c r="F1792" s="12" t="s">
        <v>57</v>
      </c>
      <c r="G1792" s="12" t="s">
        <v>4872</v>
      </c>
      <c r="H1792" s="12" t="s">
        <v>4873</v>
      </c>
      <c r="I1792" s="10">
        <v>45629</v>
      </c>
    </row>
    <row r="1793" spans="1:9" x14ac:dyDescent="0.15">
      <c r="A1793" s="9">
        <v>1792</v>
      </c>
      <c r="B1793" s="9" t="s">
        <v>9</v>
      </c>
      <c r="C1793" s="9">
        <v>1925</v>
      </c>
      <c r="D1793" s="10">
        <v>45715</v>
      </c>
      <c r="E1793" s="11" t="str">
        <f>+HYPERLINK("http://trademark.i-assist.jp/data/china/image_1925th/82311498.pdf","82311498")</f>
        <v>82311498</v>
      </c>
      <c r="F1793" s="12" t="s">
        <v>4874</v>
      </c>
      <c r="G1793" s="12" t="s">
        <v>4875</v>
      </c>
      <c r="H1793" s="9" t="s">
        <v>4876</v>
      </c>
      <c r="I1793" s="10">
        <v>45629</v>
      </c>
    </row>
    <row r="1794" spans="1:9" x14ac:dyDescent="0.15">
      <c r="A1794" s="9">
        <v>1793</v>
      </c>
      <c r="B1794" s="9" t="s">
        <v>9</v>
      </c>
      <c r="C1794" s="9">
        <v>1925</v>
      </c>
      <c r="D1794" s="10">
        <v>45715</v>
      </c>
      <c r="E1794" s="11" t="str">
        <f>+HYPERLINK("http://trademark.i-assist.jp/data/china/image_1925th/82311508.pdf","82311508")</f>
        <v>82311508</v>
      </c>
      <c r="F1794" s="9" t="s">
        <v>4877</v>
      </c>
      <c r="G1794" s="9" t="s">
        <v>4878</v>
      </c>
      <c r="H1794" s="9" t="s">
        <v>4879</v>
      </c>
      <c r="I1794" s="10">
        <v>45629</v>
      </c>
    </row>
    <row r="1795" spans="1:9" x14ac:dyDescent="0.15">
      <c r="A1795" s="9">
        <v>1794</v>
      </c>
      <c r="B1795" s="9" t="s">
        <v>9</v>
      </c>
      <c r="C1795" s="9">
        <v>1925</v>
      </c>
      <c r="D1795" s="10">
        <v>45715</v>
      </c>
      <c r="E1795" s="11" t="str">
        <f>+HYPERLINK("http://trademark.i-assist.jp/data/china/image_1925th/82311918.pdf","82311918")</f>
        <v>82311918</v>
      </c>
      <c r="F1795" s="9" t="s">
        <v>4880</v>
      </c>
      <c r="G1795" s="12" t="s">
        <v>4881</v>
      </c>
      <c r="H1795" s="9" t="s">
        <v>4882</v>
      </c>
      <c r="I1795" s="10">
        <v>45629</v>
      </c>
    </row>
    <row r="1796" spans="1:9" x14ac:dyDescent="0.15">
      <c r="A1796" s="9">
        <v>1795</v>
      </c>
      <c r="B1796" s="9" t="s">
        <v>9</v>
      </c>
      <c r="C1796" s="9">
        <v>1925</v>
      </c>
      <c r="D1796" s="10">
        <v>45715</v>
      </c>
      <c r="E1796" s="11" t="str">
        <f>+HYPERLINK("http://trademark.i-assist.jp/data/china/image_1925th/82312350.pdf","82312350")</f>
        <v>82312350</v>
      </c>
      <c r="F1796" s="9" t="s">
        <v>4883</v>
      </c>
      <c r="G1796" s="9" t="s">
        <v>4884</v>
      </c>
      <c r="H1796" s="9" t="s">
        <v>4885</v>
      </c>
      <c r="I1796" s="10">
        <v>45629</v>
      </c>
    </row>
    <row r="1797" spans="1:9" x14ac:dyDescent="0.15">
      <c r="A1797" s="9">
        <v>1796</v>
      </c>
      <c r="B1797" s="9" t="s">
        <v>9</v>
      </c>
      <c r="C1797" s="9">
        <v>1925</v>
      </c>
      <c r="D1797" s="10">
        <v>45715</v>
      </c>
      <c r="E1797" s="11" t="str">
        <f>+HYPERLINK("http://trademark.i-assist.jp/data/china/image_1925th/82312843.pdf","82312843")</f>
        <v>82312843</v>
      </c>
      <c r="F1797" s="9" t="s">
        <v>4886</v>
      </c>
      <c r="G1797" s="9" t="s">
        <v>4887</v>
      </c>
      <c r="H1797" s="9" t="s">
        <v>4888</v>
      </c>
      <c r="I1797" s="10">
        <v>45629</v>
      </c>
    </row>
    <row r="1798" spans="1:9" x14ac:dyDescent="0.15">
      <c r="A1798" s="9">
        <v>1797</v>
      </c>
      <c r="B1798" s="9" t="s">
        <v>9</v>
      </c>
      <c r="C1798" s="9">
        <v>1925</v>
      </c>
      <c r="D1798" s="10">
        <v>45715</v>
      </c>
      <c r="E1798" s="11" t="str">
        <f>+HYPERLINK("http://trademark.i-assist.jp/data/china/image_1925th/82312980.pdf","82312980")</f>
        <v>82312980</v>
      </c>
      <c r="F1798" s="9" t="s">
        <v>4889</v>
      </c>
      <c r="G1798" s="9" t="s">
        <v>4890</v>
      </c>
      <c r="H1798" s="9" t="s">
        <v>4891</v>
      </c>
      <c r="I1798" s="10">
        <v>45629</v>
      </c>
    </row>
    <row r="1799" spans="1:9" x14ac:dyDescent="0.15">
      <c r="A1799" s="9">
        <v>1798</v>
      </c>
      <c r="B1799" s="9" t="s">
        <v>9</v>
      </c>
      <c r="C1799" s="9">
        <v>1925</v>
      </c>
      <c r="D1799" s="10">
        <v>45715</v>
      </c>
      <c r="E1799" s="11" t="str">
        <f>+HYPERLINK("http://trademark.i-assist.jp/data/china/image_1925th/82314244.pdf","82314244")</f>
        <v>82314244</v>
      </c>
      <c r="F1799" s="9" t="s">
        <v>4892</v>
      </c>
      <c r="G1799" s="9" t="s">
        <v>4893</v>
      </c>
      <c r="H1799" s="9" t="s">
        <v>4894</v>
      </c>
      <c r="I1799" s="10">
        <v>45629</v>
      </c>
    </row>
    <row r="1800" spans="1:9" x14ac:dyDescent="0.15">
      <c r="A1800" s="9">
        <v>1799</v>
      </c>
      <c r="B1800" s="9" t="s">
        <v>9</v>
      </c>
      <c r="C1800" s="9">
        <v>1925</v>
      </c>
      <c r="D1800" s="10">
        <v>45715</v>
      </c>
      <c r="E1800" s="11" t="str">
        <f>+HYPERLINK("http://trademark.i-assist.jp/data/china/image_1925th/82314646.pdf","82314646")</f>
        <v>82314646</v>
      </c>
      <c r="F1800" s="9" t="s">
        <v>4895</v>
      </c>
      <c r="G1800" s="9" t="s">
        <v>4896</v>
      </c>
      <c r="H1800" s="9" t="s">
        <v>4897</v>
      </c>
      <c r="I1800" s="10">
        <v>45629</v>
      </c>
    </row>
    <row r="1801" spans="1:9" x14ac:dyDescent="0.15">
      <c r="A1801" s="9">
        <v>1800</v>
      </c>
      <c r="B1801" s="9" t="s">
        <v>9</v>
      </c>
      <c r="C1801" s="9">
        <v>1925</v>
      </c>
      <c r="D1801" s="10">
        <v>45715</v>
      </c>
      <c r="E1801" s="11" t="str">
        <f>+HYPERLINK("http://trademark.i-assist.jp/data/china/image_1925th/82314649.pdf","82314649")</f>
        <v>82314649</v>
      </c>
      <c r="F1801" s="9" t="s">
        <v>4898</v>
      </c>
      <c r="G1801" s="12" t="s">
        <v>4825</v>
      </c>
      <c r="H1801" s="9" t="s">
        <v>4899</v>
      </c>
      <c r="I1801" s="10">
        <v>45629</v>
      </c>
    </row>
    <row r="1802" spans="1:9" x14ac:dyDescent="0.15">
      <c r="A1802" s="9">
        <v>1801</v>
      </c>
      <c r="B1802" s="9" t="s">
        <v>9</v>
      </c>
      <c r="C1802" s="9">
        <v>1925</v>
      </c>
      <c r="D1802" s="10">
        <v>45715</v>
      </c>
      <c r="E1802" s="11" t="str">
        <f>+HYPERLINK("http://trademark.i-assist.jp/data/china/image_1925th/82314812.pdf","82314812")</f>
        <v>82314812</v>
      </c>
      <c r="F1802" s="9" t="s">
        <v>4900</v>
      </c>
      <c r="G1802" s="9" t="s">
        <v>4901</v>
      </c>
      <c r="H1802" s="9" t="s">
        <v>4902</v>
      </c>
      <c r="I1802" s="10">
        <v>45629</v>
      </c>
    </row>
    <row r="1803" spans="1:9" x14ac:dyDescent="0.15">
      <c r="A1803" s="9">
        <v>1802</v>
      </c>
      <c r="B1803" s="9" t="s">
        <v>9</v>
      </c>
      <c r="C1803" s="9">
        <v>1925</v>
      </c>
      <c r="D1803" s="10">
        <v>45715</v>
      </c>
      <c r="E1803" s="11" t="str">
        <f>+HYPERLINK("http://trademark.i-assist.jp/data/china/image_1925th/82315125.pdf","82315125")</f>
        <v>82315125</v>
      </c>
      <c r="F1803" s="9" t="s">
        <v>4903</v>
      </c>
      <c r="G1803" s="9" t="s">
        <v>3852</v>
      </c>
      <c r="H1803" s="9" t="s">
        <v>4904</v>
      </c>
      <c r="I1803" s="10">
        <v>45629</v>
      </c>
    </row>
    <row r="1804" spans="1:9" x14ac:dyDescent="0.15">
      <c r="A1804" s="9">
        <v>1803</v>
      </c>
      <c r="B1804" s="9" t="s">
        <v>9</v>
      </c>
      <c r="C1804" s="9">
        <v>1925</v>
      </c>
      <c r="D1804" s="10">
        <v>45715</v>
      </c>
      <c r="E1804" s="11" t="str">
        <f>+HYPERLINK("http://trademark.i-assist.jp/data/china/image_1925th/82315142.pdf","82315142")</f>
        <v>82315142</v>
      </c>
      <c r="F1804" s="9" t="s">
        <v>4905</v>
      </c>
      <c r="G1804" s="9" t="s">
        <v>3852</v>
      </c>
      <c r="H1804" s="9" t="s">
        <v>4906</v>
      </c>
      <c r="I1804" s="10">
        <v>45629</v>
      </c>
    </row>
    <row r="1805" spans="1:9" x14ac:dyDescent="0.15">
      <c r="A1805" s="9">
        <v>1804</v>
      </c>
      <c r="B1805" s="9" t="s">
        <v>9</v>
      </c>
      <c r="C1805" s="9">
        <v>1925</v>
      </c>
      <c r="D1805" s="10">
        <v>45715</v>
      </c>
      <c r="E1805" s="11" t="str">
        <f>+HYPERLINK("http://trademark.i-assist.jp/data/china/image_1925th/82316008.pdf","82316008")</f>
        <v>82316008</v>
      </c>
      <c r="F1805" s="9" t="s">
        <v>4907</v>
      </c>
      <c r="G1805" s="9" t="s">
        <v>524</v>
      </c>
      <c r="H1805" s="9" t="s">
        <v>4908</v>
      </c>
      <c r="I1805" s="10">
        <v>45629</v>
      </c>
    </row>
    <row r="1806" spans="1:9" x14ac:dyDescent="0.15">
      <c r="A1806" s="9">
        <v>1805</v>
      </c>
      <c r="B1806" s="9" t="s">
        <v>9</v>
      </c>
      <c r="C1806" s="9">
        <v>1925</v>
      </c>
      <c r="D1806" s="10">
        <v>45715</v>
      </c>
      <c r="E1806" s="11" t="str">
        <f>+HYPERLINK("http://trademark.i-assist.jp/data/china/image_1925th/82316356.pdf","82316356")</f>
        <v>82316356</v>
      </c>
      <c r="F1806" s="12" t="s">
        <v>57</v>
      </c>
      <c r="G1806" s="12" t="s">
        <v>4909</v>
      </c>
      <c r="H1806" s="9" t="s">
        <v>4910</v>
      </c>
      <c r="I1806" s="10">
        <v>45629</v>
      </c>
    </row>
    <row r="1807" spans="1:9" x14ac:dyDescent="0.15">
      <c r="A1807" s="9">
        <v>1806</v>
      </c>
      <c r="B1807" s="9" t="s">
        <v>9</v>
      </c>
      <c r="C1807" s="9">
        <v>1925</v>
      </c>
      <c r="D1807" s="10">
        <v>45715</v>
      </c>
      <c r="E1807" s="11" t="str">
        <f>+HYPERLINK("http://trademark.i-assist.jp/data/china/image_1925th/82316357.pdf","82316357")</f>
        <v>82316357</v>
      </c>
      <c r="F1807" s="9" t="s">
        <v>4911</v>
      </c>
      <c r="G1807" s="9" t="s">
        <v>4912</v>
      </c>
      <c r="H1807" s="9" t="s">
        <v>4913</v>
      </c>
      <c r="I1807" s="10">
        <v>45629</v>
      </c>
    </row>
    <row r="1808" spans="1:9" x14ac:dyDescent="0.15">
      <c r="A1808" s="9">
        <v>1807</v>
      </c>
      <c r="B1808" s="9" t="s">
        <v>9</v>
      </c>
      <c r="C1808" s="9">
        <v>1925</v>
      </c>
      <c r="D1808" s="10">
        <v>45715</v>
      </c>
      <c r="E1808" s="11" t="str">
        <f>+HYPERLINK("http://trademark.i-assist.jp/data/china/image_1925th/82316394.pdf","82316394")</f>
        <v>82316394</v>
      </c>
      <c r="F1808" s="9" t="s">
        <v>4914</v>
      </c>
      <c r="G1808" s="9" t="s">
        <v>4801</v>
      </c>
      <c r="H1808" s="9" t="s">
        <v>4915</v>
      </c>
      <c r="I1808" s="10">
        <v>45629</v>
      </c>
    </row>
    <row r="1809" spans="1:9" x14ac:dyDescent="0.15">
      <c r="A1809" s="9">
        <v>1808</v>
      </c>
      <c r="B1809" s="9" t="s">
        <v>9</v>
      </c>
      <c r="C1809" s="9">
        <v>1925</v>
      </c>
      <c r="D1809" s="10">
        <v>45715</v>
      </c>
      <c r="E1809" s="11" t="str">
        <f>+HYPERLINK("http://trademark.i-assist.jp/data/china/image_1925th/82316599.pdf","82316599")</f>
        <v>82316599</v>
      </c>
      <c r="F1809" s="9" t="s">
        <v>4916</v>
      </c>
      <c r="G1809" s="9" t="s">
        <v>4853</v>
      </c>
      <c r="H1809" s="9" t="s">
        <v>4917</v>
      </c>
      <c r="I1809" s="10">
        <v>45629</v>
      </c>
    </row>
    <row r="1810" spans="1:9" x14ac:dyDescent="0.15">
      <c r="A1810" s="9">
        <v>1809</v>
      </c>
      <c r="B1810" s="9" t="s">
        <v>9</v>
      </c>
      <c r="C1810" s="9">
        <v>1925</v>
      </c>
      <c r="D1810" s="10">
        <v>45715</v>
      </c>
      <c r="E1810" s="11" t="str">
        <f>+HYPERLINK("http://trademark.i-assist.jp/data/china/image_1925th/82316875.pdf","82316875")</f>
        <v>82316875</v>
      </c>
      <c r="F1810" s="9" t="s">
        <v>4918</v>
      </c>
      <c r="G1810" s="9" t="s">
        <v>4727</v>
      </c>
      <c r="H1810" s="9" t="s">
        <v>4919</v>
      </c>
      <c r="I1810" s="10">
        <v>45629</v>
      </c>
    </row>
    <row r="1811" spans="1:9" x14ac:dyDescent="0.15">
      <c r="A1811" s="9">
        <v>1810</v>
      </c>
      <c r="B1811" s="9" t="s">
        <v>9</v>
      </c>
      <c r="C1811" s="9">
        <v>1925</v>
      </c>
      <c r="D1811" s="10">
        <v>45715</v>
      </c>
      <c r="E1811" s="11" t="str">
        <f>+HYPERLINK("http://trademark.i-assist.jp/data/china/image_1925th/82317018.pdf","82317018")</f>
        <v>82317018</v>
      </c>
      <c r="F1811" s="9" t="s">
        <v>4920</v>
      </c>
      <c r="G1811" s="9" t="s">
        <v>4921</v>
      </c>
      <c r="H1811" s="9" t="s">
        <v>4922</v>
      </c>
      <c r="I1811" s="10">
        <v>45629</v>
      </c>
    </row>
    <row r="1812" spans="1:9" x14ac:dyDescent="0.15">
      <c r="A1812" s="9">
        <v>1811</v>
      </c>
      <c r="B1812" s="9" t="s">
        <v>9</v>
      </c>
      <c r="C1812" s="9">
        <v>1925</v>
      </c>
      <c r="D1812" s="10">
        <v>45715</v>
      </c>
      <c r="E1812" s="11" t="str">
        <f>+HYPERLINK("http://trademark.i-assist.jp/data/china/image_1925th/82317174.pdf","82317174")</f>
        <v>82317174</v>
      </c>
      <c r="F1812" s="9" t="s">
        <v>4923</v>
      </c>
      <c r="G1812" s="9" t="s">
        <v>4924</v>
      </c>
      <c r="H1812" s="9" t="s">
        <v>4925</v>
      </c>
      <c r="I1812" s="10">
        <v>45629</v>
      </c>
    </row>
    <row r="1813" spans="1:9" x14ac:dyDescent="0.15">
      <c r="A1813" s="9">
        <v>1812</v>
      </c>
      <c r="B1813" s="9" t="s">
        <v>9</v>
      </c>
      <c r="C1813" s="9">
        <v>1925</v>
      </c>
      <c r="D1813" s="10">
        <v>45715</v>
      </c>
      <c r="E1813" s="11" t="str">
        <f>+HYPERLINK("http://trademark.i-assist.jp/data/china/image_1925th/82317266.pdf","82317266")</f>
        <v>82317266</v>
      </c>
      <c r="F1813" s="9" t="s">
        <v>4926</v>
      </c>
      <c r="G1813" s="9" t="s">
        <v>4927</v>
      </c>
      <c r="H1813" s="9" t="s">
        <v>4928</v>
      </c>
      <c r="I1813" s="10">
        <v>45629</v>
      </c>
    </row>
    <row r="1814" spans="1:9" x14ac:dyDescent="0.15">
      <c r="A1814" s="9">
        <v>1813</v>
      </c>
      <c r="B1814" s="9" t="s">
        <v>9</v>
      </c>
      <c r="C1814" s="9">
        <v>1925</v>
      </c>
      <c r="D1814" s="10">
        <v>45715</v>
      </c>
      <c r="E1814" s="11" t="str">
        <f>+HYPERLINK("http://trademark.i-assist.jp/data/china/image_1925th/82317391.pdf","82317391")</f>
        <v>82317391</v>
      </c>
      <c r="F1814" s="9" t="s">
        <v>4929</v>
      </c>
      <c r="G1814" s="12" t="s">
        <v>4130</v>
      </c>
      <c r="H1814" s="12" t="s">
        <v>4930</v>
      </c>
      <c r="I1814" s="10">
        <v>45629</v>
      </c>
    </row>
    <row r="1815" spans="1:9" x14ac:dyDescent="0.15">
      <c r="A1815" s="9">
        <v>1814</v>
      </c>
      <c r="B1815" s="9" t="s">
        <v>9</v>
      </c>
      <c r="C1815" s="9">
        <v>1925</v>
      </c>
      <c r="D1815" s="10">
        <v>45715</v>
      </c>
      <c r="E1815" s="11" t="str">
        <f>+HYPERLINK("http://trademark.i-assist.jp/data/china/image_1925th/82317772.pdf","82317772")</f>
        <v>82317772</v>
      </c>
      <c r="F1815" s="12" t="s">
        <v>4931</v>
      </c>
      <c r="G1815" s="12" t="s">
        <v>4844</v>
      </c>
      <c r="H1815" s="12" t="s">
        <v>4932</v>
      </c>
      <c r="I1815" s="10">
        <v>45629</v>
      </c>
    </row>
    <row r="1816" spans="1:9" x14ac:dyDescent="0.15">
      <c r="A1816" s="9">
        <v>1815</v>
      </c>
      <c r="B1816" s="9" t="s">
        <v>9</v>
      </c>
      <c r="C1816" s="9">
        <v>1925</v>
      </c>
      <c r="D1816" s="10">
        <v>45715</v>
      </c>
      <c r="E1816" s="11" t="str">
        <f>+HYPERLINK("http://trademark.i-assist.jp/data/china/image_1925th/82318023.pdf","82318023")</f>
        <v>82318023</v>
      </c>
      <c r="F1816" s="9" t="s">
        <v>4933</v>
      </c>
      <c r="G1816" s="9" t="s">
        <v>4934</v>
      </c>
      <c r="H1816" s="9" t="s">
        <v>4935</v>
      </c>
      <c r="I1816" s="10">
        <v>45629</v>
      </c>
    </row>
    <row r="1817" spans="1:9" x14ac:dyDescent="0.15">
      <c r="A1817" s="9">
        <v>1816</v>
      </c>
      <c r="B1817" s="9" t="s">
        <v>9</v>
      </c>
      <c r="C1817" s="9">
        <v>1925</v>
      </c>
      <c r="D1817" s="10">
        <v>45715</v>
      </c>
      <c r="E1817" s="11" t="str">
        <f>+HYPERLINK("http://trademark.i-assist.jp/data/china/image_1925th/82318847.pdf","82318847")</f>
        <v>82318847</v>
      </c>
      <c r="F1817" s="9" t="s">
        <v>4936</v>
      </c>
      <c r="G1817" s="12" t="s">
        <v>4937</v>
      </c>
      <c r="H1817" s="9" t="s">
        <v>4938</v>
      </c>
      <c r="I1817" s="10">
        <v>45629</v>
      </c>
    </row>
    <row r="1818" spans="1:9" x14ac:dyDescent="0.15">
      <c r="A1818" s="9">
        <v>1817</v>
      </c>
      <c r="B1818" s="9" t="s">
        <v>9</v>
      </c>
      <c r="C1818" s="9">
        <v>1925</v>
      </c>
      <c r="D1818" s="10">
        <v>45715</v>
      </c>
      <c r="E1818" s="11" t="str">
        <f>+HYPERLINK("http://trademark.i-assist.jp/data/china/image_1925th/82318882.pdf","82318882")</f>
        <v>82318882</v>
      </c>
      <c r="F1818" s="9" t="s">
        <v>4939</v>
      </c>
      <c r="G1818" s="9" t="s">
        <v>4940</v>
      </c>
      <c r="H1818" s="9" t="s">
        <v>4941</v>
      </c>
      <c r="I1818" s="10">
        <v>45629</v>
      </c>
    </row>
    <row r="1819" spans="1:9" x14ac:dyDescent="0.15">
      <c r="A1819" s="9">
        <v>1818</v>
      </c>
      <c r="B1819" s="9" t="s">
        <v>9</v>
      </c>
      <c r="C1819" s="9">
        <v>1925</v>
      </c>
      <c r="D1819" s="10">
        <v>45715</v>
      </c>
      <c r="E1819" s="11" t="str">
        <f>+HYPERLINK("http://trademark.i-assist.jp/data/china/image_1925th/82319368.pdf","82319368")</f>
        <v>82319368</v>
      </c>
      <c r="F1819" s="12" t="s">
        <v>57</v>
      </c>
      <c r="G1819" s="9" t="s">
        <v>4942</v>
      </c>
      <c r="H1819" s="9" t="s">
        <v>4943</v>
      </c>
      <c r="I1819" s="10">
        <v>45629</v>
      </c>
    </row>
    <row r="1820" spans="1:9" x14ac:dyDescent="0.15">
      <c r="A1820" s="9">
        <v>1819</v>
      </c>
      <c r="B1820" s="9" t="s">
        <v>9</v>
      </c>
      <c r="C1820" s="9">
        <v>1925</v>
      </c>
      <c r="D1820" s="10">
        <v>45715</v>
      </c>
      <c r="E1820" s="11" t="str">
        <f>+HYPERLINK("http://trademark.i-assist.jp/data/china/image_1925th/82319378.pdf","82319378")</f>
        <v>82319378</v>
      </c>
      <c r="F1820" s="12" t="s">
        <v>4944</v>
      </c>
      <c r="G1820" s="9" t="s">
        <v>4945</v>
      </c>
      <c r="H1820" s="9" t="s">
        <v>4946</v>
      </c>
      <c r="I1820" s="10">
        <v>45629</v>
      </c>
    </row>
    <row r="1821" spans="1:9" x14ac:dyDescent="0.15">
      <c r="A1821" s="9">
        <v>1820</v>
      </c>
      <c r="B1821" s="9" t="s">
        <v>9</v>
      </c>
      <c r="C1821" s="9">
        <v>1925</v>
      </c>
      <c r="D1821" s="10">
        <v>45715</v>
      </c>
      <c r="E1821" s="11" t="str">
        <f>+HYPERLINK("http://trademark.i-assist.jp/data/china/image_1925th/82319620.pdf","82319620")</f>
        <v>82319620</v>
      </c>
      <c r="F1821" s="9" t="s">
        <v>4947</v>
      </c>
      <c r="G1821" s="9" t="s">
        <v>4801</v>
      </c>
      <c r="H1821" s="12" t="s">
        <v>4948</v>
      </c>
      <c r="I1821" s="10">
        <v>45629</v>
      </c>
    </row>
    <row r="1822" spans="1:9" x14ac:dyDescent="0.15">
      <c r="A1822" s="9">
        <v>1821</v>
      </c>
      <c r="B1822" s="9" t="s">
        <v>9</v>
      </c>
      <c r="C1822" s="9">
        <v>1925</v>
      </c>
      <c r="D1822" s="10">
        <v>45715</v>
      </c>
      <c r="E1822" s="11" t="str">
        <f>+HYPERLINK("http://trademark.i-assist.jp/data/china/image_1925th/82320336.pdf","82320336")</f>
        <v>82320336</v>
      </c>
      <c r="F1822" s="9" t="s">
        <v>4949</v>
      </c>
      <c r="G1822" s="9" t="s">
        <v>4950</v>
      </c>
      <c r="H1822" s="9" t="s">
        <v>4951</v>
      </c>
      <c r="I1822" s="10">
        <v>45629</v>
      </c>
    </row>
    <row r="1823" spans="1:9" x14ac:dyDescent="0.15">
      <c r="A1823" s="9">
        <v>1822</v>
      </c>
      <c r="B1823" s="9" t="s">
        <v>9</v>
      </c>
      <c r="C1823" s="9">
        <v>1925</v>
      </c>
      <c r="D1823" s="10">
        <v>45715</v>
      </c>
      <c r="E1823" s="11" t="str">
        <f>+HYPERLINK("http://trademark.i-assist.jp/data/china/image_1925th/82320742.pdf","82320742")</f>
        <v>82320742</v>
      </c>
      <c r="F1823" s="9" t="s">
        <v>4952</v>
      </c>
      <c r="G1823" s="9" t="s">
        <v>4953</v>
      </c>
      <c r="H1823" s="12" t="s">
        <v>4954</v>
      </c>
      <c r="I1823" s="10">
        <v>45629</v>
      </c>
    </row>
    <row r="1824" spans="1:9" x14ac:dyDescent="0.15">
      <c r="A1824" s="9">
        <v>1823</v>
      </c>
      <c r="B1824" s="9" t="s">
        <v>9</v>
      </c>
      <c r="C1824" s="9">
        <v>1925</v>
      </c>
      <c r="D1824" s="10">
        <v>45715</v>
      </c>
      <c r="E1824" s="11" t="str">
        <f>+HYPERLINK("http://trademark.i-assist.jp/data/china/image_1925th/82321109.pdf","82321109")</f>
        <v>82321109</v>
      </c>
      <c r="F1824" s="9" t="s">
        <v>4955</v>
      </c>
      <c r="G1824" s="9" t="s">
        <v>4956</v>
      </c>
      <c r="H1824" s="9" t="s">
        <v>4957</v>
      </c>
      <c r="I1824" s="10">
        <v>45629</v>
      </c>
    </row>
    <row r="1825" spans="1:9" x14ac:dyDescent="0.15">
      <c r="A1825" s="9">
        <v>1824</v>
      </c>
      <c r="B1825" s="9" t="s">
        <v>9</v>
      </c>
      <c r="C1825" s="9">
        <v>1925</v>
      </c>
      <c r="D1825" s="10">
        <v>45715</v>
      </c>
      <c r="E1825" s="11" t="str">
        <f>+HYPERLINK("http://trademark.i-assist.jp/data/china/image_1925th/82321122.pdf","82321122")</f>
        <v>82321122</v>
      </c>
      <c r="F1825" s="9" t="s">
        <v>4958</v>
      </c>
      <c r="G1825" s="9" t="s">
        <v>4959</v>
      </c>
      <c r="H1825" s="9" t="s">
        <v>4960</v>
      </c>
      <c r="I1825" s="10">
        <v>45629</v>
      </c>
    </row>
    <row r="1826" spans="1:9" x14ac:dyDescent="0.15">
      <c r="A1826" s="9">
        <v>1825</v>
      </c>
      <c r="B1826" s="9" t="s">
        <v>9</v>
      </c>
      <c r="C1826" s="9">
        <v>1925</v>
      </c>
      <c r="D1826" s="10">
        <v>45715</v>
      </c>
      <c r="E1826" s="11" t="str">
        <f>+HYPERLINK("http://trademark.i-assist.jp/data/china/image_1925th/82321256.pdf","82321256")</f>
        <v>82321256</v>
      </c>
      <c r="F1826" s="12" t="s">
        <v>4961</v>
      </c>
      <c r="G1826" s="12" t="s">
        <v>4962</v>
      </c>
      <c r="H1826" s="9" t="s">
        <v>4963</v>
      </c>
      <c r="I1826" s="10">
        <v>45629</v>
      </c>
    </row>
    <row r="1827" spans="1:9" x14ac:dyDescent="0.15">
      <c r="A1827" s="9">
        <v>1826</v>
      </c>
      <c r="B1827" s="9" t="s">
        <v>9</v>
      </c>
      <c r="C1827" s="9">
        <v>1925</v>
      </c>
      <c r="D1827" s="10">
        <v>45715</v>
      </c>
      <c r="E1827" s="11" t="str">
        <f>+HYPERLINK("http://trademark.i-assist.jp/data/china/image_1925th/82321276.pdf","82321276")</f>
        <v>82321276</v>
      </c>
      <c r="F1827" s="9" t="s">
        <v>4964</v>
      </c>
      <c r="G1827" s="12" t="s">
        <v>4962</v>
      </c>
      <c r="H1827" s="9" t="s">
        <v>4965</v>
      </c>
      <c r="I1827" s="10">
        <v>45629</v>
      </c>
    </row>
    <row r="1828" spans="1:9" x14ac:dyDescent="0.15">
      <c r="A1828" s="9">
        <v>1827</v>
      </c>
      <c r="B1828" s="9" t="s">
        <v>9</v>
      </c>
      <c r="C1828" s="9">
        <v>1925</v>
      </c>
      <c r="D1828" s="10">
        <v>45715</v>
      </c>
      <c r="E1828" s="11" t="str">
        <f>+HYPERLINK("http://trademark.i-assist.jp/data/china/image_1925th/82321371.pdf","82321371")</f>
        <v>82321371</v>
      </c>
      <c r="F1828" s="9" t="s">
        <v>4966</v>
      </c>
      <c r="G1828" s="9" t="s">
        <v>4967</v>
      </c>
      <c r="H1828" s="12" t="s">
        <v>4968</v>
      </c>
      <c r="I1828" s="10">
        <v>45629</v>
      </c>
    </row>
    <row r="1829" spans="1:9" x14ac:dyDescent="0.15">
      <c r="A1829" s="9">
        <v>1828</v>
      </c>
      <c r="B1829" s="9" t="s">
        <v>9</v>
      </c>
      <c r="C1829" s="9">
        <v>1925</v>
      </c>
      <c r="D1829" s="10">
        <v>45715</v>
      </c>
      <c r="E1829" s="11" t="str">
        <f>+HYPERLINK("http://trademark.i-assist.jp/data/china/image_1925th/82321436.pdf","82321436")</f>
        <v>82321436</v>
      </c>
      <c r="F1829" s="12" t="s">
        <v>4969</v>
      </c>
      <c r="G1829" s="9" t="s">
        <v>4970</v>
      </c>
      <c r="H1829" s="9" t="s">
        <v>4971</v>
      </c>
      <c r="I1829" s="10">
        <v>45629</v>
      </c>
    </row>
    <row r="1830" spans="1:9" x14ac:dyDescent="0.15">
      <c r="A1830" s="9">
        <v>1829</v>
      </c>
      <c r="B1830" s="9" t="s">
        <v>9</v>
      </c>
      <c r="C1830" s="9">
        <v>1925</v>
      </c>
      <c r="D1830" s="10">
        <v>45715</v>
      </c>
      <c r="E1830" s="11" t="str">
        <f>+HYPERLINK("http://trademark.i-assist.jp/data/china/image_1925th/82321464.pdf","82321464")</f>
        <v>82321464</v>
      </c>
      <c r="F1830" s="9" t="s">
        <v>4972</v>
      </c>
      <c r="G1830" s="9" t="s">
        <v>4853</v>
      </c>
      <c r="H1830" s="9" t="s">
        <v>4973</v>
      </c>
      <c r="I1830" s="10">
        <v>45629</v>
      </c>
    </row>
    <row r="1831" spans="1:9" x14ac:dyDescent="0.15">
      <c r="A1831" s="9">
        <v>1830</v>
      </c>
      <c r="B1831" s="9" t="s">
        <v>9</v>
      </c>
      <c r="C1831" s="9">
        <v>1925</v>
      </c>
      <c r="D1831" s="10">
        <v>45715</v>
      </c>
      <c r="E1831" s="11" t="str">
        <f>+HYPERLINK("http://trademark.i-assist.jp/data/china/image_1925th/82321573.pdf","82321573")</f>
        <v>82321573</v>
      </c>
      <c r="F1831" s="12" t="s">
        <v>4974</v>
      </c>
      <c r="G1831" s="9" t="s">
        <v>4975</v>
      </c>
      <c r="H1831" s="9" t="s">
        <v>4976</v>
      </c>
      <c r="I1831" s="10">
        <v>45629</v>
      </c>
    </row>
    <row r="1832" spans="1:9" x14ac:dyDescent="0.15">
      <c r="A1832" s="9">
        <v>1831</v>
      </c>
      <c r="B1832" s="9" t="s">
        <v>9</v>
      </c>
      <c r="C1832" s="9">
        <v>1925</v>
      </c>
      <c r="D1832" s="10">
        <v>45715</v>
      </c>
      <c r="E1832" s="11" t="str">
        <f>+HYPERLINK("http://trademark.i-assist.jp/data/china/image_1925th/82321609.pdf","82321609")</f>
        <v>82321609</v>
      </c>
      <c r="F1832" s="9" t="s">
        <v>4977</v>
      </c>
      <c r="G1832" s="9" t="s">
        <v>4978</v>
      </c>
      <c r="H1832" s="9" t="s">
        <v>4979</v>
      </c>
      <c r="I1832" s="10">
        <v>45629</v>
      </c>
    </row>
    <row r="1833" spans="1:9" x14ac:dyDescent="0.15">
      <c r="A1833" s="9">
        <v>1832</v>
      </c>
      <c r="B1833" s="9" t="s">
        <v>9</v>
      </c>
      <c r="C1833" s="9">
        <v>1925</v>
      </c>
      <c r="D1833" s="10">
        <v>45715</v>
      </c>
      <c r="E1833" s="11" t="str">
        <f>+HYPERLINK("http://trademark.i-assist.jp/data/china/image_1925th/82321856.pdf","82321856")</f>
        <v>82321856</v>
      </c>
      <c r="F1833" s="9" t="s">
        <v>4980</v>
      </c>
      <c r="G1833" s="9" t="s">
        <v>4981</v>
      </c>
      <c r="H1833" s="12" t="s">
        <v>4982</v>
      </c>
      <c r="I1833" s="10">
        <v>45629</v>
      </c>
    </row>
    <row r="1834" spans="1:9" x14ac:dyDescent="0.15">
      <c r="A1834" s="9">
        <v>1833</v>
      </c>
      <c r="B1834" s="9" t="s">
        <v>9</v>
      </c>
      <c r="C1834" s="9">
        <v>1925</v>
      </c>
      <c r="D1834" s="10">
        <v>45715</v>
      </c>
      <c r="E1834" s="11" t="str">
        <f>+HYPERLINK("http://trademark.i-assist.jp/data/china/image_1925th/82322065.pdf","82322065")</f>
        <v>82322065</v>
      </c>
      <c r="F1834" s="12" t="s">
        <v>4983</v>
      </c>
      <c r="G1834" s="9" t="s">
        <v>4984</v>
      </c>
      <c r="H1834" s="9" t="s">
        <v>4985</v>
      </c>
      <c r="I1834" s="10">
        <v>45629</v>
      </c>
    </row>
    <row r="1835" spans="1:9" x14ac:dyDescent="0.15">
      <c r="A1835" s="9">
        <v>1834</v>
      </c>
      <c r="B1835" s="9" t="s">
        <v>9</v>
      </c>
      <c r="C1835" s="9">
        <v>1925</v>
      </c>
      <c r="D1835" s="10">
        <v>45715</v>
      </c>
      <c r="E1835" s="11" t="str">
        <f>+HYPERLINK("http://trademark.i-assist.jp/data/china/image_1925th/82322415.pdf","82322415")</f>
        <v>82322415</v>
      </c>
      <c r="F1835" s="12" t="s">
        <v>4986</v>
      </c>
      <c r="G1835" s="9" t="s">
        <v>4987</v>
      </c>
      <c r="H1835" s="9" t="s">
        <v>4988</v>
      </c>
      <c r="I1835" s="10">
        <v>45629</v>
      </c>
    </row>
    <row r="1836" spans="1:9" x14ac:dyDescent="0.15">
      <c r="A1836" s="9">
        <v>1835</v>
      </c>
      <c r="B1836" s="9" t="s">
        <v>9</v>
      </c>
      <c r="C1836" s="9">
        <v>1925</v>
      </c>
      <c r="D1836" s="10">
        <v>45715</v>
      </c>
      <c r="E1836" s="11" t="str">
        <f>+HYPERLINK("http://trademark.i-assist.jp/data/china/image_1925th/82322562.pdf","82322562")</f>
        <v>82322562</v>
      </c>
      <c r="F1836" s="12" t="s">
        <v>57</v>
      </c>
      <c r="G1836" s="9" t="s">
        <v>4989</v>
      </c>
      <c r="H1836" s="9" t="s">
        <v>4990</v>
      </c>
      <c r="I1836" s="10">
        <v>45629</v>
      </c>
    </row>
    <row r="1837" spans="1:9" x14ac:dyDescent="0.15">
      <c r="A1837" s="9">
        <v>1836</v>
      </c>
      <c r="B1837" s="9" t="s">
        <v>9</v>
      </c>
      <c r="C1837" s="9">
        <v>1925</v>
      </c>
      <c r="D1837" s="10">
        <v>45715</v>
      </c>
      <c r="E1837" s="11" t="str">
        <f>+HYPERLINK("http://trademark.i-assist.jp/data/china/image_1925th/82323081.pdf","82323081")</f>
        <v>82323081</v>
      </c>
      <c r="F1837" s="9" t="s">
        <v>4991</v>
      </c>
      <c r="G1837" s="9" t="s">
        <v>4992</v>
      </c>
      <c r="H1837" s="9" t="s">
        <v>4993</v>
      </c>
      <c r="I1837" s="10">
        <v>45629</v>
      </c>
    </row>
    <row r="1838" spans="1:9" x14ac:dyDescent="0.15">
      <c r="A1838" s="9">
        <v>1837</v>
      </c>
      <c r="B1838" s="9" t="s">
        <v>9</v>
      </c>
      <c r="C1838" s="9">
        <v>1925</v>
      </c>
      <c r="D1838" s="10">
        <v>45715</v>
      </c>
      <c r="E1838" s="11" t="str">
        <f>+HYPERLINK("http://trademark.i-assist.jp/data/china/image_1925th/82323105.pdf","82323105")</f>
        <v>82323105</v>
      </c>
      <c r="F1838" s="9" t="s">
        <v>4994</v>
      </c>
      <c r="G1838" s="9" t="s">
        <v>4853</v>
      </c>
      <c r="H1838" s="9" t="s">
        <v>4995</v>
      </c>
      <c r="I1838" s="10">
        <v>45629</v>
      </c>
    </row>
    <row r="1839" spans="1:9" x14ac:dyDescent="0.15">
      <c r="A1839" s="9">
        <v>1838</v>
      </c>
      <c r="B1839" s="9" t="s">
        <v>9</v>
      </c>
      <c r="C1839" s="9">
        <v>1925</v>
      </c>
      <c r="D1839" s="10">
        <v>45715</v>
      </c>
      <c r="E1839" s="11" t="str">
        <f>+HYPERLINK("http://trademark.i-assist.jp/data/china/image_1925th/82323124.pdf","82323124")</f>
        <v>82323124</v>
      </c>
      <c r="F1839" s="9" t="s">
        <v>4996</v>
      </c>
      <c r="G1839" s="9" t="s">
        <v>4853</v>
      </c>
      <c r="H1839" s="12" t="s">
        <v>4997</v>
      </c>
      <c r="I1839" s="10">
        <v>45629</v>
      </c>
    </row>
    <row r="1840" spans="1:9" x14ac:dyDescent="0.15">
      <c r="A1840" s="9">
        <v>1839</v>
      </c>
      <c r="B1840" s="9" t="s">
        <v>9</v>
      </c>
      <c r="C1840" s="9">
        <v>1925</v>
      </c>
      <c r="D1840" s="10">
        <v>45715</v>
      </c>
      <c r="E1840" s="11" t="str">
        <f>+HYPERLINK("http://trademark.i-assist.jp/data/china/image_1925th/82323294.pdf","82323294")</f>
        <v>82323294</v>
      </c>
      <c r="F1840" s="12" t="s">
        <v>4998</v>
      </c>
      <c r="G1840" s="12" t="s">
        <v>4962</v>
      </c>
      <c r="H1840" s="9" t="s">
        <v>4999</v>
      </c>
      <c r="I1840" s="10">
        <v>45629</v>
      </c>
    </row>
    <row r="1841" spans="1:9" x14ac:dyDescent="0.15">
      <c r="A1841" s="9">
        <v>1840</v>
      </c>
      <c r="B1841" s="9" t="s">
        <v>9</v>
      </c>
      <c r="C1841" s="9">
        <v>1925</v>
      </c>
      <c r="D1841" s="10">
        <v>45715</v>
      </c>
      <c r="E1841" s="11" t="str">
        <f>+HYPERLINK("http://trademark.i-assist.jp/data/china/image_1925th/82323718.pdf","82323718")</f>
        <v>82323718</v>
      </c>
      <c r="F1841" s="9" t="s">
        <v>5000</v>
      </c>
      <c r="G1841" s="12" t="s">
        <v>5001</v>
      </c>
      <c r="H1841" s="9" t="s">
        <v>5002</v>
      </c>
      <c r="I1841" s="10">
        <v>45629</v>
      </c>
    </row>
    <row r="1842" spans="1:9" x14ac:dyDescent="0.15">
      <c r="A1842" s="9">
        <v>1841</v>
      </c>
      <c r="B1842" s="9" t="s">
        <v>9</v>
      </c>
      <c r="C1842" s="9">
        <v>1925</v>
      </c>
      <c r="D1842" s="10">
        <v>45715</v>
      </c>
      <c r="E1842" s="11" t="str">
        <f>+HYPERLINK("http://trademark.i-assist.jp/data/china/image_1925th/82323779.pdf","82323779")</f>
        <v>82323779</v>
      </c>
      <c r="F1842" s="9" t="s">
        <v>5003</v>
      </c>
      <c r="G1842" s="12" t="s">
        <v>5004</v>
      </c>
      <c r="H1842" s="9" t="s">
        <v>5005</v>
      </c>
      <c r="I1842" s="10">
        <v>45629</v>
      </c>
    </row>
    <row r="1843" spans="1:9" x14ac:dyDescent="0.15">
      <c r="A1843" s="9">
        <v>1842</v>
      </c>
      <c r="B1843" s="9" t="s">
        <v>9</v>
      </c>
      <c r="C1843" s="9">
        <v>1925</v>
      </c>
      <c r="D1843" s="10">
        <v>45715</v>
      </c>
      <c r="E1843" s="11" t="str">
        <f>+HYPERLINK("http://trademark.i-assist.jp/data/china/image_1925th/82324251.pdf","82324251")</f>
        <v>82324251</v>
      </c>
      <c r="F1843" s="9" t="s">
        <v>5006</v>
      </c>
      <c r="G1843" s="9" t="s">
        <v>4921</v>
      </c>
      <c r="H1843" s="9" t="s">
        <v>5007</v>
      </c>
      <c r="I1843" s="10">
        <v>45629</v>
      </c>
    </row>
    <row r="1844" spans="1:9" x14ac:dyDescent="0.15">
      <c r="A1844" s="9">
        <v>1843</v>
      </c>
      <c r="B1844" s="9" t="s">
        <v>9</v>
      </c>
      <c r="C1844" s="9">
        <v>1925</v>
      </c>
      <c r="D1844" s="10">
        <v>45715</v>
      </c>
      <c r="E1844" s="11" t="str">
        <f>+HYPERLINK("http://trademark.i-assist.jp/data/china/image_1925th/82324617.pdf","82324617")</f>
        <v>82324617</v>
      </c>
      <c r="F1844" s="9" t="s">
        <v>5008</v>
      </c>
      <c r="G1844" s="9" t="s">
        <v>5009</v>
      </c>
      <c r="H1844" s="9" t="s">
        <v>5010</v>
      </c>
      <c r="I1844" s="10">
        <v>45629</v>
      </c>
    </row>
    <row r="1845" spans="1:9" x14ac:dyDescent="0.15">
      <c r="A1845" s="9">
        <v>1844</v>
      </c>
      <c r="B1845" s="9" t="s">
        <v>9</v>
      </c>
      <c r="C1845" s="9">
        <v>1925</v>
      </c>
      <c r="D1845" s="10">
        <v>45715</v>
      </c>
      <c r="E1845" s="11" t="str">
        <f>+HYPERLINK("http://trademark.i-assist.jp/data/china/image_1925th/82325021.pdf","82325021")</f>
        <v>82325021</v>
      </c>
      <c r="F1845" s="9" t="s">
        <v>5011</v>
      </c>
      <c r="G1845" s="9" t="s">
        <v>4841</v>
      </c>
      <c r="H1845" s="9" t="s">
        <v>5012</v>
      </c>
      <c r="I1845" s="10">
        <v>45629</v>
      </c>
    </row>
    <row r="1846" spans="1:9" x14ac:dyDescent="0.15">
      <c r="A1846" s="9">
        <v>1845</v>
      </c>
      <c r="B1846" s="9" t="s">
        <v>9</v>
      </c>
      <c r="C1846" s="9">
        <v>1925</v>
      </c>
      <c r="D1846" s="10">
        <v>45715</v>
      </c>
      <c r="E1846" s="11" t="str">
        <f>+HYPERLINK("http://trademark.i-assist.jp/data/china/image_1925th/82325104.pdf","82325104")</f>
        <v>82325104</v>
      </c>
      <c r="F1846" s="12" t="s">
        <v>5013</v>
      </c>
      <c r="G1846" s="9" t="s">
        <v>287</v>
      </c>
      <c r="H1846" s="12" t="s">
        <v>5014</v>
      </c>
      <c r="I1846" s="10">
        <v>45629</v>
      </c>
    </row>
    <row r="1847" spans="1:9" x14ac:dyDescent="0.15">
      <c r="A1847" s="9">
        <v>1846</v>
      </c>
      <c r="B1847" s="9" t="s">
        <v>9</v>
      </c>
      <c r="C1847" s="9">
        <v>1925</v>
      </c>
      <c r="D1847" s="10">
        <v>45715</v>
      </c>
      <c r="E1847" s="11" t="str">
        <f>+HYPERLINK("http://trademark.i-assist.jp/data/china/image_1925th/82325138.pdf","82325138")</f>
        <v>82325138</v>
      </c>
      <c r="F1847" s="9" t="s">
        <v>5015</v>
      </c>
      <c r="G1847" s="9" t="s">
        <v>287</v>
      </c>
      <c r="H1847" s="9" t="s">
        <v>5016</v>
      </c>
      <c r="I1847" s="10">
        <v>45629</v>
      </c>
    </row>
    <row r="1848" spans="1:9" x14ac:dyDescent="0.15">
      <c r="A1848" s="9">
        <v>1847</v>
      </c>
      <c r="B1848" s="9" t="s">
        <v>9</v>
      </c>
      <c r="C1848" s="9">
        <v>1925</v>
      </c>
      <c r="D1848" s="10">
        <v>45715</v>
      </c>
      <c r="E1848" s="11" t="str">
        <f>+HYPERLINK("http://trademark.i-assist.jp/data/china/image_1925th/82325537.pdf","82325537")</f>
        <v>82325537</v>
      </c>
      <c r="F1848" s="12" t="s">
        <v>5017</v>
      </c>
      <c r="G1848" s="12" t="s">
        <v>5018</v>
      </c>
      <c r="H1848" s="9" t="s">
        <v>5019</v>
      </c>
      <c r="I1848" s="10">
        <v>45629</v>
      </c>
    </row>
    <row r="1849" spans="1:9" x14ac:dyDescent="0.15">
      <c r="A1849" s="9">
        <v>1848</v>
      </c>
      <c r="B1849" s="9" t="s">
        <v>9</v>
      </c>
      <c r="C1849" s="9">
        <v>1925</v>
      </c>
      <c r="D1849" s="10">
        <v>45715</v>
      </c>
      <c r="E1849" s="11" t="str">
        <f>+HYPERLINK("http://trademark.i-assist.jp/data/china/image_1925th/82325582.pdf","82325582")</f>
        <v>82325582</v>
      </c>
      <c r="F1849" s="12" t="s">
        <v>57</v>
      </c>
      <c r="G1849" s="9" t="s">
        <v>5020</v>
      </c>
      <c r="H1849" s="9" t="s">
        <v>5021</v>
      </c>
      <c r="I1849" s="10">
        <v>45629</v>
      </c>
    </row>
    <row r="1850" spans="1:9" x14ac:dyDescent="0.15">
      <c r="A1850" s="9">
        <v>1849</v>
      </c>
      <c r="B1850" s="9" t="s">
        <v>9</v>
      </c>
      <c r="C1850" s="9">
        <v>1925</v>
      </c>
      <c r="D1850" s="10">
        <v>45715</v>
      </c>
      <c r="E1850" s="11" t="str">
        <f>+HYPERLINK("http://trademark.i-assist.jp/data/china/image_1925th/82325621.pdf","82325621")</f>
        <v>82325621</v>
      </c>
      <c r="F1850" s="9" t="s">
        <v>5022</v>
      </c>
      <c r="G1850" s="9" t="s">
        <v>5023</v>
      </c>
      <c r="H1850" s="9" t="s">
        <v>5024</v>
      </c>
      <c r="I1850" s="10">
        <v>45629</v>
      </c>
    </row>
    <row r="1851" spans="1:9" x14ac:dyDescent="0.15">
      <c r="A1851" s="9">
        <v>1850</v>
      </c>
      <c r="B1851" s="9" t="s">
        <v>9</v>
      </c>
      <c r="C1851" s="9">
        <v>1925</v>
      </c>
      <c r="D1851" s="10">
        <v>45715</v>
      </c>
      <c r="E1851" s="11" t="str">
        <f>+HYPERLINK("http://trademark.i-assist.jp/data/china/image_1925th/82325693.pdf","82325693")</f>
        <v>82325693</v>
      </c>
      <c r="F1851" s="9" t="s">
        <v>5025</v>
      </c>
      <c r="G1851" s="9" t="s">
        <v>4956</v>
      </c>
      <c r="H1851" s="9" t="s">
        <v>5026</v>
      </c>
      <c r="I1851" s="10">
        <v>45629</v>
      </c>
    </row>
    <row r="1852" spans="1:9" x14ac:dyDescent="0.15">
      <c r="A1852" s="9">
        <v>1851</v>
      </c>
      <c r="B1852" s="9" t="s">
        <v>9</v>
      </c>
      <c r="C1852" s="9">
        <v>1925</v>
      </c>
      <c r="D1852" s="10">
        <v>45715</v>
      </c>
      <c r="E1852" s="11" t="str">
        <f>+HYPERLINK("http://trademark.i-assist.jp/data/china/image_1925th/82325839.pdf","82325839")</f>
        <v>82325839</v>
      </c>
      <c r="F1852" s="9" t="s">
        <v>5027</v>
      </c>
      <c r="G1852" s="9" t="s">
        <v>5028</v>
      </c>
      <c r="H1852" s="9" t="s">
        <v>5029</v>
      </c>
      <c r="I1852" s="10">
        <v>45629</v>
      </c>
    </row>
    <row r="1853" spans="1:9" x14ac:dyDescent="0.15">
      <c r="A1853" s="9">
        <v>1852</v>
      </c>
      <c r="B1853" s="9" t="s">
        <v>9</v>
      </c>
      <c r="C1853" s="9">
        <v>1925</v>
      </c>
      <c r="D1853" s="10">
        <v>45715</v>
      </c>
      <c r="E1853" s="11" t="str">
        <f>+HYPERLINK("http://trademark.i-assist.jp/data/china/image_1925th/82326094.pdf","82326094")</f>
        <v>82326094</v>
      </c>
      <c r="F1853" s="9" t="s">
        <v>5030</v>
      </c>
      <c r="G1853" s="9" t="s">
        <v>5031</v>
      </c>
      <c r="H1853" s="9" t="s">
        <v>5032</v>
      </c>
      <c r="I1853" s="10">
        <v>45629</v>
      </c>
    </row>
    <row r="1854" spans="1:9" x14ac:dyDescent="0.15">
      <c r="A1854" s="9">
        <v>1853</v>
      </c>
      <c r="B1854" s="9" t="s">
        <v>9</v>
      </c>
      <c r="C1854" s="9">
        <v>1925</v>
      </c>
      <c r="D1854" s="10">
        <v>45715</v>
      </c>
      <c r="E1854" s="11" t="str">
        <f>+HYPERLINK("http://trademark.i-assist.jp/data/china/image_1925th/82326376.pdf","82326376")</f>
        <v>82326376</v>
      </c>
      <c r="F1854" s="12" t="s">
        <v>5033</v>
      </c>
      <c r="G1854" s="9" t="s">
        <v>4853</v>
      </c>
      <c r="H1854" s="9" t="s">
        <v>5034</v>
      </c>
      <c r="I1854" s="10">
        <v>45629</v>
      </c>
    </row>
    <row r="1855" spans="1:9" x14ac:dyDescent="0.15">
      <c r="A1855" s="9">
        <v>1854</v>
      </c>
      <c r="B1855" s="9" t="s">
        <v>9</v>
      </c>
      <c r="C1855" s="9">
        <v>1925</v>
      </c>
      <c r="D1855" s="10">
        <v>45715</v>
      </c>
      <c r="E1855" s="11" t="str">
        <f>+HYPERLINK("http://trademark.i-assist.jp/data/china/image_1925th/82326505.pdf","82326505")</f>
        <v>82326505</v>
      </c>
      <c r="F1855" s="9" t="s">
        <v>5035</v>
      </c>
      <c r="G1855" s="9" t="s">
        <v>5036</v>
      </c>
      <c r="H1855" s="9" t="s">
        <v>5037</v>
      </c>
      <c r="I1855" s="10">
        <v>45629</v>
      </c>
    </row>
    <row r="1856" spans="1:9" x14ac:dyDescent="0.15">
      <c r="A1856" s="9">
        <v>1855</v>
      </c>
      <c r="B1856" s="9" t="s">
        <v>9</v>
      </c>
      <c r="C1856" s="9">
        <v>1925</v>
      </c>
      <c r="D1856" s="10">
        <v>45715</v>
      </c>
      <c r="E1856" s="11" t="str">
        <f>+HYPERLINK("http://trademark.i-assist.jp/data/china/image_1925th/82326905.pdf","82326905")</f>
        <v>82326905</v>
      </c>
      <c r="F1856" s="9" t="s">
        <v>5038</v>
      </c>
      <c r="G1856" s="9" t="s">
        <v>5039</v>
      </c>
      <c r="H1856" s="12" t="s">
        <v>5040</v>
      </c>
      <c r="I1856" s="10">
        <v>45629</v>
      </c>
    </row>
    <row r="1857" spans="1:9" x14ac:dyDescent="0.15">
      <c r="A1857" s="9">
        <v>1856</v>
      </c>
      <c r="B1857" s="9" t="s">
        <v>9</v>
      </c>
      <c r="C1857" s="9">
        <v>1925</v>
      </c>
      <c r="D1857" s="10">
        <v>45715</v>
      </c>
      <c r="E1857" s="11" t="str">
        <f>+HYPERLINK("http://trademark.i-assist.jp/data/china/image_1925th/82327149.pdf","82327149")</f>
        <v>82327149</v>
      </c>
      <c r="F1857" s="12" t="s">
        <v>5041</v>
      </c>
      <c r="G1857" s="12" t="s">
        <v>4962</v>
      </c>
      <c r="H1857" s="9" t="s">
        <v>5042</v>
      </c>
      <c r="I1857" s="10">
        <v>45629</v>
      </c>
    </row>
    <row r="1858" spans="1:9" x14ac:dyDescent="0.15">
      <c r="A1858" s="9">
        <v>1857</v>
      </c>
      <c r="B1858" s="9" t="s">
        <v>9</v>
      </c>
      <c r="C1858" s="9">
        <v>1925</v>
      </c>
      <c r="D1858" s="10">
        <v>45715</v>
      </c>
      <c r="E1858" s="11" t="str">
        <f>+HYPERLINK("http://trademark.i-assist.jp/data/china/image_1925th/82327195.pdf","82327195")</f>
        <v>82327195</v>
      </c>
      <c r="F1858" s="9" t="s">
        <v>5043</v>
      </c>
      <c r="G1858" s="9" t="s">
        <v>30</v>
      </c>
      <c r="H1858" s="9" t="s">
        <v>5044</v>
      </c>
      <c r="I1858" s="10">
        <v>45629</v>
      </c>
    </row>
    <row r="1859" spans="1:9" x14ac:dyDescent="0.15">
      <c r="A1859" s="9">
        <v>1858</v>
      </c>
      <c r="B1859" s="9" t="s">
        <v>9</v>
      </c>
      <c r="C1859" s="9">
        <v>1925</v>
      </c>
      <c r="D1859" s="10">
        <v>45715</v>
      </c>
      <c r="E1859" s="11" t="str">
        <f>+HYPERLINK("http://trademark.i-assist.jp/data/china/image_1925th/82327377.pdf","82327377")</f>
        <v>82327377</v>
      </c>
      <c r="F1859" s="9" t="s">
        <v>5045</v>
      </c>
      <c r="G1859" s="9" t="s">
        <v>5046</v>
      </c>
      <c r="H1859" s="12" t="s">
        <v>5047</v>
      </c>
      <c r="I1859" s="10">
        <v>45629</v>
      </c>
    </row>
    <row r="1860" spans="1:9" x14ac:dyDescent="0.15">
      <c r="A1860" s="9">
        <v>1859</v>
      </c>
      <c r="B1860" s="9" t="s">
        <v>9</v>
      </c>
      <c r="C1860" s="9">
        <v>1925</v>
      </c>
      <c r="D1860" s="10">
        <v>45715</v>
      </c>
      <c r="E1860" s="11" t="str">
        <f>+HYPERLINK("http://trademark.i-assist.jp/data/china/image_1925th/82327867.pdf","82327867")</f>
        <v>82327867</v>
      </c>
      <c r="F1860" s="12" t="s">
        <v>5048</v>
      </c>
      <c r="G1860" s="9" t="s">
        <v>5049</v>
      </c>
      <c r="H1860" s="9" t="s">
        <v>5050</v>
      </c>
      <c r="I1860" s="10">
        <v>45629</v>
      </c>
    </row>
    <row r="1861" spans="1:9" x14ac:dyDescent="0.15">
      <c r="A1861" s="9">
        <v>1860</v>
      </c>
      <c r="B1861" s="9" t="s">
        <v>9</v>
      </c>
      <c r="C1861" s="9">
        <v>1925</v>
      </c>
      <c r="D1861" s="10">
        <v>45715</v>
      </c>
      <c r="E1861" s="11" t="str">
        <f>+HYPERLINK("http://trademark.i-assist.jp/data/china/image_1925th/82327895.pdf","82327895")</f>
        <v>82327895</v>
      </c>
      <c r="F1861" s="9" t="s">
        <v>5051</v>
      </c>
      <c r="G1861" s="9" t="s">
        <v>5052</v>
      </c>
      <c r="H1861" s="9" t="s">
        <v>5053</v>
      </c>
      <c r="I1861" s="10">
        <v>45629</v>
      </c>
    </row>
    <row r="1862" spans="1:9" x14ac:dyDescent="0.15">
      <c r="A1862" s="9">
        <v>1861</v>
      </c>
      <c r="B1862" s="9" t="s">
        <v>9</v>
      </c>
      <c r="C1862" s="9">
        <v>1925</v>
      </c>
      <c r="D1862" s="10">
        <v>45715</v>
      </c>
      <c r="E1862" s="11" t="str">
        <f>+HYPERLINK("http://trademark.i-assist.jp/data/china/image_1925th/82328059.pdf","82328059")</f>
        <v>82328059</v>
      </c>
      <c r="F1862" s="9" t="s">
        <v>5054</v>
      </c>
      <c r="G1862" s="9" t="s">
        <v>5055</v>
      </c>
      <c r="H1862" s="9" t="s">
        <v>5056</v>
      </c>
      <c r="I1862" s="10">
        <v>45629</v>
      </c>
    </row>
    <row r="1863" spans="1:9" x14ac:dyDescent="0.15">
      <c r="A1863" s="9">
        <v>1862</v>
      </c>
      <c r="B1863" s="9" t="s">
        <v>9</v>
      </c>
      <c r="C1863" s="9">
        <v>1925</v>
      </c>
      <c r="D1863" s="10">
        <v>45715</v>
      </c>
      <c r="E1863" s="11" t="str">
        <f>+HYPERLINK("http://trademark.i-assist.jp/data/china/image_1925th/82328197.pdf","82328197")</f>
        <v>82328197</v>
      </c>
      <c r="F1863" s="9" t="s">
        <v>5057</v>
      </c>
      <c r="G1863" s="12" t="s">
        <v>5058</v>
      </c>
      <c r="H1863" s="9" t="s">
        <v>5059</v>
      </c>
      <c r="I1863" s="10">
        <v>45629</v>
      </c>
    </row>
    <row r="1864" spans="1:9" x14ac:dyDescent="0.15">
      <c r="A1864" s="9">
        <v>1863</v>
      </c>
      <c r="B1864" s="9" t="s">
        <v>9</v>
      </c>
      <c r="C1864" s="9">
        <v>1925</v>
      </c>
      <c r="D1864" s="10">
        <v>45715</v>
      </c>
      <c r="E1864" s="11" t="str">
        <f>+HYPERLINK("http://trademark.i-assist.jp/data/china/image_1925th/82328393.pdf","82328393")</f>
        <v>82328393</v>
      </c>
      <c r="F1864" s="12" t="s">
        <v>5060</v>
      </c>
      <c r="G1864" s="9" t="s">
        <v>5061</v>
      </c>
      <c r="H1864" s="9" t="s">
        <v>5062</v>
      </c>
      <c r="I1864" s="10">
        <v>45629</v>
      </c>
    </row>
    <row r="1865" spans="1:9" x14ac:dyDescent="0.15">
      <c r="A1865" s="9">
        <v>1864</v>
      </c>
      <c r="B1865" s="9" t="s">
        <v>9</v>
      </c>
      <c r="C1865" s="9">
        <v>1925</v>
      </c>
      <c r="D1865" s="10">
        <v>45715</v>
      </c>
      <c r="E1865" s="11" t="str">
        <f>+HYPERLINK("http://trademark.i-assist.jp/data/china/image_1925th/82328488.pdf","82328488")</f>
        <v>82328488</v>
      </c>
      <c r="F1865" s="9" t="s">
        <v>5063</v>
      </c>
      <c r="G1865" s="9" t="s">
        <v>5064</v>
      </c>
      <c r="H1865" s="9" t="s">
        <v>5065</v>
      </c>
      <c r="I1865" s="10">
        <v>45629</v>
      </c>
    </row>
    <row r="1866" spans="1:9" x14ac:dyDescent="0.15">
      <c r="A1866" s="9">
        <v>1865</v>
      </c>
      <c r="B1866" s="9" t="s">
        <v>9</v>
      </c>
      <c r="C1866" s="9">
        <v>1925</v>
      </c>
      <c r="D1866" s="10">
        <v>45715</v>
      </c>
      <c r="E1866" s="11" t="str">
        <f>+HYPERLINK("http://trademark.i-assist.jp/data/china/image_1925th/82328553.pdf","82328553")</f>
        <v>82328553</v>
      </c>
      <c r="F1866" s="9" t="s">
        <v>5066</v>
      </c>
      <c r="G1866" s="9" t="s">
        <v>287</v>
      </c>
      <c r="H1866" s="12" t="s">
        <v>5067</v>
      </c>
      <c r="I1866" s="10">
        <v>45629</v>
      </c>
    </row>
    <row r="1867" spans="1:9" x14ac:dyDescent="0.15">
      <c r="A1867" s="9">
        <v>1866</v>
      </c>
      <c r="B1867" s="9" t="s">
        <v>9</v>
      </c>
      <c r="C1867" s="9">
        <v>1925</v>
      </c>
      <c r="D1867" s="10">
        <v>45715</v>
      </c>
      <c r="E1867" s="11" t="str">
        <f>+HYPERLINK("http://trademark.i-assist.jp/data/china/image_1925th/82328816.pdf","82328816")</f>
        <v>82328816</v>
      </c>
      <c r="F1867" s="9" t="s">
        <v>5068</v>
      </c>
      <c r="G1867" s="12" t="s">
        <v>4825</v>
      </c>
      <c r="H1867" s="12" t="s">
        <v>5069</v>
      </c>
      <c r="I1867" s="10">
        <v>45629</v>
      </c>
    </row>
    <row r="1868" spans="1:9" x14ac:dyDescent="0.15">
      <c r="A1868" s="9">
        <v>1867</v>
      </c>
      <c r="B1868" s="9" t="s">
        <v>9</v>
      </c>
      <c r="C1868" s="9">
        <v>1925</v>
      </c>
      <c r="D1868" s="10">
        <v>45715</v>
      </c>
      <c r="E1868" s="11" t="str">
        <f>+HYPERLINK("http://trademark.i-assist.jp/data/china/image_1925th/82328947.pdf","82328947")</f>
        <v>82328947</v>
      </c>
      <c r="F1868" s="9" t="s">
        <v>5070</v>
      </c>
      <c r="G1868" s="9" t="s">
        <v>5071</v>
      </c>
      <c r="H1868" s="9" t="s">
        <v>5072</v>
      </c>
      <c r="I1868" s="10">
        <v>45629</v>
      </c>
    </row>
    <row r="1869" spans="1:9" x14ac:dyDescent="0.15">
      <c r="A1869" s="9">
        <v>1868</v>
      </c>
      <c r="B1869" s="9" t="s">
        <v>9</v>
      </c>
      <c r="C1869" s="9">
        <v>1925</v>
      </c>
      <c r="D1869" s="10">
        <v>45715</v>
      </c>
      <c r="E1869" s="11" t="str">
        <f>+HYPERLINK("http://trademark.i-assist.jp/data/china/image_1925th/82329058.pdf","82329058")</f>
        <v>82329058</v>
      </c>
      <c r="F1869" s="9" t="s">
        <v>5073</v>
      </c>
      <c r="G1869" s="9" t="s">
        <v>5074</v>
      </c>
      <c r="H1869" s="9" t="s">
        <v>5075</v>
      </c>
      <c r="I1869" s="10">
        <v>45629</v>
      </c>
    </row>
    <row r="1870" spans="1:9" x14ac:dyDescent="0.15">
      <c r="A1870" s="9">
        <v>1869</v>
      </c>
      <c r="B1870" s="9" t="s">
        <v>9</v>
      </c>
      <c r="C1870" s="9">
        <v>1925</v>
      </c>
      <c r="D1870" s="10">
        <v>45715</v>
      </c>
      <c r="E1870" s="11" t="str">
        <f>+HYPERLINK("http://trademark.i-assist.jp/data/china/image_1925th/82329206.pdf","82329206")</f>
        <v>82329206</v>
      </c>
      <c r="F1870" s="12" t="s">
        <v>5076</v>
      </c>
      <c r="G1870" s="9" t="s">
        <v>5077</v>
      </c>
      <c r="H1870" s="9" t="s">
        <v>5078</v>
      </c>
      <c r="I1870" s="10">
        <v>45629</v>
      </c>
    </row>
    <row r="1871" spans="1:9" x14ac:dyDescent="0.15">
      <c r="A1871" s="9">
        <v>1870</v>
      </c>
      <c r="B1871" s="9" t="s">
        <v>9</v>
      </c>
      <c r="C1871" s="9">
        <v>1925</v>
      </c>
      <c r="D1871" s="10">
        <v>45715</v>
      </c>
      <c r="E1871" s="11" t="str">
        <f>+HYPERLINK("http://trademark.i-assist.jp/data/china/image_1925th/82329365.pdf","82329365")</f>
        <v>82329365</v>
      </c>
      <c r="F1871" s="12" t="s">
        <v>5079</v>
      </c>
      <c r="G1871" s="12" t="s">
        <v>4870</v>
      </c>
      <c r="H1871" s="9" t="s">
        <v>4871</v>
      </c>
      <c r="I1871" s="10">
        <v>45629</v>
      </c>
    </row>
    <row r="1872" spans="1:9" x14ac:dyDescent="0.15">
      <c r="A1872" s="9">
        <v>1871</v>
      </c>
      <c r="B1872" s="9" t="s">
        <v>9</v>
      </c>
      <c r="C1872" s="9">
        <v>1925</v>
      </c>
      <c r="D1872" s="10">
        <v>45715</v>
      </c>
      <c r="E1872" s="11" t="str">
        <f>+HYPERLINK("http://trademark.i-assist.jp/data/china/image_1925th/82329445.pdf","82329445")</f>
        <v>82329445</v>
      </c>
      <c r="F1872" s="9" t="s">
        <v>5080</v>
      </c>
      <c r="G1872" s="9" t="s">
        <v>4853</v>
      </c>
      <c r="H1872" s="9" t="s">
        <v>5081</v>
      </c>
      <c r="I1872" s="10">
        <v>45629</v>
      </c>
    </row>
    <row r="1873" spans="1:9" x14ac:dyDescent="0.15">
      <c r="A1873" s="9">
        <v>1872</v>
      </c>
      <c r="B1873" s="9" t="s">
        <v>9</v>
      </c>
      <c r="C1873" s="9">
        <v>1925</v>
      </c>
      <c r="D1873" s="10">
        <v>45715</v>
      </c>
      <c r="E1873" s="11" t="str">
        <f>+HYPERLINK("http://trademark.i-assist.jp/data/china/image_1925th/82329461.pdf","82329461")</f>
        <v>82329461</v>
      </c>
      <c r="F1873" s="12" t="s">
        <v>5082</v>
      </c>
      <c r="G1873" s="9" t="s">
        <v>5083</v>
      </c>
      <c r="H1873" s="9" t="s">
        <v>5084</v>
      </c>
      <c r="I1873" s="10">
        <v>45629</v>
      </c>
    </row>
    <row r="1874" spans="1:9" x14ac:dyDescent="0.15">
      <c r="A1874" s="9">
        <v>1873</v>
      </c>
      <c r="B1874" s="9" t="s">
        <v>9</v>
      </c>
      <c r="C1874" s="9">
        <v>1925</v>
      </c>
      <c r="D1874" s="10">
        <v>45715</v>
      </c>
      <c r="E1874" s="11" t="str">
        <f>+HYPERLINK("http://trademark.i-assist.jp/data/china/image_1925th/82329493.pdf","82329493")</f>
        <v>82329493</v>
      </c>
      <c r="F1874" s="9" t="s">
        <v>5085</v>
      </c>
      <c r="G1874" s="9" t="s">
        <v>5086</v>
      </c>
      <c r="H1874" s="9" t="s">
        <v>5087</v>
      </c>
      <c r="I1874" s="10">
        <v>45629</v>
      </c>
    </row>
    <row r="1875" spans="1:9" x14ac:dyDescent="0.15">
      <c r="A1875" s="9">
        <v>1874</v>
      </c>
      <c r="B1875" s="9" t="s">
        <v>9</v>
      </c>
      <c r="C1875" s="9">
        <v>1925</v>
      </c>
      <c r="D1875" s="10">
        <v>45715</v>
      </c>
      <c r="E1875" s="11" t="str">
        <f>+HYPERLINK("http://trademark.i-assist.jp/data/china/image_1925th/82329605.pdf","82329605")</f>
        <v>82329605</v>
      </c>
      <c r="F1875" s="9" t="s">
        <v>5088</v>
      </c>
      <c r="G1875" s="9" t="s">
        <v>5089</v>
      </c>
      <c r="H1875" s="9" t="s">
        <v>5090</v>
      </c>
      <c r="I1875" s="10">
        <v>45629</v>
      </c>
    </row>
    <row r="1876" spans="1:9" x14ac:dyDescent="0.15">
      <c r="A1876" s="9">
        <v>1875</v>
      </c>
      <c r="B1876" s="9" t="s">
        <v>9</v>
      </c>
      <c r="C1876" s="9">
        <v>1925</v>
      </c>
      <c r="D1876" s="10">
        <v>45715</v>
      </c>
      <c r="E1876" s="11" t="str">
        <f>+HYPERLINK("http://trademark.i-assist.jp/data/china/image_1925th/82329710.pdf","82329710")</f>
        <v>82329710</v>
      </c>
      <c r="F1876" s="9" t="s">
        <v>5091</v>
      </c>
      <c r="G1876" s="9" t="s">
        <v>5092</v>
      </c>
      <c r="H1876" s="9" t="s">
        <v>5093</v>
      </c>
      <c r="I1876" s="10">
        <v>45629</v>
      </c>
    </row>
    <row r="1877" spans="1:9" x14ac:dyDescent="0.15">
      <c r="A1877" s="9">
        <v>1876</v>
      </c>
      <c r="B1877" s="9" t="s">
        <v>9</v>
      </c>
      <c r="C1877" s="9">
        <v>1925</v>
      </c>
      <c r="D1877" s="10">
        <v>45715</v>
      </c>
      <c r="E1877" s="11" t="str">
        <f>+HYPERLINK("http://trademark.i-assist.jp/data/china/image_1925th/82329841.pdf","82329841")</f>
        <v>82329841</v>
      </c>
      <c r="F1877" s="9" t="s">
        <v>5094</v>
      </c>
      <c r="G1877" s="13" t="s">
        <v>5095</v>
      </c>
      <c r="H1877" s="9" t="s">
        <v>5096</v>
      </c>
      <c r="I1877" s="10">
        <v>45629</v>
      </c>
    </row>
    <row r="1878" spans="1:9" x14ac:dyDescent="0.15">
      <c r="A1878" s="9">
        <v>1877</v>
      </c>
      <c r="B1878" s="9" t="s">
        <v>9</v>
      </c>
      <c r="C1878" s="9">
        <v>1925</v>
      </c>
      <c r="D1878" s="10">
        <v>45715</v>
      </c>
      <c r="E1878" s="11" t="str">
        <f>+HYPERLINK("http://trademark.i-assist.jp/data/china/image_1925th/82330334.pdf","82330334")</f>
        <v>82330334</v>
      </c>
      <c r="F1878" s="12" t="s">
        <v>5097</v>
      </c>
      <c r="G1878" s="9" t="s">
        <v>3167</v>
      </c>
      <c r="H1878" s="9" t="s">
        <v>5098</v>
      </c>
      <c r="I1878" s="10">
        <v>45629</v>
      </c>
    </row>
    <row r="1879" spans="1:9" x14ac:dyDescent="0.15">
      <c r="A1879" s="9">
        <v>1878</v>
      </c>
      <c r="B1879" s="9" t="s">
        <v>9</v>
      </c>
      <c r="C1879" s="9">
        <v>1925</v>
      </c>
      <c r="D1879" s="10">
        <v>45715</v>
      </c>
      <c r="E1879" s="11" t="str">
        <f>+HYPERLINK("http://trademark.i-assist.jp/data/china/image_1925th/82331266.pdf","82331266")</f>
        <v>82331266</v>
      </c>
      <c r="F1879" s="12" t="s">
        <v>57</v>
      </c>
      <c r="G1879" s="9" t="s">
        <v>5099</v>
      </c>
      <c r="H1879" s="12" t="s">
        <v>5100</v>
      </c>
      <c r="I1879" s="10">
        <v>45629</v>
      </c>
    </row>
    <row r="1880" spans="1:9" x14ac:dyDescent="0.15">
      <c r="A1880" s="9">
        <v>1879</v>
      </c>
      <c r="B1880" s="9" t="s">
        <v>9</v>
      </c>
      <c r="C1880" s="9">
        <v>1925</v>
      </c>
      <c r="D1880" s="10">
        <v>45715</v>
      </c>
      <c r="E1880" s="11" t="str">
        <f>+HYPERLINK("http://trademark.i-assist.jp/data/china/image_1925th/82331277.pdf","82331277")</f>
        <v>82331277</v>
      </c>
      <c r="F1880" s="9" t="s">
        <v>5101</v>
      </c>
      <c r="G1880" s="9" t="s">
        <v>4810</v>
      </c>
      <c r="H1880" s="9" t="s">
        <v>5102</v>
      </c>
      <c r="I1880" s="10">
        <v>45629</v>
      </c>
    </row>
    <row r="1881" spans="1:9" x14ac:dyDescent="0.15">
      <c r="A1881" s="9">
        <v>1880</v>
      </c>
      <c r="B1881" s="9" t="s">
        <v>9</v>
      </c>
      <c r="C1881" s="9">
        <v>1925</v>
      </c>
      <c r="D1881" s="10">
        <v>45715</v>
      </c>
      <c r="E1881" s="11" t="str">
        <f>+HYPERLINK("http://trademark.i-assist.jp/data/china/image_1925th/82332000.pdf","82332000")</f>
        <v>82332000</v>
      </c>
      <c r="F1881" s="9" t="s">
        <v>5103</v>
      </c>
      <c r="G1881" s="9" t="s">
        <v>5104</v>
      </c>
      <c r="H1881" s="9" t="s">
        <v>5105</v>
      </c>
      <c r="I1881" s="10">
        <v>45629</v>
      </c>
    </row>
    <row r="1882" spans="1:9" x14ac:dyDescent="0.15">
      <c r="A1882" s="9">
        <v>1881</v>
      </c>
      <c r="B1882" s="9" t="s">
        <v>9</v>
      </c>
      <c r="C1882" s="9">
        <v>1925</v>
      </c>
      <c r="D1882" s="10">
        <v>45715</v>
      </c>
      <c r="E1882" s="11" t="str">
        <f>+HYPERLINK("http://trademark.i-assist.jp/data/china/image_1925th/82332466.pdf","82332466")</f>
        <v>82332466</v>
      </c>
      <c r="F1882" s="9" t="s">
        <v>5106</v>
      </c>
      <c r="G1882" s="9" t="s">
        <v>287</v>
      </c>
      <c r="H1882" s="9" t="s">
        <v>5107</v>
      </c>
      <c r="I1882" s="10">
        <v>45629</v>
      </c>
    </row>
    <row r="1883" spans="1:9" x14ac:dyDescent="0.15">
      <c r="A1883" s="9">
        <v>1882</v>
      </c>
      <c r="B1883" s="9" t="s">
        <v>9</v>
      </c>
      <c r="C1883" s="9">
        <v>1925</v>
      </c>
      <c r="D1883" s="10">
        <v>45715</v>
      </c>
      <c r="E1883" s="11" t="str">
        <f>+HYPERLINK("http://trademark.i-assist.jp/data/china/image_1925th/82332806.pdf","82332806")</f>
        <v>82332806</v>
      </c>
      <c r="F1883" s="9" t="s">
        <v>5108</v>
      </c>
      <c r="G1883" s="9" t="s">
        <v>5089</v>
      </c>
      <c r="H1883" s="9" t="s">
        <v>5109</v>
      </c>
      <c r="I1883" s="10">
        <v>45629</v>
      </c>
    </row>
    <row r="1884" spans="1:9" x14ac:dyDescent="0.15">
      <c r="A1884" s="9">
        <v>1883</v>
      </c>
      <c r="B1884" s="9" t="s">
        <v>9</v>
      </c>
      <c r="C1884" s="9">
        <v>1925</v>
      </c>
      <c r="D1884" s="10">
        <v>45715</v>
      </c>
      <c r="E1884" s="11" t="str">
        <f>+HYPERLINK("http://trademark.i-assist.jp/data/china/image_1925th/82332891.pdf","82332891")</f>
        <v>82332891</v>
      </c>
      <c r="F1884" s="9" t="s">
        <v>5110</v>
      </c>
      <c r="G1884" s="12" t="s">
        <v>5111</v>
      </c>
      <c r="H1884" s="9" t="s">
        <v>5112</v>
      </c>
      <c r="I1884" s="10">
        <v>45629</v>
      </c>
    </row>
    <row r="1885" spans="1:9" x14ac:dyDescent="0.15">
      <c r="A1885" s="9">
        <v>1884</v>
      </c>
      <c r="B1885" s="9" t="s">
        <v>9</v>
      </c>
      <c r="C1885" s="9">
        <v>1925</v>
      </c>
      <c r="D1885" s="10">
        <v>45715</v>
      </c>
      <c r="E1885" s="11" t="str">
        <f>+HYPERLINK("http://trademark.i-assist.jp/data/china/image_1925th/82333089.pdf","82333089")</f>
        <v>82333089</v>
      </c>
      <c r="F1885" s="9" t="s">
        <v>5113</v>
      </c>
      <c r="G1885" s="9" t="s">
        <v>5114</v>
      </c>
      <c r="H1885" s="9" t="s">
        <v>5115</v>
      </c>
      <c r="I1885" s="10">
        <v>45629</v>
      </c>
    </row>
    <row r="1886" spans="1:9" x14ac:dyDescent="0.15">
      <c r="A1886" s="9">
        <v>1885</v>
      </c>
      <c r="B1886" s="9" t="s">
        <v>9</v>
      </c>
      <c r="C1886" s="9">
        <v>1925</v>
      </c>
      <c r="D1886" s="10">
        <v>45715</v>
      </c>
      <c r="E1886" s="11" t="str">
        <f>+HYPERLINK("http://trademark.i-assist.jp/data/china/image_1925th/82333150.pdf","82333150")</f>
        <v>82333150</v>
      </c>
      <c r="F1886" s="9" t="s">
        <v>5116</v>
      </c>
      <c r="G1886" s="9" t="s">
        <v>5117</v>
      </c>
      <c r="H1886" s="9" t="s">
        <v>5118</v>
      </c>
      <c r="I1886" s="10">
        <v>45629</v>
      </c>
    </row>
    <row r="1887" spans="1:9" x14ac:dyDescent="0.15">
      <c r="A1887" s="9">
        <v>1886</v>
      </c>
      <c r="B1887" s="9" t="s">
        <v>9</v>
      </c>
      <c r="C1887" s="9">
        <v>1925</v>
      </c>
      <c r="D1887" s="10">
        <v>45715</v>
      </c>
      <c r="E1887" s="11" t="str">
        <f>+HYPERLINK("http://trademark.i-assist.jp/data/china/image_1925th/82333409.pdf","82333409")</f>
        <v>82333409</v>
      </c>
      <c r="F1887" s="9" t="s">
        <v>5119</v>
      </c>
      <c r="G1887" s="9" t="s">
        <v>5120</v>
      </c>
      <c r="H1887" s="9" t="s">
        <v>5121</v>
      </c>
      <c r="I1887" s="10">
        <v>45629</v>
      </c>
    </row>
    <row r="1888" spans="1:9" x14ac:dyDescent="0.15">
      <c r="A1888" s="9">
        <v>1887</v>
      </c>
      <c r="B1888" s="9" t="s">
        <v>9</v>
      </c>
      <c r="C1888" s="9">
        <v>1925</v>
      </c>
      <c r="D1888" s="10">
        <v>45715</v>
      </c>
      <c r="E1888" s="11" t="str">
        <f>+HYPERLINK("http://trademark.i-assist.jp/data/china/image_1925th/82333751.pdf","82333751")</f>
        <v>82333751</v>
      </c>
      <c r="F1888" s="9" t="s">
        <v>5122</v>
      </c>
      <c r="G1888" s="9" t="s">
        <v>5123</v>
      </c>
      <c r="H1888" s="9" t="s">
        <v>5124</v>
      </c>
      <c r="I1888" s="10">
        <v>45629</v>
      </c>
    </row>
    <row r="1889" spans="1:9" x14ac:dyDescent="0.15">
      <c r="A1889" s="9">
        <v>1888</v>
      </c>
      <c r="B1889" s="9" t="s">
        <v>9</v>
      </c>
      <c r="C1889" s="9">
        <v>1925</v>
      </c>
      <c r="D1889" s="10">
        <v>45715</v>
      </c>
      <c r="E1889" s="11" t="str">
        <f>+HYPERLINK("http://trademark.i-assist.jp/data/china/image_1925th/82333755.pdf","82333755")</f>
        <v>82333755</v>
      </c>
      <c r="F1889" s="12" t="s">
        <v>57</v>
      </c>
      <c r="G1889" s="9" t="s">
        <v>5125</v>
      </c>
      <c r="H1889" s="9" t="s">
        <v>5126</v>
      </c>
      <c r="I1889" s="10">
        <v>45629</v>
      </c>
    </row>
    <row r="1890" spans="1:9" x14ac:dyDescent="0.15">
      <c r="A1890" s="9">
        <v>1889</v>
      </c>
      <c r="B1890" s="9" t="s">
        <v>9</v>
      </c>
      <c r="C1890" s="9">
        <v>1925</v>
      </c>
      <c r="D1890" s="10">
        <v>45715</v>
      </c>
      <c r="E1890" s="11" t="str">
        <f>+HYPERLINK("http://trademark.i-assist.jp/data/china/image_1925th/82334167.pdf","82334167")</f>
        <v>82334167</v>
      </c>
      <c r="F1890" s="12" t="s">
        <v>5127</v>
      </c>
      <c r="G1890" s="9" t="s">
        <v>4801</v>
      </c>
      <c r="H1890" s="9" t="s">
        <v>5128</v>
      </c>
      <c r="I1890" s="10">
        <v>45629</v>
      </c>
    </row>
    <row r="1891" spans="1:9" x14ac:dyDescent="0.15">
      <c r="A1891" s="9">
        <v>1890</v>
      </c>
      <c r="B1891" s="9" t="s">
        <v>9</v>
      </c>
      <c r="C1891" s="9">
        <v>1925</v>
      </c>
      <c r="D1891" s="10">
        <v>45715</v>
      </c>
      <c r="E1891" s="11" t="str">
        <f>+HYPERLINK("http://trademark.i-assist.jp/data/china/image_1925th/82334591.pdf","82334591")</f>
        <v>82334591</v>
      </c>
      <c r="F1891" s="9" t="s">
        <v>5129</v>
      </c>
      <c r="G1891" s="12" t="s">
        <v>5130</v>
      </c>
      <c r="H1891" s="9" t="s">
        <v>5131</v>
      </c>
      <c r="I1891" s="10">
        <v>45629</v>
      </c>
    </row>
    <row r="1892" spans="1:9" x14ac:dyDescent="0.15">
      <c r="A1892" s="9">
        <v>1891</v>
      </c>
      <c r="B1892" s="9" t="s">
        <v>9</v>
      </c>
      <c r="C1892" s="9">
        <v>1925</v>
      </c>
      <c r="D1892" s="10">
        <v>45715</v>
      </c>
      <c r="E1892" s="11" t="str">
        <f>+HYPERLINK("http://trademark.i-assist.jp/data/china/image_1925th/82334761.pdf","82334761")</f>
        <v>82334761</v>
      </c>
      <c r="F1892" s="9" t="s">
        <v>5132</v>
      </c>
      <c r="G1892" s="9" t="s">
        <v>4804</v>
      </c>
      <c r="H1892" s="9" t="s">
        <v>5133</v>
      </c>
      <c r="I1892" s="10">
        <v>45629</v>
      </c>
    </row>
    <row r="1893" spans="1:9" x14ac:dyDescent="0.15">
      <c r="A1893" s="9">
        <v>1892</v>
      </c>
      <c r="B1893" s="9" t="s">
        <v>9</v>
      </c>
      <c r="C1893" s="9">
        <v>1925</v>
      </c>
      <c r="D1893" s="10">
        <v>45715</v>
      </c>
      <c r="E1893" s="11" t="str">
        <f>+HYPERLINK("http://trademark.i-assist.jp/data/china/image_1925th/82334816.pdf","82334816")</f>
        <v>82334816</v>
      </c>
      <c r="F1893" s="9" t="s">
        <v>5134</v>
      </c>
      <c r="G1893" s="9" t="s">
        <v>5135</v>
      </c>
      <c r="H1893" s="9" t="s">
        <v>5136</v>
      </c>
      <c r="I1893" s="10">
        <v>45629</v>
      </c>
    </row>
    <row r="1894" spans="1:9" x14ac:dyDescent="0.15">
      <c r="A1894" s="9">
        <v>1893</v>
      </c>
      <c r="B1894" s="9" t="s">
        <v>9</v>
      </c>
      <c r="C1894" s="9">
        <v>1925</v>
      </c>
      <c r="D1894" s="10">
        <v>45715</v>
      </c>
      <c r="E1894" s="11" t="str">
        <f>+HYPERLINK("http://trademark.i-assist.jp/data/china/image_1925th/82335087.pdf","82335087")</f>
        <v>82335087</v>
      </c>
      <c r="F1894" s="9" t="s">
        <v>5137</v>
      </c>
      <c r="G1894" s="9" t="s">
        <v>4801</v>
      </c>
      <c r="H1894" s="9" t="s">
        <v>5138</v>
      </c>
      <c r="I1894" s="10">
        <v>45629</v>
      </c>
    </row>
    <row r="1895" spans="1:9" x14ac:dyDescent="0.15">
      <c r="A1895" s="9">
        <v>1894</v>
      </c>
      <c r="B1895" s="9" t="s">
        <v>9</v>
      </c>
      <c r="C1895" s="9">
        <v>1925</v>
      </c>
      <c r="D1895" s="10">
        <v>45715</v>
      </c>
      <c r="E1895" s="11" t="str">
        <f>+HYPERLINK("http://trademark.i-assist.jp/data/china/image_1925th/82335116.pdf","82335116")</f>
        <v>82335116</v>
      </c>
      <c r="F1895" s="9" t="s">
        <v>5139</v>
      </c>
      <c r="G1895" s="9" t="s">
        <v>4801</v>
      </c>
      <c r="H1895" s="9" t="s">
        <v>5140</v>
      </c>
      <c r="I1895" s="10">
        <v>45629</v>
      </c>
    </row>
    <row r="1896" spans="1:9" x14ac:dyDescent="0.15">
      <c r="A1896" s="9">
        <v>1895</v>
      </c>
      <c r="B1896" s="9" t="s">
        <v>9</v>
      </c>
      <c r="C1896" s="9">
        <v>1925</v>
      </c>
      <c r="D1896" s="10">
        <v>45715</v>
      </c>
      <c r="E1896" s="11" t="str">
        <f>+HYPERLINK("http://trademark.i-assist.jp/data/china/image_1925th/82335278.pdf","82335278")</f>
        <v>82335278</v>
      </c>
      <c r="F1896" s="9" t="s">
        <v>5141</v>
      </c>
      <c r="G1896" s="12" t="s">
        <v>5142</v>
      </c>
      <c r="H1896" s="12" t="s">
        <v>5143</v>
      </c>
      <c r="I1896" s="10">
        <v>45629</v>
      </c>
    </row>
    <row r="1897" spans="1:9" x14ac:dyDescent="0.15">
      <c r="A1897" s="9">
        <v>1896</v>
      </c>
      <c r="B1897" s="9" t="s">
        <v>9</v>
      </c>
      <c r="C1897" s="9">
        <v>1925</v>
      </c>
      <c r="D1897" s="10">
        <v>45715</v>
      </c>
      <c r="E1897" s="11" t="str">
        <f>+HYPERLINK("http://trademark.i-assist.jp/data/china/image_1925th/82335531.pdf","82335531")</f>
        <v>82335531</v>
      </c>
      <c r="F1897" s="12" t="s">
        <v>5144</v>
      </c>
      <c r="G1897" s="9" t="s">
        <v>5145</v>
      </c>
      <c r="H1897" s="9" t="s">
        <v>5146</v>
      </c>
      <c r="I1897" s="10">
        <v>45629</v>
      </c>
    </row>
    <row r="1898" spans="1:9" x14ac:dyDescent="0.15">
      <c r="A1898" s="9">
        <v>1897</v>
      </c>
      <c r="B1898" s="9" t="s">
        <v>9</v>
      </c>
      <c r="C1898" s="9">
        <v>1925</v>
      </c>
      <c r="D1898" s="10">
        <v>45715</v>
      </c>
      <c r="E1898" s="11" t="str">
        <f>+HYPERLINK("http://trademark.i-assist.jp/data/china/image_1925th/82335770.pdf","82335770")</f>
        <v>82335770</v>
      </c>
      <c r="F1898" s="12" t="s">
        <v>5147</v>
      </c>
      <c r="G1898" s="12" t="s">
        <v>5148</v>
      </c>
      <c r="H1898" s="9" t="s">
        <v>5149</v>
      </c>
      <c r="I1898" s="10">
        <v>45629</v>
      </c>
    </row>
    <row r="1899" spans="1:9" x14ac:dyDescent="0.15">
      <c r="A1899" s="9">
        <v>1898</v>
      </c>
      <c r="B1899" s="9" t="s">
        <v>9</v>
      </c>
      <c r="C1899" s="9">
        <v>1925</v>
      </c>
      <c r="D1899" s="10">
        <v>45715</v>
      </c>
      <c r="E1899" s="11" t="str">
        <f>+HYPERLINK("http://trademark.i-assist.jp/data/china/image_1925th/82335776.pdf","82335776")</f>
        <v>82335776</v>
      </c>
      <c r="F1899" s="9" t="s">
        <v>5150</v>
      </c>
      <c r="G1899" s="9" t="s">
        <v>5120</v>
      </c>
      <c r="H1899" s="9" t="s">
        <v>5151</v>
      </c>
      <c r="I1899" s="10">
        <v>45629</v>
      </c>
    </row>
    <row r="1900" spans="1:9" x14ac:dyDescent="0.15">
      <c r="A1900" s="9">
        <v>1899</v>
      </c>
      <c r="B1900" s="9" t="s">
        <v>9</v>
      </c>
      <c r="C1900" s="9">
        <v>1925</v>
      </c>
      <c r="D1900" s="10">
        <v>45715</v>
      </c>
      <c r="E1900" s="11" t="str">
        <f>+HYPERLINK("http://trademark.i-assist.jp/data/china/image_1925th/82335851.pdf","82335851")</f>
        <v>82335851</v>
      </c>
      <c r="F1900" s="12" t="s">
        <v>5152</v>
      </c>
      <c r="G1900" s="9" t="s">
        <v>5153</v>
      </c>
      <c r="H1900" s="9" t="s">
        <v>5154</v>
      </c>
      <c r="I1900" s="10">
        <v>45629</v>
      </c>
    </row>
    <row r="1901" spans="1:9" x14ac:dyDescent="0.15">
      <c r="A1901" s="9">
        <v>1900</v>
      </c>
      <c r="B1901" s="9" t="s">
        <v>9</v>
      </c>
      <c r="C1901" s="9">
        <v>1925</v>
      </c>
      <c r="D1901" s="10">
        <v>45715</v>
      </c>
      <c r="E1901" s="11" t="str">
        <f>+HYPERLINK("http://trademark.i-assist.jp/data/china/image_1925th/82335903.pdf","82335903")</f>
        <v>82335903</v>
      </c>
      <c r="F1901" s="9" t="s">
        <v>5155</v>
      </c>
      <c r="G1901" s="9" t="s">
        <v>5156</v>
      </c>
      <c r="H1901" s="9" t="s">
        <v>5157</v>
      </c>
      <c r="I1901" s="10">
        <v>45629</v>
      </c>
    </row>
    <row r="1902" spans="1:9" x14ac:dyDescent="0.15">
      <c r="A1902" s="9">
        <v>1901</v>
      </c>
      <c r="B1902" s="9" t="s">
        <v>9</v>
      </c>
      <c r="C1902" s="9">
        <v>1925</v>
      </c>
      <c r="D1902" s="10">
        <v>45715</v>
      </c>
      <c r="E1902" s="11" t="str">
        <f>+HYPERLINK("http://trademark.i-assist.jp/data/china/image_1925th/82336089.pdf","82336089")</f>
        <v>82336089</v>
      </c>
      <c r="F1902" s="12" t="s">
        <v>57</v>
      </c>
      <c r="G1902" s="9" t="s">
        <v>5158</v>
      </c>
      <c r="H1902" s="9" t="s">
        <v>5159</v>
      </c>
      <c r="I1902" s="10">
        <v>45629</v>
      </c>
    </row>
    <row r="1903" spans="1:9" x14ac:dyDescent="0.15">
      <c r="A1903" s="9">
        <v>1902</v>
      </c>
      <c r="B1903" s="9" t="s">
        <v>9</v>
      </c>
      <c r="C1903" s="9">
        <v>1925</v>
      </c>
      <c r="D1903" s="10">
        <v>45715</v>
      </c>
      <c r="E1903" s="11" t="str">
        <f>+HYPERLINK("http://trademark.i-assist.jp/data/china/image_1925th/82336158.pdf","82336158")</f>
        <v>82336158</v>
      </c>
      <c r="F1903" s="9" t="s">
        <v>5160</v>
      </c>
      <c r="G1903" s="9" t="s">
        <v>5161</v>
      </c>
      <c r="H1903" s="9" t="s">
        <v>5162</v>
      </c>
      <c r="I1903" s="10">
        <v>45629</v>
      </c>
    </row>
    <row r="1904" spans="1:9" x14ac:dyDescent="0.15">
      <c r="A1904" s="9">
        <v>1903</v>
      </c>
      <c r="B1904" s="9" t="s">
        <v>9</v>
      </c>
      <c r="C1904" s="9">
        <v>1925</v>
      </c>
      <c r="D1904" s="10">
        <v>45715</v>
      </c>
      <c r="E1904" s="11" t="str">
        <f>+HYPERLINK("http://trademark.i-assist.jp/data/china/image_1925th/82336207.pdf","82336207")</f>
        <v>82336207</v>
      </c>
      <c r="F1904" s="9" t="s">
        <v>5163</v>
      </c>
      <c r="G1904" s="9" t="s">
        <v>4810</v>
      </c>
      <c r="H1904" s="9" t="s">
        <v>5164</v>
      </c>
      <c r="I1904" s="10">
        <v>45629</v>
      </c>
    </row>
    <row r="1905" spans="1:9" x14ac:dyDescent="0.15">
      <c r="A1905" s="9">
        <v>1904</v>
      </c>
      <c r="B1905" s="9" t="s">
        <v>9</v>
      </c>
      <c r="C1905" s="9">
        <v>1925</v>
      </c>
      <c r="D1905" s="10">
        <v>45715</v>
      </c>
      <c r="E1905" s="11" t="str">
        <f>+HYPERLINK("http://trademark.i-assist.jp/data/china/image_1925th/82336244.pdf","82336244")</f>
        <v>82336244</v>
      </c>
      <c r="F1905" s="12" t="s">
        <v>5165</v>
      </c>
      <c r="G1905" s="9" t="s">
        <v>5166</v>
      </c>
      <c r="H1905" s="9" t="s">
        <v>5167</v>
      </c>
      <c r="I1905" s="10">
        <v>45629</v>
      </c>
    </row>
    <row r="1906" spans="1:9" x14ac:dyDescent="0.15">
      <c r="A1906" s="9">
        <v>1905</v>
      </c>
      <c r="B1906" s="9" t="s">
        <v>9</v>
      </c>
      <c r="C1906" s="9">
        <v>1925</v>
      </c>
      <c r="D1906" s="10">
        <v>45715</v>
      </c>
      <c r="E1906" s="11" t="str">
        <f>+HYPERLINK("http://trademark.i-assist.jp/data/china/image_1925th/82336289.pdf","82336289")</f>
        <v>82336289</v>
      </c>
      <c r="F1906" s="9" t="s">
        <v>5168</v>
      </c>
      <c r="G1906" s="9" t="s">
        <v>5169</v>
      </c>
      <c r="H1906" s="9" t="s">
        <v>5170</v>
      </c>
      <c r="I1906" s="10">
        <v>45629</v>
      </c>
    </row>
    <row r="1907" spans="1:9" x14ac:dyDescent="0.15">
      <c r="A1907" s="9">
        <v>1906</v>
      </c>
      <c r="B1907" s="9" t="s">
        <v>9</v>
      </c>
      <c r="C1907" s="9">
        <v>1925</v>
      </c>
      <c r="D1907" s="10">
        <v>45715</v>
      </c>
      <c r="E1907" s="11" t="str">
        <f>+HYPERLINK("http://trademark.i-assist.jp/data/china/image_1925th/82336492.pdf","82336492")</f>
        <v>82336492</v>
      </c>
      <c r="F1907" s="9" t="s">
        <v>5171</v>
      </c>
      <c r="G1907" s="12" t="s">
        <v>5172</v>
      </c>
      <c r="H1907" s="9" t="s">
        <v>5173</v>
      </c>
      <c r="I1907" s="10">
        <v>45629</v>
      </c>
    </row>
    <row r="1908" spans="1:9" x14ac:dyDescent="0.15">
      <c r="A1908" s="9">
        <v>1907</v>
      </c>
      <c r="B1908" s="9" t="s">
        <v>9</v>
      </c>
      <c r="C1908" s="9">
        <v>1925</v>
      </c>
      <c r="D1908" s="10">
        <v>45715</v>
      </c>
      <c r="E1908" s="11" t="str">
        <f>+HYPERLINK("http://trademark.i-assist.jp/data/china/image_1925th/82336631.pdf","82336631")</f>
        <v>82336631</v>
      </c>
      <c r="F1908" s="9" t="s">
        <v>5174</v>
      </c>
      <c r="G1908" s="12" t="s">
        <v>4130</v>
      </c>
      <c r="H1908" s="9" t="s">
        <v>5175</v>
      </c>
      <c r="I1908" s="10">
        <v>45629</v>
      </c>
    </row>
    <row r="1909" spans="1:9" x14ac:dyDescent="0.15">
      <c r="A1909" s="9">
        <v>1908</v>
      </c>
      <c r="B1909" s="9" t="s">
        <v>9</v>
      </c>
      <c r="C1909" s="9">
        <v>1925</v>
      </c>
      <c r="D1909" s="10">
        <v>45715</v>
      </c>
      <c r="E1909" s="11" t="str">
        <f>+HYPERLINK("http://trademark.i-assist.jp/data/china/image_1925th/82336768.pdf","82336768")</f>
        <v>82336768</v>
      </c>
      <c r="F1909" s="9" t="s">
        <v>5176</v>
      </c>
      <c r="G1909" s="12" t="s">
        <v>2560</v>
      </c>
      <c r="H1909" s="12" t="s">
        <v>5177</v>
      </c>
      <c r="I1909" s="10">
        <v>45629</v>
      </c>
    </row>
    <row r="1910" spans="1:9" x14ac:dyDescent="0.15">
      <c r="A1910" s="9">
        <v>1909</v>
      </c>
      <c r="B1910" s="9" t="s">
        <v>9</v>
      </c>
      <c r="C1910" s="9">
        <v>1925</v>
      </c>
      <c r="D1910" s="10">
        <v>45715</v>
      </c>
      <c r="E1910" s="11" t="str">
        <f>+HYPERLINK("http://trademark.i-assist.jp/data/china/image_1925th/82336833.pdf","82336833")</f>
        <v>82336833</v>
      </c>
      <c r="F1910" s="9" t="s">
        <v>2067</v>
      </c>
      <c r="G1910" s="9" t="s">
        <v>2068</v>
      </c>
      <c r="H1910" s="9" t="s">
        <v>5178</v>
      </c>
      <c r="I1910" s="10">
        <v>45629</v>
      </c>
    </row>
    <row r="1911" spans="1:9" x14ac:dyDescent="0.15">
      <c r="A1911" s="9">
        <v>1910</v>
      </c>
      <c r="B1911" s="9" t="s">
        <v>9</v>
      </c>
      <c r="C1911" s="9">
        <v>1925</v>
      </c>
      <c r="D1911" s="10">
        <v>45715</v>
      </c>
      <c r="E1911" s="11" t="str">
        <f>+HYPERLINK("http://trademark.i-assist.jp/data/china/image_1925th/82336836.pdf","82336836")</f>
        <v>82336836</v>
      </c>
      <c r="F1911" s="9" t="s">
        <v>2067</v>
      </c>
      <c r="G1911" s="9" t="s">
        <v>2068</v>
      </c>
      <c r="H1911" s="9" t="s">
        <v>5179</v>
      </c>
      <c r="I1911" s="10">
        <v>45629</v>
      </c>
    </row>
    <row r="1912" spans="1:9" x14ac:dyDescent="0.15">
      <c r="A1912" s="9">
        <v>1911</v>
      </c>
      <c r="B1912" s="9" t="s">
        <v>9</v>
      </c>
      <c r="C1912" s="9">
        <v>1925</v>
      </c>
      <c r="D1912" s="10">
        <v>45715</v>
      </c>
      <c r="E1912" s="11" t="str">
        <f>+HYPERLINK("http://trademark.i-assist.jp/data/china/image_1925th/82336860.pdf","82336860")</f>
        <v>82336860</v>
      </c>
      <c r="F1912" s="12" t="s">
        <v>5180</v>
      </c>
      <c r="G1912" s="9" t="s">
        <v>5181</v>
      </c>
      <c r="H1912" s="9" t="s">
        <v>5182</v>
      </c>
      <c r="I1912" s="10">
        <v>45629</v>
      </c>
    </row>
    <row r="1913" spans="1:9" x14ac:dyDescent="0.15">
      <c r="A1913" s="9">
        <v>1912</v>
      </c>
      <c r="B1913" s="9" t="s">
        <v>9</v>
      </c>
      <c r="C1913" s="9">
        <v>1925</v>
      </c>
      <c r="D1913" s="10">
        <v>45715</v>
      </c>
      <c r="E1913" s="11" t="str">
        <f>+HYPERLINK("http://trademark.i-assist.jp/data/china/image_1925th/82337012.pdf","82337012")</f>
        <v>82337012</v>
      </c>
      <c r="F1913" s="12" t="s">
        <v>5183</v>
      </c>
      <c r="G1913" s="9" t="s">
        <v>5184</v>
      </c>
      <c r="H1913" s="9" t="s">
        <v>5185</v>
      </c>
      <c r="I1913" s="10">
        <v>45629</v>
      </c>
    </row>
    <row r="1914" spans="1:9" x14ac:dyDescent="0.15">
      <c r="A1914" s="9">
        <v>1913</v>
      </c>
      <c r="B1914" s="9" t="s">
        <v>9</v>
      </c>
      <c r="C1914" s="9">
        <v>1925</v>
      </c>
      <c r="D1914" s="10">
        <v>45715</v>
      </c>
      <c r="E1914" s="11" t="str">
        <f>+HYPERLINK("http://trademark.i-assist.jp/data/china/image_1925th/82337104.pdf","82337104")</f>
        <v>82337104</v>
      </c>
      <c r="F1914" s="12" t="s">
        <v>57</v>
      </c>
      <c r="G1914" s="12" t="s">
        <v>5186</v>
      </c>
      <c r="H1914" s="9" t="s">
        <v>5187</v>
      </c>
      <c r="I1914" s="10">
        <v>45629</v>
      </c>
    </row>
    <row r="1915" spans="1:9" x14ac:dyDescent="0.15">
      <c r="A1915" s="9">
        <v>1914</v>
      </c>
      <c r="B1915" s="9" t="s">
        <v>9</v>
      </c>
      <c r="C1915" s="9">
        <v>1925</v>
      </c>
      <c r="D1915" s="10">
        <v>45715</v>
      </c>
      <c r="E1915" s="11" t="str">
        <f>+HYPERLINK("http://trademark.i-assist.jp/data/china/image_1925th/82337283.pdf","82337283")</f>
        <v>82337283</v>
      </c>
      <c r="F1915" s="9" t="s">
        <v>5188</v>
      </c>
      <c r="G1915" s="9" t="s">
        <v>2862</v>
      </c>
      <c r="H1915" s="12" t="s">
        <v>5189</v>
      </c>
      <c r="I1915" s="10">
        <v>45629</v>
      </c>
    </row>
    <row r="1916" spans="1:9" x14ac:dyDescent="0.15">
      <c r="A1916" s="9">
        <v>1915</v>
      </c>
      <c r="B1916" s="9" t="s">
        <v>9</v>
      </c>
      <c r="C1916" s="9">
        <v>1925</v>
      </c>
      <c r="D1916" s="10">
        <v>45715</v>
      </c>
      <c r="E1916" s="11" t="str">
        <f>+HYPERLINK("http://trademark.i-assist.jp/data/china/image_1925th/82337342.pdf","82337342")</f>
        <v>82337342</v>
      </c>
      <c r="F1916" s="9" t="s">
        <v>5190</v>
      </c>
      <c r="G1916" s="9" t="s">
        <v>4945</v>
      </c>
      <c r="H1916" s="9" t="s">
        <v>5191</v>
      </c>
      <c r="I1916" s="10">
        <v>45629</v>
      </c>
    </row>
    <row r="1917" spans="1:9" x14ac:dyDescent="0.15">
      <c r="A1917" s="9">
        <v>1916</v>
      </c>
      <c r="B1917" s="9" t="s">
        <v>9</v>
      </c>
      <c r="C1917" s="9">
        <v>1925</v>
      </c>
      <c r="D1917" s="10">
        <v>45715</v>
      </c>
      <c r="E1917" s="11" t="str">
        <f>+HYPERLINK("http://trademark.i-assist.jp/data/china/image_1925th/82337730.pdf","82337730")</f>
        <v>82337730</v>
      </c>
      <c r="F1917" s="9" t="s">
        <v>5192</v>
      </c>
      <c r="G1917" s="9" t="s">
        <v>4831</v>
      </c>
      <c r="H1917" s="9" t="s">
        <v>5193</v>
      </c>
      <c r="I1917" s="10">
        <v>45629</v>
      </c>
    </row>
    <row r="1918" spans="1:9" x14ac:dyDescent="0.15">
      <c r="A1918" s="9">
        <v>1917</v>
      </c>
      <c r="B1918" s="9" t="s">
        <v>9</v>
      </c>
      <c r="C1918" s="9">
        <v>1925</v>
      </c>
      <c r="D1918" s="10">
        <v>45715</v>
      </c>
      <c r="E1918" s="11" t="str">
        <f>+HYPERLINK("http://trademark.i-assist.jp/data/china/image_1925th/82337737.pdf","82337737")</f>
        <v>82337737</v>
      </c>
      <c r="F1918" s="9" t="s">
        <v>5194</v>
      </c>
      <c r="G1918" s="12" t="s">
        <v>5195</v>
      </c>
      <c r="H1918" s="12" t="s">
        <v>5196</v>
      </c>
      <c r="I1918" s="10">
        <v>45629</v>
      </c>
    </row>
    <row r="1919" spans="1:9" x14ac:dyDescent="0.15">
      <c r="A1919" s="9">
        <v>1918</v>
      </c>
      <c r="B1919" s="9" t="s">
        <v>9</v>
      </c>
      <c r="C1919" s="9">
        <v>1925</v>
      </c>
      <c r="D1919" s="10">
        <v>45715</v>
      </c>
      <c r="E1919" s="11" t="str">
        <f>+HYPERLINK("http://trademark.i-assist.jp/data/china/image_1925th/82337896.pdf","82337896")</f>
        <v>82337896</v>
      </c>
      <c r="F1919" s="12" t="s">
        <v>5197</v>
      </c>
      <c r="G1919" s="9" t="s">
        <v>5198</v>
      </c>
      <c r="H1919" s="9" t="s">
        <v>5199</v>
      </c>
      <c r="I1919" s="10">
        <v>45629</v>
      </c>
    </row>
    <row r="1920" spans="1:9" x14ac:dyDescent="0.15">
      <c r="A1920" s="9">
        <v>1919</v>
      </c>
      <c r="B1920" s="9" t="s">
        <v>9</v>
      </c>
      <c r="C1920" s="9">
        <v>1925</v>
      </c>
      <c r="D1920" s="10">
        <v>45715</v>
      </c>
      <c r="E1920" s="11" t="str">
        <f>+HYPERLINK("http://trademark.i-assist.jp/data/china/image_1925th/82338197.pdf","82338197")</f>
        <v>82338197</v>
      </c>
      <c r="F1920" s="9" t="s">
        <v>5200</v>
      </c>
      <c r="G1920" s="12" t="s">
        <v>5201</v>
      </c>
      <c r="H1920" s="9" t="s">
        <v>5202</v>
      </c>
      <c r="I1920" s="10">
        <v>45630</v>
      </c>
    </row>
    <row r="1921" spans="1:9" x14ac:dyDescent="0.15">
      <c r="A1921" s="9">
        <v>1920</v>
      </c>
      <c r="B1921" s="9" t="s">
        <v>9</v>
      </c>
      <c r="C1921" s="9">
        <v>1925</v>
      </c>
      <c r="D1921" s="10">
        <v>45715</v>
      </c>
      <c r="E1921" s="11" t="str">
        <f>+HYPERLINK("http://trademark.i-assist.jp/data/china/image_1925th/82338328.pdf","82338328")</f>
        <v>82338328</v>
      </c>
      <c r="F1921" s="9" t="s">
        <v>5203</v>
      </c>
      <c r="G1921" s="12" t="s">
        <v>5204</v>
      </c>
      <c r="H1921" s="9" t="s">
        <v>5205</v>
      </c>
      <c r="I1921" s="10">
        <v>45630</v>
      </c>
    </row>
    <row r="1922" spans="1:9" x14ac:dyDescent="0.15">
      <c r="A1922" s="9">
        <v>1921</v>
      </c>
      <c r="B1922" s="9" t="s">
        <v>9</v>
      </c>
      <c r="C1922" s="9">
        <v>1925</v>
      </c>
      <c r="D1922" s="10">
        <v>45715</v>
      </c>
      <c r="E1922" s="11" t="str">
        <f>+HYPERLINK("http://trademark.i-assist.jp/data/china/image_1925th/82338503.pdf","82338503")</f>
        <v>82338503</v>
      </c>
      <c r="F1922" s="12" t="s">
        <v>5206</v>
      </c>
      <c r="G1922" s="9" t="s">
        <v>1077</v>
      </c>
      <c r="H1922" s="9" t="s">
        <v>5207</v>
      </c>
      <c r="I1922" s="10">
        <v>45630</v>
      </c>
    </row>
    <row r="1923" spans="1:9" x14ac:dyDescent="0.15">
      <c r="A1923" s="9">
        <v>1922</v>
      </c>
      <c r="B1923" s="9" t="s">
        <v>9</v>
      </c>
      <c r="C1923" s="9">
        <v>1925</v>
      </c>
      <c r="D1923" s="10">
        <v>45715</v>
      </c>
      <c r="E1923" s="11" t="str">
        <f>+HYPERLINK("http://trademark.i-assist.jp/data/china/image_1925th/82338736.pdf","82338736")</f>
        <v>82338736</v>
      </c>
      <c r="F1923" s="12" t="s">
        <v>57</v>
      </c>
      <c r="G1923" s="9" t="s">
        <v>5208</v>
      </c>
      <c r="H1923" s="9" t="s">
        <v>5209</v>
      </c>
      <c r="I1923" s="10">
        <v>45630</v>
      </c>
    </row>
    <row r="1924" spans="1:9" x14ac:dyDescent="0.15">
      <c r="A1924" s="9">
        <v>1923</v>
      </c>
      <c r="B1924" s="9" t="s">
        <v>9</v>
      </c>
      <c r="C1924" s="9">
        <v>1925</v>
      </c>
      <c r="D1924" s="10">
        <v>45715</v>
      </c>
      <c r="E1924" s="11" t="str">
        <f>+HYPERLINK("http://trademark.i-assist.jp/data/china/image_1925th/82339166.pdf","82339166")</f>
        <v>82339166</v>
      </c>
      <c r="F1924" s="12" t="s">
        <v>5210</v>
      </c>
      <c r="G1924" s="12" t="s">
        <v>5211</v>
      </c>
      <c r="H1924" s="9" t="s">
        <v>5212</v>
      </c>
      <c r="I1924" s="10">
        <v>45630</v>
      </c>
    </row>
    <row r="1925" spans="1:9" x14ac:dyDescent="0.15">
      <c r="A1925" s="9">
        <v>1924</v>
      </c>
      <c r="B1925" s="9" t="s">
        <v>9</v>
      </c>
      <c r="C1925" s="9">
        <v>1925</v>
      </c>
      <c r="D1925" s="10">
        <v>45715</v>
      </c>
      <c r="E1925" s="11" t="str">
        <f>+HYPERLINK("http://trademark.i-assist.jp/data/china/image_1925th/82339221.pdf","82339221")</f>
        <v>82339221</v>
      </c>
      <c r="F1925" s="9" t="s">
        <v>5213</v>
      </c>
      <c r="G1925" s="9" t="s">
        <v>5214</v>
      </c>
      <c r="H1925" s="9" t="s">
        <v>5215</v>
      </c>
      <c r="I1925" s="10">
        <v>45630</v>
      </c>
    </row>
    <row r="1926" spans="1:9" x14ac:dyDescent="0.15">
      <c r="A1926" s="9">
        <v>1925</v>
      </c>
      <c r="B1926" s="9" t="s">
        <v>9</v>
      </c>
      <c r="C1926" s="9">
        <v>1925</v>
      </c>
      <c r="D1926" s="10">
        <v>45715</v>
      </c>
      <c r="E1926" s="11" t="str">
        <f>+HYPERLINK("http://trademark.i-assist.jp/data/china/image_1925th/82339402.pdf","82339402")</f>
        <v>82339402</v>
      </c>
      <c r="F1926" s="12" t="s">
        <v>5216</v>
      </c>
      <c r="G1926" s="9" t="s">
        <v>5217</v>
      </c>
      <c r="H1926" s="9" t="s">
        <v>5218</v>
      </c>
      <c r="I1926" s="10">
        <v>45630</v>
      </c>
    </row>
    <row r="1927" spans="1:9" x14ac:dyDescent="0.15">
      <c r="A1927" s="9">
        <v>1926</v>
      </c>
      <c r="B1927" s="9" t="s">
        <v>9</v>
      </c>
      <c r="C1927" s="9">
        <v>1925</v>
      </c>
      <c r="D1927" s="10">
        <v>45715</v>
      </c>
      <c r="E1927" s="11" t="str">
        <f>+HYPERLINK("http://trademark.i-assist.jp/data/china/image_1925th/82339449.pdf","82339449")</f>
        <v>82339449</v>
      </c>
      <c r="F1927" s="9" t="s">
        <v>5219</v>
      </c>
      <c r="G1927" s="12" t="s">
        <v>5220</v>
      </c>
      <c r="H1927" s="9" t="s">
        <v>5221</v>
      </c>
      <c r="I1927" s="10">
        <v>45630</v>
      </c>
    </row>
    <row r="1928" spans="1:9" x14ac:dyDescent="0.15">
      <c r="A1928" s="9">
        <v>1927</v>
      </c>
      <c r="B1928" s="9" t="s">
        <v>9</v>
      </c>
      <c r="C1928" s="9">
        <v>1925</v>
      </c>
      <c r="D1928" s="10">
        <v>45715</v>
      </c>
      <c r="E1928" s="11" t="str">
        <f>+HYPERLINK("http://trademark.i-assist.jp/data/china/image_1925th/82339659.pdf","82339659")</f>
        <v>82339659</v>
      </c>
      <c r="F1928" s="12" t="s">
        <v>57</v>
      </c>
      <c r="G1928" s="9" t="s">
        <v>5222</v>
      </c>
      <c r="H1928" s="9" t="s">
        <v>5223</v>
      </c>
      <c r="I1928" s="10">
        <v>45630</v>
      </c>
    </row>
    <row r="1929" spans="1:9" x14ac:dyDescent="0.15">
      <c r="A1929" s="9">
        <v>1928</v>
      </c>
      <c r="B1929" s="9" t="s">
        <v>9</v>
      </c>
      <c r="C1929" s="9">
        <v>1925</v>
      </c>
      <c r="D1929" s="10">
        <v>45715</v>
      </c>
      <c r="E1929" s="11" t="str">
        <f>+HYPERLINK("http://trademark.i-assist.jp/data/china/image_1925th/82339820.pdf","82339820")</f>
        <v>82339820</v>
      </c>
      <c r="F1929" s="9" t="s">
        <v>5224</v>
      </c>
      <c r="G1929" s="9" t="s">
        <v>5225</v>
      </c>
      <c r="H1929" s="9" t="s">
        <v>5226</v>
      </c>
      <c r="I1929" s="10">
        <v>45630</v>
      </c>
    </row>
    <row r="1930" spans="1:9" x14ac:dyDescent="0.15">
      <c r="A1930" s="9">
        <v>1929</v>
      </c>
      <c r="B1930" s="9" t="s">
        <v>9</v>
      </c>
      <c r="C1930" s="9">
        <v>1925</v>
      </c>
      <c r="D1930" s="10">
        <v>45715</v>
      </c>
      <c r="E1930" s="11" t="str">
        <f>+HYPERLINK("http://trademark.i-assist.jp/data/china/image_1925th/82340196.pdf","82340196")</f>
        <v>82340196</v>
      </c>
      <c r="F1930" s="9" t="s">
        <v>5227</v>
      </c>
      <c r="G1930" s="9" t="s">
        <v>5228</v>
      </c>
      <c r="H1930" s="9" t="s">
        <v>10</v>
      </c>
      <c r="I1930" s="10">
        <v>45630</v>
      </c>
    </row>
    <row r="1931" spans="1:9" x14ac:dyDescent="0.15">
      <c r="A1931" s="9">
        <v>1930</v>
      </c>
      <c r="B1931" s="9" t="s">
        <v>9</v>
      </c>
      <c r="C1931" s="9">
        <v>1925</v>
      </c>
      <c r="D1931" s="10">
        <v>45715</v>
      </c>
      <c r="E1931" s="11" t="str">
        <f>+HYPERLINK("http://trademark.i-assist.jp/data/china/image_1925th/82340349.pdf","82340349")</f>
        <v>82340349</v>
      </c>
      <c r="F1931" s="9" t="s">
        <v>5229</v>
      </c>
      <c r="G1931" s="9" t="s">
        <v>5230</v>
      </c>
      <c r="H1931" s="12" t="s">
        <v>5231</v>
      </c>
      <c r="I1931" s="10">
        <v>45630</v>
      </c>
    </row>
    <row r="1932" spans="1:9" x14ac:dyDescent="0.15">
      <c r="A1932" s="9">
        <v>1931</v>
      </c>
      <c r="B1932" s="9" t="s">
        <v>9</v>
      </c>
      <c r="C1932" s="9">
        <v>1925</v>
      </c>
      <c r="D1932" s="10">
        <v>45715</v>
      </c>
      <c r="E1932" s="11" t="str">
        <f>+HYPERLINK("http://trademark.i-assist.jp/data/china/image_1925th/82340776.pdf","82340776")</f>
        <v>82340776</v>
      </c>
      <c r="F1932" s="9" t="s">
        <v>5232</v>
      </c>
      <c r="G1932" s="9" t="s">
        <v>5233</v>
      </c>
      <c r="H1932" s="12" t="s">
        <v>5234</v>
      </c>
      <c r="I1932" s="10">
        <v>45630</v>
      </c>
    </row>
    <row r="1933" spans="1:9" x14ac:dyDescent="0.15">
      <c r="A1933" s="9">
        <v>1932</v>
      </c>
      <c r="B1933" s="9" t="s">
        <v>9</v>
      </c>
      <c r="C1933" s="9">
        <v>1925</v>
      </c>
      <c r="D1933" s="10">
        <v>45715</v>
      </c>
      <c r="E1933" s="11" t="str">
        <f>+HYPERLINK("http://trademark.i-assist.jp/data/china/image_1925th/82340974.pdf","82340974")</f>
        <v>82340974</v>
      </c>
      <c r="F1933" s="9" t="s">
        <v>5235</v>
      </c>
      <c r="G1933" s="9" t="s">
        <v>4810</v>
      </c>
      <c r="H1933" s="9" t="s">
        <v>5236</v>
      </c>
      <c r="I1933" s="10">
        <v>45630</v>
      </c>
    </row>
    <row r="1934" spans="1:9" x14ac:dyDescent="0.15">
      <c r="A1934" s="9">
        <v>1933</v>
      </c>
      <c r="B1934" s="9" t="s">
        <v>9</v>
      </c>
      <c r="C1934" s="9">
        <v>1925</v>
      </c>
      <c r="D1934" s="10">
        <v>45715</v>
      </c>
      <c r="E1934" s="11" t="str">
        <f>+HYPERLINK("http://trademark.i-assist.jp/data/china/image_1925th/82340997.pdf","82340997")</f>
        <v>82340997</v>
      </c>
      <c r="F1934" s="9" t="s">
        <v>5237</v>
      </c>
      <c r="G1934" s="9" t="s">
        <v>5238</v>
      </c>
      <c r="H1934" s="9" t="s">
        <v>5239</v>
      </c>
      <c r="I1934" s="10">
        <v>45630</v>
      </c>
    </row>
    <row r="1935" spans="1:9" x14ac:dyDescent="0.15">
      <c r="A1935" s="9">
        <v>1934</v>
      </c>
      <c r="B1935" s="9" t="s">
        <v>9</v>
      </c>
      <c r="C1935" s="9">
        <v>1925</v>
      </c>
      <c r="D1935" s="10">
        <v>45715</v>
      </c>
      <c r="E1935" s="11" t="str">
        <f>+HYPERLINK("http://trademark.i-assist.jp/data/china/image_1925th/82341062.pdf","82341062")</f>
        <v>82341062</v>
      </c>
      <c r="F1935" s="9" t="s">
        <v>5240</v>
      </c>
      <c r="G1935" s="9" t="s">
        <v>5241</v>
      </c>
      <c r="H1935" s="9" t="s">
        <v>5242</v>
      </c>
      <c r="I1935" s="10">
        <v>45630</v>
      </c>
    </row>
    <row r="1936" spans="1:9" x14ac:dyDescent="0.15">
      <c r="A1936" s="9">
        <v>1935</v>
      </c>
      <c r="B1936" s="9" t="s">
        <v>9</v>
      </c>
      <c r="C1936" s="9">
        <v>1925</v>
      </c>
      <c r="D1936" s="10">
        <v>45715</v>
      </c>
      <c r="E1936" s="11" t="str">
        <f>+HYPERLINK("http://trademark.i-assist.jp/data/china/image_1925th/82341124.pdf","82341124")</f>
        <v>82341124</v>
      </c>
      <c r="F1936" s="9" t="s">
        <v>5243</v>
      </c>
      <c r="G1936" s="9" t="s">
        <v>5244</v>
      </c>
      <c r="H1936" s="9" t="s">
        <v>5245</v>
      </c>
      <c r="I1936" s="10">
        <v>45630</v>
      </c>
    </row>
    <row r="1937" spans="1:9" x14ac:dyDescent="0.15">
      <c r="A1937" s="9">
        <v>1936</v>
      </c>
      <c r="B1937" s="9" t="s">
        <v>9</v>
      </c>
      <c r="C1937" s="9">
        <v>1925</v>
      </c>
      <c r="D1937" s="10">
        <v>45715</v>
      </c>
      <c r="E1937" s="11" t="str">
        <f>+HYPERLINK("http://trademark.i-assist.jp/data/china/image_1925th/82341456.pdf","82341456")</f>
        <v>82341456</v>
      </c>
      <c r="F1937" s="9" t="s">
        <v>5246</v>
      </c>
      <c r="G1937" s="9" t="s">
        <v>5247</v>
      </c>
      <c r="H1937" s="9" t="s">
        <v>5248</v>
      </c>
      <c r="I1937" s="10">
        <v>45630</v>
      </c>
    </row>
    <row r="1938" spans="1:9" x14ac:dyDescent="0.15">
      <c r="A1938" s="9">
        <v>1937</v>
      </c>
      <c r="B1938" s="9" t="s">
        <v>9</v>
      </c>
      <c r="C1938" s="9">
        <v>1925</v>
      </c>
      <c r="D1938" s="10">
        <v>45715</v>
      </c>
      <c r="E1938" s="11" t="str">
        <f>+HYPERLINK("http://trademark.i-assist.jp/data/china/image_1925th/82341869.pdf","82341869")</f>
        <v>82341869</v>
      </c>
      <c r="F1938" s="12" t="s">
        <v>5249</v>
      </c>
      <c r="G1938" s="12" t="s">
        <v>5250</v>
      </c>
      <c r="H1938" s="9" t="s">
        <v>5251</v>
      </c>
      <c r="I1938" s="10">
        <v>45630</v>
      </c>
    </row>
    <row r="1939" spans="1:9" x14ac:dyDescent="0.15">
      <c r="A1939" s="9">
        <v>1938</v>
      </c>
      <c r="B1939" s="9" t="s">
        <v>9</v>
      </c>
      <c r="C1939" s="9">
        <v>1925</v>
      </c>
      <c r="D1939" s="10">
        <v>45715</v>
      </c>
      <c r="E1939" s="11" t="str">
        <f>+HYPERLINK("http://trademark.i-assist.jp/data/china/image_1925th/82341921.pdf","82341921")</f>
        <v>82341921</v>
      </c>
      <c r="F1939" s="9" t="s">
        <v>5252</v>
      </c>
      <c r="G1939" s="9" t="s">
        <v>5253</v>
      </c>
      <c r="H1939" s="9" t="s">
        <v>5254</v>
      </c>
      <c r="I1939" s="10">
        <v>45630</v>
      </c>
    </row>
    <row r="1940" spans="1:9" x14ac:dyDescent="0.15">
      <c r="A1940" s="9">
        <v>1939</v>
      </c>
      <c r="B1940" s="9" t="s">
        <v>9</v>
      </c>
      <c r="C1940" s="9">
        <v>1925</v>
      </c>
      <c r="D1940" s="10">
        <v>45715</v>
      </c>
      <c r="E1940" s="11" t="str">
        <f>+HYPERLINK("http://trademark.i-assist.jp/data/china/image_1925th/82341974.pdf","82341974")</f>
        <v>82341974</v>
      </c>
      <c r="F1940" s="9" t="s">
        <v>5255</v>
      </c>
      <c r="G1940" s="9" t="s">
        <v>5256</v>
      </c>
      <c r="H1940" s="9" t="s">
        <v>5257</v>
      </c>
      <c r="I1940" s="10">
        <v>45630</v>
      </c>
    </row>
    <row r="1941" spans="1:9" x14ac:dyDescent="0.15">
      <c r="A1941" s="9">
        <v>1940</v>
      </c>
      <c r="B1941" s="9" t="s">
        <v>9</v>
      </c>
      <c r="C1941" s="9">
        <v>1925</v>
      </c>
      <c r="D1941" s="10">
        <v>45715</v>
      </c>
      <c r="E1941" s="11" t="str">
        <f>+HYPERLINK("http://trademark.i-assist.jp/data/china/image_1925th/82342017.pdf","82342017")</f>
        <v>82342017</v>
      </c>
      <c r="F1941" s="9" t="s">
        <v>5258</v>
      </c>
      <c r="G1941" s="9" t="s">
        <v>5259</v>
      </c>
      <c r="H1941" s="9" t="s">
        <v>5260</v>
      </c>
      <c r="I1941" s="10">
        <v>45630</v>
      </c>
    </row>
    <row r="1942" spans="1:9" x14ac:dyDescent="0.15">
      <c r="A1942" s="9">
        <v>1941</v>
      </c>
      <c r="B1942" s="9" t="s">
        <v>9</v>
      </c>
      <c r="C1942" s="9">
        <v>1925</v>
      </c>
      <c r="D1942" s="10">
        <v>45715</v>
      </c>
      <c r="E1942" s="11" t="str">
        <f>+HYPERLINK("http://trademark.i-assist.jp/data/china/image_1925th/82342927.pdf","82342927")</f>
        <v>82342927</v>
      </c>
      <c r="F1942" s="9" t="s">
        <v>5261</v>
      </c>
      <c r="G1942" s="9" t="s">
        <v>5262</v>
      </c>
      <c r="H1942" s="9" t="s">
        <v>5263</v>
      </c>
      <c r="I1942" s="10">
        <v>45630</v>
      </c>
    </row>
    <row r="1943" spans="1:9" x14ac:dyDescent="0.15">
      <c r="A1943" s="9">
        <v>1942</v>
      </c>
      <c r="B1943" s="9" t="s">
        <v>9</v>
      </c>
      <c r="C1943" s="9">
        <v>1925</v>
      </c>
      <c r="D1943" s="10">
        <v>45715</v>
      </c>
      <c r="E1943" s="11" t="str">
        <f>+HYPERLINK("http://trademark.i-assist.jp/data/china/image_1925th/82343077.pdf","82343077")</f>
        <v>82343077</v>
      </c>
      <c r="F1943" s="12" t="s">
        <v>57</v>
      </c>
      <c r="G1943" s="9" t="s">
        <v>5264</v>
      </c>
      <c r="H1943" s="9" t="s">
        <v>5265</v>
      </c>
      <c r="I1943" s="10">
        <v>45630</v>
      </c>
    </row>
    <row r="1944" spans="1:9" x14ac:dyDescent="0.15">
      <c r="A1944" s="9">
        <v>1943</v>
      </c>
      <c r="B1944" s="9" t="s">
        <v>9</v>
      </c>
      <c r="C1944" s="9">
        <v>1925</v>
      </c>
      <c r="D1944" s="10">
        <v>45715</v>
      </c>
      <c r="E1944" s="11" t="str">
        <f>+HYPERLINK("http://trademark.i-assist.jp/data/china/image_1925th/82343246.pdf","82343246")</f>
        <v>82343246</v>
      </c>
      <c r="F1944" s="9" t="s">
        <v>5266</v>
      </c>
      <c r="G1944" s="9" t="s">
        <v>5267</v>
      </c>
      <c r="H1944" s="9" t="s">
        <v>5268</v>
      </c>
      <c r="I1944" s="10">
        <v>45630</v>
      </c>
    </row>
    <row r="1945" spans="1:9" x14ac:dyDescent="0.15">
      <c r="A1945" s="9">
        <v>1944</v>
      </c>
      <c r="B1945" s="9" t="s">
        <v>9</v>
      </c>
      <c r="C1945" s="9">
        <v>1925</v>
      </c>
      <c r="D1945" s="10">
        <v>45715</v>
      </c>
      <c r="E1945" s="11" t="str">
        <f>+HYPERLINK("http://trademark.i-assist.jp/data/china/image_1925th/82343291.pdf","82343291")</f>
        <v>82343291</v>
      </c>
      <c r="F1945" s="12" t="s">
        <v>5269</v>
      </c>
      <c r="G1945" s="12" t="s">
        <v>5270</v>
      </c>
      <c r="H1945" s="9" t="s">
        <v>5271</v>
      </c>
      <c r="I1945" s="10">
        <v>45630</v>
      </c>
    </row>
    <row r="1946" spans="1:9" x14ac:dyDescent="0.15">
      <c r="A1946" s="9">
        <v>1945</v>
      </c>
      <c r="B1946" s="9" t="s">
        <v>9</v>
      </c>
      <c r="C1946" s="9">
        <v>1925</v>
      </c>
      <c r="D1946" s="10">
        <v>45715</v>
      </c>
      <c r="E1946" s="11" t="str">
        <f>+HYPERLINK("http://trademark.i-assist.jp/data/china/image_1925th/82343499.pdf","82343499")</f>
        <v>82343499</v>
      </c>
      <c r="F1946" s="9" t="s">
        <v>5272</v>
      </c>
      <c r="G1946" s="9" t="s">
        <v>5273</v>
      </c>
      <c r="H1946" s="9" t="s">
        <v>5274</v>
      </c>
      <c r="I1946" s="10">
        <v>45630</v>
      </c>
    </row>
    <row r="1947" spans="1:9" x14ac:dyDescent="0.15">
      <c r="A1947" s="9">
        <v>1946</v>
      </c>
      <c r="B1947" s="9" t="s">
        <v>9</v>
      </c>
      <c r="C1947" s="9">
        <v>1925</v>
      </c>
      <c r="D1947" s="10">
        <v>45715</v>
      </c>
      <c r="E1947" s="11" t="str">
        <f>+HYPERLINK("http://trademark.i-assist.jp/data/china/image_1925th/82343501.pdf","82343501")</f>
        <v>82343501</v>
      </c>
      <c r="F1947" s="9" t="s">
        <v>5275</v>
      </c>
      <c r="G1947" s="9" t="s">
        <v>5276</v>
      </c>
      <c r="H1947" s="9" t="s">
        <v>5277</v>
      </c>
      <c r="I1947" s="10">
        <v>45630</v>
      </c>
    </row>
    <row r="1948" spans="1:9" x14ac:dyDescent="0.15">
      <c r="A1948" s="9">
        <v>1947</v>
      </c>
      <c r="B1948" s="9" t="s">
        <v>9</v>
      </c>
      <c r="C1948" s="9">
        <v>1925</v>
      </c>
      <c r="D1948" s="10">
        <v>45715</v>
      </c>
      <c r="E1948" s="11" t="str">
        <f>+HYPERLINK("http://trademark.i-assist.jp/data/china/image_1925th/82343636.pdf","82343636")</f>
        <v>82343636</v>
      </c>
      <c r="F1948" s="9" t="s">
        <v>5278</v>
      </c>
      <c r="G1948" s="9" t="s">
        <v>5279</v>
      </c>
      <c r="H1948" s="9" t="s">
        <v>5280</v>
      </c>
      <c r="I1948" s="10">
        <v>45630</v>
      </c>
    </row>
    <row r="1949" spans="1:9" x14ac:dyDescent="0.15">
      <c r="A1949" s="9">
        <v>1948</v>
      </c>
      <c r="B1949" s="9" t="s">
        <v>9</v>
      </c>
      <c r="C1949" s="9">
        <v>1925</v>
      </c>
      <c r="D1949" s="10">
        <v>45715</v>
      </c>
      <c r="E1949" s="11" t="str">
        <f>+HYPERLINK("http://trademark.i-assist.jp/data/china/image_1925th/82343702.pdf","82343702")</f>
        <v>82343702</v>
      </c>
      <c r="F1949" s="9" t="s">
        <v>5281</v>
      </c>
      <c r="G1949" s="9" t="s">
        <v>5282</v>
      </c>
      <c r="H1949" s="12" t="s">
        <v>5283</v>
      </c>
      <c r="I1949" s="10">
        <v>45630</v>
      </c>
    </row>
    <row r="1950" spans="1:9" x14ac:dyDescent="0.15">
      <c r="A1950" s="9">
        <v>1949</v>
      </c>
      <c r="B1950" s="9" t="s">
        <v>9</v>
      </c>
      <c r="C1950" s="9">
        <v>1925</v>
      </c>
      <c r="D1950" s="10">
        <v>45715</v>
      </c>
      <c r="E1950" s="11" t="str">
        <f>+HYPERLINK("http://trademark.i-assist.jp/data/china/image_1925th/82343719.pdf","82343719")</f>
        <v>82343719</v>
      </c>
      <c r="F1950" s="9" t="s">
        <v>5284</v>
      </c>
      <c r="G1950" s="12" t="s">
        <v>5285</v>
      </c>
      <c r="H1950" s="9" t="s">
        <v>5286</v>
      </c>
      <c r="I1950" s="10">
        <v>45630</v>
      </c>
    </row>
    <row r="1951" spans="1:9" x14ac:dyDescent="0.15">
      <c r="A1951" s="9">
        <v>1950</v>
      </c>
      <c r="B1951" s="9" t="s">
        <v>9</v>
      </c>
      <c r="C1951" s="9">
        <v>1925</v>
      </c>
      <c r="D1951" s="10">
        <v>45715</v>
      </c>
      <c r="E1951" s="11" t="str">
        <f>+HYPERLINK("http://trademark.i-assist.jp/data/china/image_1925th/82343727.pdf","82343727")</f>
        <v>82343727</v>
      </c>
      <c r="F1951" s="9" t="s">
        <v>5287</v>
      </c>
      <c r="G1951" s="9" t="s">
        <v>4810</v>
      </c>
      <c r="H1951" s="9" t="s">
        <v>5288</v>
      </c>
      <c r="I1951" s="10">
        <v>45630</v>
      </c>
    </row>
    <row r="1952" spans="1:9" x14ac:dyDescent="0.15">
      <c r="A1952" s="9">
        <v>1951</v>
      </c>
      <c r="B1952" s="9" t="s">
        <v>9</v>
      </c>
      <c r="C1952" s="9">
        <v>1925</v>
      </c>
      <c r="D1952" s="10">
        <v>45715</v>
      </c>
      <c r="E1952" s="11" t="str">
        <f>+HYPERLINK("http://trademark.i-assist.jp/data/china/image_1925th/82343984.pdf","82343984")</f>
        <v>82343984</v>
      </c>
      <c r="F1952" s="9" t="s">
        <v>5289</v>
      </c>
      <c r="G1952" s="9" t="s">
        <v>5290</v>
      </c>
      <c r="H1952" s="9" t="s">
        <v>5291</v>
      </c>
      <c r="I1952" s="10">
        <v>45630</v>
      </c>
    </row>
    <row r="1953" spans="1:9" x14ac:dyDescent="0.15">
      <c r="A1953" s="9">
        <v>1952</v>
      </c>
      <c r="B1953" s="9" t="s">
        <v>9</v>
      </c>
      <c r="C1953" s="9">
        <v>1925</v>
      </c>
      <c r="D1953" s="10">
        <v>45715</v>
      </c>
      <c r="E1953" s="11" t="str">
        <f>+HYPERLINK("http://trademark.i-assist.jp/data/china/image_1925th/82344403.pdf","82344403")</f>
        <v>82344403</v>
      </c>
      <c r="F1953" s="9" t="s">
        <v>5292</v>
      </c>
      <c r="G1953" s="9" t="s">
        <v>5293</v>
      </c>
      <c r="H1953" s="9" t="s">
        <v>5294</v>
      </c>
      <c r="I1953" s="10">
        <v>45630</v>
      </c>
    </row>
    <row r="1954" spans="1:9" x14ac:dyDescent="0.15">
      <c r="A1954" s="9">
        <v>1953</v>
      </c>
      <c r="B1954" s="9" t="s">
        <v>9</v>
      </c>
      <c r="C1954" s="9">
        <v>1925</v>
      </c>
      <c r="D1954" s="10">
        <v>45715</v>
      </c>
      <c r="E1954" s="11" t="str">
        <f>+HYPERLINK("http://trademark.i-assist.jp/data/china/image_1925th/82344702.pdf","82344702")</f>
        <v>82344702</v>
      </c>
      <c r="F1954" s="12" t="s">
        <v>5295</v>
      </c>
      <c r="G1954" s="9" t="s">
        <v>5296</v>
      </c>
      <c r="H1954" s="9" t="s">
        <v>5297</v>
      </c>
      <c r="I1954" s="10">
        <v>45630</v>
      </c>
    </row>
    <row r="1955" spans="1:9" x14ac:dyDescent="0.15">
      <c r="A1955" s="9">
        <v>1954</v>
      </c>
      <c r="B1955" s="9" t="s">
        <v>9</v>
      </c>
      <c r="C1955" s="9">
        <v>1925</v>
      </c>
      <c r="D1955" s="10">
        <v>45715</v>
      </c>
      <c r="E1955" s="11" t="str">
        <f>+HYPERLINK("http://trademark.i-assist.jp/data/china/image_1925th/82344995.pdf","82344995")</f>
        <v>82344995</v>
      </c>
      <c r="F1955" s="12" t="s">
        <v>5298</v>
      </c>
      <c r="G1955" s="12" t="s">
        <v>5299</v>
      </c>
      <c r="H1955" s="9" t="s">
        <v>5300</v>
      </c>
      <c r="I1955" s="10">
        <v>45630</v>
      </c>
    </row>
    <row r="1956" spans="1:9" x14ac:dyDescent="0.15">
      <c r="A1956" s="9">
        <v>1955</v>
      </c>
      <c r="B1956" s="9" t="s">
        <v>9</v>
      </c>
      <c r="C1956" s="9">
        <v>1925</v>
      </c>
      <c r="D1956" s="10">
        <v>45715</v>
      </c>
      <c r="E1956" s="11" t="str">
        <f>+HYPERLINK("http://trademark.i-assist.jp/data/china/image_1925th/82345386.pdf","82345386")</f>
        <v>82345386</v>
      </c>
      <c r="F1956" s="9" t="s">
        <v>5301</v>
      </c>
      <c r="G1956" s="9" t="s">
        <v>5302</v>
      </c>
      <c r="H1956" s="12" t="s">
        <v>5303</v>
      </c>
      <c r="I1956" s="10">
        <v>45630</v>
      </c>
    </row>
    <row r="1957" spans="1:9" x14ac:dyDescent="0.15">
      <c r="A1957" s="9">
        <v>1956</v>
      </c>
      <c r="B1957" s="9" t="s">
        <v>9</v>
      </c>
      <c r="C1957" s="9">
        <v>1925</v>
      </c>
      <c r="D1957" s="10">
        <v>45715</v>
      </c>
      <c r="E1957" s="11" t="str">
        <f>+HYPERLINK("http://trademark.i-assist.jp/data/china/image_1925th/82345685.pdf","82345685")</f>
        <v>82345685</v>
      </c>
      <c r="F1957" s="9" t="s">
        <v>5304</v>
      </c>
      <c r="G1957" s="9" t="s">
        <v>5305</v>
      </c>
      <c r="H1957" s="9" t="s">
        <v>5306</v>
      </c>
      <c r="I1957" s="10">
        <v>45630</v>
      </c>
    </row>
    <row r="1958" spans="1:9" x14ac:dyDescent="0.15">
      <c r="A1958" s="9">
        <v>1957</v>
      </c>
      <c r="B1958" s="9" t="s">
        <v>9</v>
      </c>
      <c r="C1958" s="9">
        <v>1925</v>
      </c>
      <c r="D1958" s="10">
        <v>45715</v>
      </c>
      <c r="E1958" s="11" t="str">
        <f>+HYPERLINK("http://trademark.i-assist.jp/data/china/image_1925th/82345779.pdf","82345779")</f>
        <v>82345779</v>
      </c>
      <c r="F1958" s="9" t="s">
        <v>5307</v>
      </c>
      <c r="G1958" s="9" t="s">
        <v>5308</v>
      </c>
      <c r="H1958" s="9" t="s">
        <v>5309</v>
      </c>
      <c r="I1958" s="10">
        <v>45630</v>
      </c>
    </row>
    <row r="1959" spans="1:9" x14ac:dyDescent="0.15">
      <c r="A1959" s="9">
        <v>1958</v>
      </c>
      <c r="B1959" s="9" t="s">
        <v>9</v>
      </c>
      <c r="C1959" s="9">
        <v>1925</v>
      </c>
      <c r="D1959" s="10">
        <v>45715</v>
      </c>
      <c r="E1959" s="11" t="str">
        <f>+HYPERLINK("http://trademark.i-assist.jp/data/china/image_1925th/82345850.pdf","82345850")</f>
        <v>82345850</v>
      </c>
      <c r="F1959" s="9" t="s">
        <v>5310</v>
      </c>
      <c r="G1959" s="9" t="s">
        <v>4810</v>
      </c>
      <c r="H1959" s="9" t="s">
        <v>5311</v>
      </c>
      <c r="I1959" s="10">
        <v>45630</v>
      </c>
    </row>
    <row r="1960" spans="1:9" x14ac:dyDescent="0.15">
      <c r="A1960" s="9">
        <v>1959</v>
      </c>
      <c r="B1960" s="9" t="s">
        <v>9</v>
      </c>
      <c r="C1960" s="9">
        <v>1925</v>
      </c>
      <c r="D1960" s="10">
        <v>45715</v>
      </c>
      <c r="E1960" s="11" t="str">
        <f>+HYPERLINK("http://trademark.i-assist.jp/data/china/image_1925th/82345892.pdf","82345892")</f>
        <v>82345892</v>
      </c>
      <c r="F1960" s="9" t="s">
        <v>5312</v>
      </c>
      <c r="G1960" s="12" t="s">
        <v>5285</v>
      </c>
      <c r="H1960" s="9" t="s">
        <v>5313</v>
      </c>
      <c r="I1960" s="10">
        <v>45630</v>
      </c>
    </row>
    <row r="1961" spans="1:9" x14ac:dyDescent="0.15">
      <c r="A1961" s="9">
        <v>1960</v>
      </c>
      <c r="B1961" s="9" t="s">
        <v>9</v>
      </c>
      <c r="C1961" s="9">
        <v>1925</v>
      </c>
      <c r="D1961" s="10">
        <v>45715</v>
      </c>
      <c r="E1961" s="11" t="str">
        <f>+HYPERLINK("http://trademark.i-assist.jp/data/china/image_1925th/82346045.pdf","82346045")</f>
        <v>82346045</v>
      </c>
      <c r="F1961" s="12" t="s">
        <v>57</v>
      </c>
      <c r="G1961" s="9" t="s">
        <v>5314</v>
      </c>
      <c r="H1961" s="12" t="s">
        <v>5315</v>
      </c>
      <c r="I1961" s="10">
        <v>45630</v>
      </c>
    </row>
    <row r="1962" spans="1:9" x14ac:dyDescent="0.15">
      <c r="A1962" s="9">
        <v>1961</v>
      </c>
      <c r="B1962" s="9" t="s">
        <v>9</v>
      </c>
      <c r="C1962" s="9">
        <v>1925</v>
      </c>
      <c r="D1962" s="10">
        <v>45715</v>
      </c>
      <c r="E1962" s="11" t="str">
        <f>+HYPERLINK("http://trademark.i-assist.jp/data/china/image_1925th/82346219.pdf","82346219")</f>
        <v>82346219</v>
      </c>
      <c r="F1962" s="9" t="s">
        <v>5316</v>
      </c>
      <c r="G1962" s="9" t="s">
        <v>5317</v>
      </c>
      <c r="H1962" s="9" t="s">
        <v>5318</v>
      </c>
      <c r="I1962" s="10">
        <v>45630</v>
      </c>
    </row>
    <row r="1963" spans="1:9" x14ac:dyDescent="0.15">
      <c r="A1963" s="9">
        <v>1962</v>
      </c>
      <c r="B1963" s="9" t="s">
        <v>9</v>
      </c>
      <c r="C1963" s="9">
        <v>1925</v>
      </c>
      <c r="D1963" s="10">
        <v>45715</v>
      </c>
      <c r="E1963" s="11" t="str">
        <f>+HYPERLINK("http://trademark.i-assist.jp/data/china/image_1925th/82346560.pdf","82346560")</f>
        <v>82346560</v>
      </c>
      <c r="F1963" s="9" t="s">
        <v>5319</v>
      </c>
      <c r="G1963" s="9" t="s">
        <v>5320</v>
      </c>
      <c r="H1963" s="9" t="s">
        <v>5321</v>
      </c>
      <c r="I1963" s="10">
        <v>45630</v>
      </c>
    </row>
    <row r="1964" spans="1:9" x14ac:dyDescent="0.15">
      <c r="A1964" s="9">
        <v>1963</v>
      </c>
      <c r="B1964" s="9" t="s">
        <v>9</v>
      </c>
      <c r="C1964" s="9">
        <v>1925</v>
      </c>
      <c r="D1964" s="10">
        <v>45715</v>
      </c>
      <c r="E1964" s="11" t="str">
        <f>+HYPERLINK("http://trademark.i-assist.jp/data/china/image_1925th/82346757.pdf","82346757")</f>
        <v>82346757</v>
      </c>
      <c r="F1964" s="9" t="s">
        <v>5322</v>
      </c>
      <c r="G1964" s="9" t="s">
        <v>5323</v>
      </c>
      <c r="H1964" s="9" t="s">
        <v>5324</v>
      </c>
      <c r="I1964" s="10">
        <v>45630</v>
      </c>
    </row>
    <row r="1965" spans="1:9" x14ac:dyDescent="0.15">
      <c r="A1965" s="9">
        <v>1964</v>
      </c>
      <c r="B1965" s="9" t="s">
        <v>9</v>
      </c>
      <c r="C1965" s="9">
        <v>1925</v>
      </c>
      <c r="D1965" s="10">
        <v>45715</v>
      </c>
      <c r="E1965" s="11" t="str">
        <f>+HYPERLINK("http://trademark.i-assist.jp/data/china/image_1925th/82346932.pdf","82346932")</f>
        <v>82346932</v>
      </c>
      <c r="F1965" s="12" t="s">
        <v>5325</v>
      </c>
      <c r="G1965" s="12" t="s">
        <v>5326</v>
      </c>
      <c r="H1965" s="9" t="s">
        <v>5327</v>
      </c>
      <c r="I1965" s="10">
        <v>45630</v>
      </c>
    </row>
    <row r="1966" spans="1:9" x14ac:dyDescent="0.15">
      <c r="A1966" s="9">
        <v>1965</v>
      </c>
      <c r="B1966" s="9" t="s">
        <v>9</v>
      </c>
      <c r="C1966" s="9">
        <v>1925</v>
      </c>
      <c r="D1966" s="10">
        <v>45715</v>
      </c>
      <c r="E1966" s="11" t="str">
        <f>+HYPERLINK("http://trademark.i-assist.jp/data/china/image_1925th/82347187.pdf","82347187")</f>
        <v>82347187</v>
      </c>
      <c r="F1966" s="9" t="s">
        <v>5328</v>
      </c>
      <c r="G1966" s="12" t="s">
        <v>5329</v>
      </c>
      <c r="H1966" s="9" t="s">
        <v>5330</v>
      </c>
      <c r="I1966" s="10">
        <v>45630</v>
      </c>
    </row>
    <row r="1967" spans="1:9" x14ac:dyDescent="0.15">
      <c r="A1967" s="9">
        <v>1966</v>
      </c>
      <c r="B1967" s="9" t="s">
        <v>9</v>
      </c>
      <c r="C1967" s="9">
        <v>1925</v>
      </c>
      <c r="D1967" s="10">
        <v>45715</v>
      </c>
      <c r="E1967" s="11" t="str">
        <f>+HYPERLINK("http://trademark.i-assist.jp/data/china/image_1925th/82347845.pdf","82347845")</f>
        <v>82347845</v>
      </c>
      <c r="F1967" s="12" t="s">
        <v>5331</v>
      </c>
      <c r="G1967" s="9" t="s">
        <v>5244</v>
      </c>
      <c r="H1967" s="9" t="s">
        <v>5332</v>
      </c>
      <c r="I1967" s="10">
        <v>45630</v>
      </c>
    </row>
    <row r="1968" spans="1:9" x14ac:dyDescent="0.15">
      <c r="A1968" s="9">
        <v>1967</v>
      </c>
      <c r="B1968" s="9" t="s">
        <v>9</v>
      </c>
      <c r="C1968" s="9">
        <v>1925</v>
      </c>
      <c r="D1968" s="10">
        <v>45715</v>
      </c>
      <c r="E1968" s="11" t="str">
        <f>+HYPERLINK("http://trademark.i-assist.jp/data/china/image_1925th/82347890.pdf","82347890")</f>
        <v>82347890</v>
      </c>
      <c r="F1968" s="12" t="s">
        <v>5333</v>
      </c>
      <c r="G1968" s="9" t="s">
        <v>5217</v>
      </c>
      <c r="H1968" s="9" t="s">
        <v>5334</v>
      </c>
      <c r="I1968" s="10">
        <v>45630</v>
      </c>
    </row>
    <row r="1969" spans="1:9" x14ac:dyDescent="0.15">
      <c r="A1969" s="9">
        <v>1968</v>
      </c>
      <c r="B1969" s="9" t="s">
        <v>9</v>
      </c>
      <c r="C1969" s="9">
        <v>1925</v>
      </c>
      <c r="D1969" s="10">
        <v>45715</v>
      </c>
      <c r="E1969" s="11" t="str">
        <f>+HYPERLINK("http://trademark.i-assist.jp/data/china/image_1925th/82348088.pdf","82348088")</f>
        <v>82348088</v>
      </c>
      <c r="F1969" s="9" t="s">
        <v>5335</v>
      </c>
      <c r="G1969" s="9" t="s">
        <v>5336</v>
      </c>
      <c r="H1969" s="9" t="s">
        <v>5337</v>
      </c>
      <c r="I1969" s="10">
        <v>45630</v>
      </c>
    </row>
    <row r="1970" spans="1:9" x14ac:dyDescent="0.15">
      <c r="A1970" s="9">
        <v>1969</v>
      </c>
      <c r="B1970" s="9" t="s">
        <v>9</v>
      </c>
      <c r="C1970" s="9">
        <v>1925</v>
      </c>
      <c r="D1970" s="10">
        <v>45715</v>
      </c>
      <c r="E1970" s="11" t="str">
        <f>+HYPERLINK("http://trademark.i-assist.jp/data/china/image_1925th/82348679.pdf","82348679")</f>
        <v>82348679</v>
      </c>
      <c r="F1970" s="9" t="s">
        <v>5338</v>
      </c>
      <c r="G1970" s="9" t="s">
        <v>5339</v>
      </c>
      <c r="H1970" s="9" t="s">
        <v>5340</v>
      </c>
      <c r="I1970" s="10">
        <v>45630</v>
      </c>
    </row>
    <row r="1971" spans="1:9" x14ac:dyDescent="0.15">
      <c r="A1971" s="9">
        <v>1970</v>
      </c>
      <c r="B1971" s="9" t="s">
        <v>9</v>
      </c>
      <c r="C1971" s="9">
        <v>1925</v>
      </c>
      <c r="D1971" s="10">
        <v>45715</v>
      </c>
      <c r="E1971" s="11" t="str">
        <f>+HYPERLINK("http://trademark.i-assist.jp/data/china/image_1925th/82349181.pdf","82349181")</f>
        <v>82349181</v>
      </c>
      <c r="F1971" s="9" t="s">
        <v>5341</v>
      </c>
      <c r="G1971" s="9" t="s">
        <v>5342</v>
      </c>
      <c r="H1971" s="9" t="s">
        <v>5343</v>
      </c>
      <c r="I1971" s="10">
        <v>45630</v>
      </c>
    </row>
    <row r="1972" spans="1:9" x14ac:dyDescent="0.15">
      <c r="A1972" s="9">
        <v>1971</v>
      </c>
      <c r="B1972" s="9" t="s">
        <v>9</v>
      </c>
      <c r="C1972" s="9">
        <v>1925</v>
      </c>
      <c r="D1972" s="10">
        <v>45715</v>
      </c>
      <c r="E1972" s="11" t="str">
        <f>+HYPERLINK("http://trademark.i-assist.jp/data/china/image_1925th/82349203.pdf","82349203")</f>
        <v>82349203</v>
      </c>
      <c r="F1972" s="9" t="s">
        <v>5344</v>
      </c>
      <c r="G1972" s="9" t="s">
        <v>5345</v>
      </c>
      <c r="H1972" s="9" t="s">
        <v>5346</v>
      </c>
      <c r="I1972" s="10">
        <v>45630</v>
      </c>
    </row>
    <row r="1973" spans="1:9" x14ac:dyDescent="0.15">
      <c r="A1973" s="9">
        <v>1972</v>
      </c>
      <c r="B1973" s="9" t="s">
        <v>9</v>
      </c>
      <c r="C1973" s="9">
        <v>1925</v>
      </c>
      <c r="D1973" s="10">
        <v>45715</v>
      </c>
      <c r="E1973" s="11" t="str">
        <f>+HYPERLINK("http://trademark.i-assist.jp/data/china/image_1925th/82349524.pdf","82349524")</f>
        <v>82349524</v>
      </c>
      <c r="F1973" s="9" t="s">
        <v>5347</v>
      </c>
      <c r="G1973" s="9" t="s">
        <v>5217</v>
      </c>
      <c r="H1973" s="9" t="s">
        <v>5348</v>
      </c>
      <c r="I1973" s="10">
        <v>45630</v>
      </c>
    </row>
    <row r="1974" spans="1:9" x14ac:dyDescent="0.15">
      <c r="A1974" s="9">
        <v>1973</v>
      </c>
      <c r="B1974" s="9" t="s">
        <v>9</v>
      </c>
      <c r="C1974" s="9">
        <v>1925</v>
      </c>
      <c r="D1974" s="10">
        <v>45715</v>
      </c>
      <c r="E1974" s="11" t="str">
        <f>+HYPERLINK("http://trademark.i-assist.jp/data/china/image_1925th/82349525.pdf","82349525")</f>
        <v>82349525</v>
      </c>
      <c r="F1974" s="9" t="s">
        <v>5349</v>
      </c>
      <c r="G1974" s="9" t="s">
        <v>5244</v>
      </c>
      <c r="H1974" s="9" t="s">
        <v>5350</v>
      </c>
      <c r="I1974" s="10">
        <v>45630</v>
      </c>
    </row>
    <row r="1975" spans="1:9" x14ac:dyDescent="0.15">
      <c r="A1975" s="9">
        <v>1974</v>
      </c>
      <c r="B1975" s="9" t="s">
        <v>9</v>
      </c>
      <c r="C1975" s="9">
        <v>1925</v>
      </c>
      <c r="D1975" s="10">
        <v>45715</v>
      </c>
      <c r="E1975" s="11" t="str">
        <f>+HYPERLINK("http://trademark.i-assist.jp/data/china/image_1925th/82349540.pdf","82349540")</f>
        <v>82349540</v>
      </c>
      <c r="F1975" s="9" t="s">
        <v>5351</v>
      </c>
      <c r="G1975" s="9" t="s">
        <v>5217</v>
      </c>
      <c r="H1975" s="9" t="s">
        <v>5352</v>
      </c>
      <c r="I1975" s="10">
        <v>45630</v>
      </c>
    </row>
    <row r="1976" spans="1:9" x14ac:dyDescent="0.15">
      <c r="A1976" s="9">
        <v>1975</v>
      </c>
      <c r="B1976" s="9" t="s">
        <v>9</v>
      </c>
      <c r="C1976" s="9">
        <v>1925</v>
      </c>
      <c r="D1976" s="10">
        <v>45715</v>
      </c>
      <c r="E1976" s="11" t="str">
        <f>+HYPERLINK("http://trademark.i-assist.jp/data/china/image_1925th/82350791.pdf","82350791")</f>
        <v>82350791</v>
      </c>
      <c r="F1976" s="9" t="s">
        <v>5353</v>
      </c>
      <c r="G1976" s="12" t="s">
        <v>5354</v>
      </c>
      <c r="H1976" s="12" t="s">
        <v>5355</v>
      </c>
      <c r="I1976" s="10">
        <v>45630</v>
      </c>
    </row>
    <row r="1977" spans="1:9" x14ac:dyDescent="0.15">
      <c r="A1977" s="9">
        <v>1976</v>
      </c>
      <c r="B1977" s="9" t="s">
        <v>9</v>
      </c>
      <c r="C1977" s="9">
        <v>1925</v>
      </c>
      <c r="D1977" s="10">
        <v>45715</v>
      </c>
      <c r="E1977" s="11" t="str">
        <f>+HYPERLINK("http://trademark.i-assist.jp/data/china/image_1925th/82350931.pdf","82350931")</f>
        <v>82350931</v>
      </c>
      <c r="F1977" s="12" t="s">
        <v>5356</v>
      </c>
      <c r="G1977" s="9" t="s">
        <v>5357</v>
      </c>
      <c r="H1977" s="9" t="s">
        <v>5358</v>
      </c>
      <c r="I1977" s="10">
        <v>45630</v>
      </c>
    </row>
    <row r="1978" spans="1:9" x14ac:dyDescent="0.15">
      <c r="A1978" s="9">
        <v>1977</v>
      </c>
      <c r="B1978" s="9" t="s">
        <v>9</v>
      </c>
      <c r="C1978" s="9">
        <v>1925</v>
      </c>
      <c r="D1978" s="10">
        <v>45715</v>
      </c>
      <c r="E1978" s="11" t="str">
        <f>+HYPERLINK("http://trademark.i-assist.jp/data/china/image_1925th/82351062.pdf","82351062")</f>
        <v>82351062</v>
      </c>
      <c r="F1978" s="9" t="s">
        <v>5359</v>
      </c>
      <c r="G1978" s="12" t="s">
        <v>5360</v>
      </c>
      <c r="H1978" s="9" t="s">
        <v>5361</v>
      </c>
      <c r="I1978" s="10">
        <v>45630</v>
      </c>
    </row>
    <row r="1979" spans="1:9" x14ac:dyDescent="0.15">
      <c r="A1979" s="9">
        <v>1978</v>
      </c>
      <c r="B1979" s="9" t="s">
        <v>9</v>
      </c>
      <c r="C1979" s="9">
        <v>1925</v>
      </c>
      <c r="D1979" s="10">
        <v>45715</v>
      </c>
      <c r="E1979" s="11" t="str">
        <f>+HYPERLINK("http://trademark.i-assist.jp/data/china/image_1925th/82351232.pdf","82351232")</f>
        <v>82351232</v>
      </c>
      <c r="F1979" s="9" t="s">
        <v>5362</v>
      </c>
      <c r="G1979" s="12" t="s">
        <v>5363</v>
      </c>
      <c r="H1979" s="9" t="s">
        <v>5364</v>
      </c>
      <c r="I1979" s="10">
        <v>45630</v>
      </c>
    </row>
    <row r="1980" spans="1:9" x14ac:dyDescent="0.15">
      <c r="A1980" s="9">
        <v>1979</v>
      </c>
      <c r="B1980" s="9" t="s">
        <v>9</v>
      </c>
      <c r="C1980" s="9">
        <v>1925</v>
      </c>
      <c r="D1980" s="10">
        <v>45715</v>
      </c>
      <c r="E1980" s="11" t="str">
        <f>+HYPERLINK("http://trademark.i-assist.jp/data/china/image_1925th/82351732.pdf","82351732")</f>
        <v>82351732</v>
      </c>
      <c r="F1980" s="9" t="s">
        <v>5365</v>
      </c>
      <c r="G1980" s="9" t="s">
        <v>5366</v>
      </c>
      <c r="H1980" s="9" t="s">
        <v>5367</v>
      </c>
      <c r="I1980" s="10">
        <v>45630</v>
      </c>
    </row>
    <row r="1981" spans="1:9" x14ac:dyDescent="0.15">
      <c r="A1981" s="9">
        <v>1980</v>
      </c>
      <c r="B1981" s="9" t="s">
        <v>9</v>
      </c>
      <c r="C1981" s="9">
        <v>1925</v>
      </c>
      <c r="D1981" s="10">
        <v>45715</v>
      </c>
      <c r="E1981" s="11" t="str">
        <f>+HYPERLINK("http://trademark.i-assist.jp/data/china/image_1925th/82351751.pdf","82351751")</f>
        <v>82351751</v>
      </c>
      <c r="F1981" s="9" t="s">
        <v>5368</v>
      </c>
      <c r="G1981" s="9" t="s">
        <v>5369</v>
      </c>
      <c r="H1981" s="9" t="s">
        <v>5370</v>
      </c>
      <c r="I1981" s="10">
        <v>45630</v>
      </c>
    </row>
    <row r="1982" spans="1:9" x14ac:dyDescent="0.15">
      <c r="A1982" s="9">
        <v>1981</v>
      </c>
      <c r="B1982" s="9" t="s">
        <v>9</v>
      </c>
      <c r="C1982" s="9">
        <v>1925</v>
      </c>
      <c r="D1982" s="10">
        <v>45715</v>
      </c>
      <c r="E1982" s="11" t="str">
        <f>+HYPERLINK("http://trademark.i-assist.jp/data/china/image_1925th/82351850.pdf","82351850")</f>
        <v>82351850</v>
      </c>
      <c r="F1982" s="9" t="s">
        <v>5371</v>
      </c>
      <c r="G1982" s="9" t="s">
        <v>5372</v>
      </c>
      <c r="H1982" s="9" t="s">
        <v>5373</v>
      </c>
      <c r="I1982" s="10">
        <v>45630</v>
      </c>
    </row>
    <row r="1983" spans="1:9" x14ac:dyDescent="0.15">
      <c r="A1983" s="9">
        <v>1982</v>
      </c>
      <c r="B1983" s="9" t="s">
        <v>9</v>
      </c>
      <c r="C1983" s="9">
        <v>1925</v>
      </c>
      <c r="D1983" s="10">
        <v>45715</v>
      </c>
      <c r="E1983" s="11" t="str">
        <f>+HYPERLINK("http://trademark.i-assist.jp/data/china/image_1925th/82352015.pdf","82352015")</f>
        <v>82352015</v>
      </c>
      <c r="F1983" s="9" t="s">
        <v>5374</v>
      </c>
      <c r="G1983" s="9" t="s">
        <v>5375</v>
      </c>
      <c r="H1983" s="9" t="s">
        <v>5376</v>
      </c>
      <c r="I1983" s="10">
        <v>45630</v>
      </c>
    </row>
    <row r="1984" spans="1:9" x14ac:dyDescent="0.15">
      <c r="A1984" s="9">
        <v>1983</v>
      </c>
      <c r="B1984" s="9" t="s">
        <v>9</v>
      </c>
      <c r="C1984" s="9">
        <v>1925</v>
      </c>
      <c r="D1984" s="10">
        <v>45715</v>
      </c>
      <c r="E1984" s="11" t="str">
        <f>+HYPERLINK("http://trademark.i-assist.jp/data/china/image_1925th/82352172.pdf","82352172")</f>
        <v>82352172</v>
      </c>
      <c r="F1984" s="12" t="s">
        <v>5377</v>
      </c>
      <c r="G1984" s="9" t="s">
        <v>5378</v>
      </c>
      <c r="H1984" s="9" t="s">
        <v>5379</v>
      </c>
      <c r="I1984" s="10">
        <v>45630</v>
      </c>
    </row>
    <row r="1985" spans="1:9" x14ac:dyDescent="0.15">
      <c r="A1985" s="9">
        <v>1984</v>
      </c>
      <c r="B1985" s="9" t="s">
        <v>9</v>
      </c>
      <c r="C1985" s="9">
        <v>1925</v>
      </c>
      <c r="D1985" s="10">
        <v>45715</v>
      </c>
      <c r="E1985" s="11" t="str">
        <f>+HYPERLINK("http://trademark.i-assist.jp/data/china/image_1925th/82352292.pdf","82352292")</f>
        <v>82352292</v>
      </c>
      <c r="F1985" s="12" t="s">
        <v>5380</v>
      </c>
      <c r="G1985" s="9" t="s">
        <v>5381</v>
      </c>
      <c r="H1985" s="9" t="s">
        <v>5382</v>
      </c>
      <c r="I1985" s="10">
        <v>45630</v>
      </c>
    </row>
    <row r="1986" spans="1:9" x14ac:dyDescent="0.15">
      <c r="A1986" s="9">
        <v>1985</v>
      </c>
      <c r="B1986" s="9" t="s">
        <v>9</v>
      </c>
      <c r="C1986" s="9">
        <v>1925</v>
      </c>
      <c r="D1986" s="10">
        <v>45715</v>
      </c>
      <c r="E1986" s="11" t="str">
        <f>+HYPERLINK("http://trademark.i-assist.jp/data/china/image_1925th/82352385.pdf","82352385")</f>
        <v>82352385</v>
      </c>
      <c r="F1986" s="9" t="s">
        <v>5383</v>
      </c>
      <c r="G1986" s="9" t="s">
        <v>5293</v>
      </c>
      <c r="H1986" s="9" t="s">
        <v>5384</v>
      </c>
      <c r="I1986" s="10">
        <v>45630</v>
      </c>
    </row>
    <row r="1987" spans="1:9" x14ac:dyDescent="0.15">
      <c r="A1987" s="9">
        <v>1986</v>
      </c>
      <c r="B1987" s="9" t="s">
        <v>9</v>
      </c>
      <c r="C1987" s="9">
        <v>1925</v>
      </c>
      <c r="D1987" s="10">
        <v>45715</v>
      </c>
      <c r="E1987" s="11" t="str">
        <f>+HYPERLINK("http://trademark.i-assist.jp/data/china/image_1925th/82353086.pdf","82353086")</f>
        <v>82353086</v>
      </c>
      <c r="F1987" s="9" t="s">
        <v>5385</v>
      </c>
      <c r="G1987" s="9" t="s">
        <v>1059</v>
      </c>
      <c r="H1987" s="9" t="s">
        <v>5386</v>
      </c>
      <c r="I1987" s="10">
        <v>45630</v>
      </c>
    </row>
    <row r="1988" spans="1:9" x14ac:dyDescent="0.15">
      <c r="A1988" s="9">
        <v>1987</v>
      </c>
      <c r="B1988" s="9" t="s">
        <v>9</v>
      </c>
      <c r="C1988" s="9">
        <v>1925</v>
      </c>
      <c r="D1988" s="10">
        <v>45715</v>
      </c>
      <c r="E1988" s="11" t="str">
        <f>+HYPERLINK("http://trademark.i-assist.jp/data/china/image_1925th/82353135.pdf","82353135")</f>
        <v>82353135</v>
      </c>
      <c r="F1988" s="12" t="s">
        <v>5387</v>
      </c>
      <c r="G1988" s="12" t="s">
        <v>5388</v>
      </c>
      <c r="H1988" s="9" t="s">
        <v>5389</v>
      </c>
      <c r="I1988" s="10">
        <v>45630</v>
      </c>
    </row>
    <row r="1989" spans="1:9" x14ac:dyDescent="0.15">
      <c r="A1989" s="9">
        <v>1988</v>
      </c>
      <c r="B1989" s="9" t="s">
        <v>9</v>
      </c>
      <c r="C1989" s="9">
        <v>1925</v>
      </c>
      <c r="D1989" s="10">
        <v>45715</v>
      </c>
      <c r="E1989" s="11" t="str">
        <f>+HYPERLINK("http://trademark.i-assist.jp/data/china/image_1925th/82353197.pdf","82353197")</f>
        <v>82353197</v>
      </c>
      <c r="F1989" s="9" t="s">
        <v>5390</v>
      </c>
      <c r="G1989" s="9" t="s">
        <v>5391</v>
      </c>
      <c r="H1989" s="9" t="s">
        <v>5392</v>
      </c>
      <c r="I1989" s="10">
        <v>45630</v>
      </c>
    </row>
    <row r="1990" spans="1:9" x14ac:dyDescent="0.15">
      <c r="A1990" s="9">
        <v>1989</v>
      </c>
      <c r="B1990" s="9" t="s">
        <v>9</v>
      </c>
      <c r="C1990" s="9">
        <v>1925</v>
      </c>
      <c r="D1990" s="10">
        <v>45715</v>
      </c>
      <c r="E1990" s="11" t="str">
        <f>+HYPERLINK("http://trademark.i-assist.jp/data/china/image_1925th/82353870.pdf","82353870")</f>
        <v>82353870</v>
      </c>
      <c r="F1990" s="9" t="s">
        <v>5393</v>
      </c>
      <c r="G1990" s="12" t="s">
        <v>5394</v>
      </c>
      <c r="H1990" s="9" t="s">
        <v>5395</v>
      </c>
      <c r="I1990" s="10">
        <v>45630</v>
      </c>
    </row>
    <row r="1991" spans="1:9" x14ac:dyDescent="0.15">
      <c r="A1991" s="9">
        <v>1990</v>
      </c>
      <c r="B1991" s="9" t="s">
        <v>9</v>
      </c>
      <c r="C1991" s="9">
        <v>1925</v>
      </c>
      <c r="D1991" s="10">
        <v>45715</v>
      </c>
      <c r="E1991" s="11" t="str">
        <f>+HYPERLINK("http://trademark.i-assist.jp/data/china/image_1925th/82354254.pdf","82354254")</f>
        <v>82354254</v>
      </c>
      <c r="F1991" s="12" t="s">
        <v>57</v>
      </c>
      <c r="G1991" s="9" t="s">
        <v>5396</v>
      </c>
      <c r="H1991" s="9" t="s">
        <v>5397</v>
      </c>
      <c r="I1991" s="10">
        <v>45630</v>
      </c>
    </row>
    <row r="1992" spans="1:9" x14ac:dyDescent="0.15">
      <c r="A1992" s="9">
        <v>1991</v>
      </c>
      <c r="B1992" s="9" t="s">
        <v>9</v>
      </c>
      <c r="C1992" s="9">
        <v>1925</v>
      </c>
      <c r="D1992" s="10">
        <v>45715</v>
      </c>
      <c r="E1992" s="11" t="str">
        <f>+HYPERLINK("http://trademark.i-assist.jp/data/china/image_1925th/82354284.pdf","82354284")</f>
        <v>82354284</v>
      </c>
      <c r="F1992" s="12" t="s">
        <v>5398</v>
      </c>
      <c r="G1992" s="9" t="s">
        <v>5399</v>
      </c>
      <c r="H1992" s="9" t="s">
        <v>5400</v>
      </c>
      <c r="I1992" s="10">
        <v>45630</v>
      </c>
    </row>
    <row r="1993" spans="1:9" x14ac:dyDescent="0.15">
      <c r="A1993" s="9">
        <v>1992</v>
      </c>
      <c r="B1993" s="9" t="s">
        <v>9</v>
      </c>
      <c r="C1993" s="9">
        <v>1925</v>
      </c>
      <c r="D1993" s="10">
        <v>45715</v>
      </c>
      <c r="E1993" s="11" t="str">
        <f>+HYPERLINK("http://trademark.i-assist.jp/data/china/image_1925th/82354485.pdf","82354485")</f>
        <v>82354485</v>
      </c>
      <c r="F1993" s="12" t="s">
        <v>5401</v>
      </c>
      <c r="G1993" s="9" t="s">
        <v>5402</v>
      </c>
      <c r="H1993" s="9" t="s">
        <v>5403</v>
      </c>
      <c r="I1993" s="10">
        <v>45630</v>
      </c>
    </row>
    <row r="1994" spans="1:9" x14ac:dyDescent="0.15">
      <c r="A1994" s="9">
        <v>1993</v>
      </c>
      <c r="B1994" s="9" t="s">
        <v>9</v>
      </c>
      <c r="C1994" s="9">
        <v>1925</v>
      </c>
      <c r="D1994" s="10">
        <v>45715</v>
      </c>
      <c r="E1994" s="11" t="str">
        <f>+HYPERLINK("http://trademark.i-assist.jp/data/china/image_1925th/82354656.pdf","82354656")</f>
        <v>82354656</v>
      </c>
      <c r="F1994" s="9" t="s">
        <v>5404</v>
      </c>
      <c r="G1994" s="9" t="s">
        <v>5405</v>
      </c>
      <c r="H1994" s="9" t="s">
        <v>5406</v>
      </c>
      <c r="I1994" s="10">
        <v>45630</v>
      </c>
    </row>
    <row r="1995" spans="1:9" x14ac:dyDescent="0.15">
      <c r="A1995" s="9">
        <v>1994</v>
      </c>
      <c r="B1995" s="9" t="s">
        <v>9</v>
      </c>
      <c r="C1995" s="9">
        <v>1925</v>
      </c>
      <c r="D1995" s="10">
        <v>45715</v>
      </c>
      <c r="E1995" s="11" t="str">
        <f>+HYPERLINK("http://trademark.i-assist.jp/data/china/image_1925th/82354687.pdf","82354687")</f>
        <v>82354687</v>
      </c>
      <c r="F1995" s="9" t="s">
        <v>5407</v>
      </c>
      <c r="G1995" s="9" t="s">
        <v>5217</v>
      </c>
      <c r="H1995" s="9" t="s">
        <v>5408</v>
      </c>
      <c r="I1995" s="10">
        <v>45630</v>
      </c>
    </row>
    <row r="1996" spans="1:9" x14ac:dyDescent="0.15">
      <c r="A1996" s="9">
        <v>1995</v>
      </c>
      <c r="B1996" s="9" t="s">
        <v>9</v>
      </c>
      <c r="C1996" s="9">
        <v>1925</v>
      </c>
      <c r="D1996" s="10">
        <v>45715</v>
      </c>
      <c r="E1996" s="11" t="str">
        <f>+HYPERLINK("http://trademark.i-assist.jp/data/china/image_1925th/82354700.pdf","82354700")</f>
        <v>82354700</v>
      </c>
      <c r="F1996" s="9" t="s">
        <v>5409</v>
      </c>
      <c r="G1996" s="9" t="s">
        <v>5410</v>
      </c>
      <c r="H1996" s="9" t="s">
        <v>5411</v>
      </c>
      <c r="I1996" s="10">
        <v>45630</v>
      </c>
    </row>
    <row r="1997" spans="1:9" x14ac:dyDescent="0.15">
      <c r="A1997" s="9">
        <v>1996</v>
      </c>
      <c r="B1997" s="9" t="s">
        <v>9</v>
      </c>
      <c r="C1997" s="9">
        <v>1925</v>
      </c>
      <c r="D1997" s="10">
        <v>45715</v>
      </c>
      <c r="E1997" s="11" t="str">
        <f>+HYPERLINK("http://trademark.i-assist.jp/data/china/image_1925th/82354762.pdf","82354762")</f>
        <v>82354762</v>
      </c>
      <c r="F1997" s="12" t="s">
        <v>5412</v>
      </c>
      <c r="G1997" s="9" t="s">
        <v>5413</v>
      </c>
      <c r="H1997" s="9" t="s">
        <v>5414</v>
      </c>
      <c r="I1997" s="10">
        <v>45630</v>
      </c>
    </row>
    <row r="1998" spans="1:9" x14ac:dyDescent="0.15">
      <c r="A1998" s="9">
        <v>1997</v>
      </c>
      <c r="B1998" s="9" t="s">
        <v>9</v>
      </c>
      <c r="C1998" s="9">
        <v>1925</v>
      </c>
      <c r="D1998" s="10">
        <v>45715</v>
      </c>
      <c r="E1998" s="11" t="str">
        <f>+HYPERLINK("http://trademark.i-assist.jp/data/china/image_1925th/82354764.pdf","82354764")</f>
        <v>82354764</v>
      </c>
      <c r="F1998" s="9" t="s">
        <v>5415</v>
      </c>
      <c r="G1998" s="9" t="s">
        <v>5416</v>
      </c>
      <c r="H1998" s="9" t="s">
        <v>5417</v>
      </c>
      <c r="I1998" s="10">
        <v>45630</v>
      </c>
    </row>
    <row r="1999" spans="1:9" x14ac:dyDescent="0.15">
      <c r="A1999" s="9">
        <v>1998</v>
      </c>
      <c r="B1999" s="9" t="s">
        <v>9</v>
      </c>
      <c r="C1999" s="9">
        <v>1925</v>
      </c>
      <c r="D1999" s="10">
        <v>45715</v>
      </c>
      <c r="E1999" s="11" t="str">
        <f>+HYPERLINK("http://trademark.i-assist.jp/data/china/image_1925th/82354867.pdf","82354867")</f>
        <v>82354867</v>
      </c>
      <c r="F1999" s="12" t="s">
        <v>5418</v>
      </c>
      <c r="G1999" s="9" t="s">
        <v>5419</v>
      </c>
      <c r="H1999" s="12" t="s">
        <v>5420</v>
      </c>
      <c r="I1999" s="10">
        <v>45630</v>
      </c>
    </row>
    <row r="2000" spans="1:9" x14ac:dyDescent="0.15">
      <c r="A2000" s="9">
        <v>1999</v>
      </c>
      <c r="B2000" s="9" t="s">
        <v>9</v>
      </c>
      <c r="C2000" s="9">
        <v>1925</v>
      </c>
      <c r="D2000" s="10">
        <v>45715</v>
      </c>
      <c r="E2000" s="11" t="str">
        <f>+HYPERLINK("http://trademark.i-assist.jp/data/china/image_1925th/82355303.pdf","82355303")</f>
        <v>82355303</v>
      </c>
      <c r="F2000" s="9" t="s">
        <v>5421</v>
      </c>
      <c r="G2000" s="9" t="s">
        <v>5273</v>
      </c>
      <c r="H2000" s="9" t="s">
        <v>5422</v>
      </c>
      <c r="I2000" s="10">
        <v>45630</v>
      </c>
    </row>
    <row r="2001" spans="1:9" x14ac:dyDescent="0.15">
      <c r="A2001" s="9">
        <v>2000</v>
      </c>
      <c r="B2001" s="9" t="s">
        <v>9</v>
      </c>
      <c r="C2001" s="9">
        <v>1925</v>
      </c>
      <c r="D2001" s="10">
        <v>45715</v>
      </c>
      <c r="E2001" s="11" t="str">
        <f>+HYPERLINK("http://trademark.i-assist.jp/data/china/image_1925th/82356276.pdf","82356276")</f>
        <v>82356276</v>
      </c>
      <c r="F2001" s="9" t="s">
        <v>5423</v>
      </c>
      <c r="G2001" s="12" t="s">
        <v>5424</v>
      </c>
      <c r="H2001" s="12" t="s">
        <v>5425</v>
      </c>
      <c r="I2001" s="10">
        <v>45630</v>
      </c>
    </row>
    <row r="2002" spans="1:9" x14ac:dyDescent="0.15">
      <c r="A2002" s="9">
        <v>2001</v>
      </c>
      <c r="B2002" s="9" t="s">
        <v>9</v>
      </c>
      <c r="C2002" s="9">
        <v>1925</v>
      </c>
      <c r="D2002" s="10">
        <v>45715</v>
      </c>
      <c r="E2002" s="11" t="str">
        <f>+HYPERLINK("http://trademark.i-assist.jp/data/china/image_1925th/82356377.pdf","82356377")</f>
        <v>82356377</v>
      </c>
      <c r="F2002" s="12" t="s">
        <v>5426</v>
      </c>
      <c r="G2002" s="9" t="s">
        <v>5402</v>
      </c>
      <c r="H2002" s="9" t="s">
        <v>5427</v>
      </c>
      <c r="I2002" s="10">
        <v>45630</v>
      </c>
    </row>
    <row r="2003" spans="1:9" x14ac:dyDescent="0.15">
      <c r="A2003" s="9">
        <v>2002</v>
      </c>
      <c r="B2003" s="9" t="s">
        <v>9</v>
      </c>
      <c r="C2003" s="9">
        <v>1925</v>
      </c>
      <c r="D2003" s="10">
        <v>45715</v>
      </c>
      <c r="E2003" s="11" t="str">
        <f>+HYPERLINK("http://trademark.i-assist.jp/data/china/image_1925th/82356473.pdf","82356473")</f>
        <v>82356473</v>
      </c>
      <c r="F2003" s="9" t="s">
        <v>5428</v>
      </c>
      <c r="G2003" s="9" t="s">
        <v>1059</v>
      </c>
      <c r="H2003" s="9" t="s">
        <v>5429</v>
      </c>
      <c r="I2003" s="10">
        <v>45630</v>
      </c>
    </row>
    <row r="2004" spans="1:9" x14ac:dyDescent="0.15">
      <c r="A2004" s="9">
        <v>2003</v>
      </c>
      <c r="B2004" s="9" t="s">
        <v>9</v>
      </c>
      <c r="C2004" s="9">
        <v>1925</v>
      </c>
      <c r="D2004" s="10">
        <v>45715</v>
      </c>
      <c r="E2004" s="11" t="str">
        <f>+HYPERLINK("http://trademark.i-assist.jp/data/china/image_1925th/82356675.pdf","82356675")</f>
        <v>82356675</v>
      </c>
      <c r="F2004" s="9" t="s">
        <v>5430</v>
      </c>
      <c r="G2004" s="9" t="s">
        <v>5217</v>
      </c>
      <c r="H2004" s="9" t="s">
        <v>5431</v>
      </c>
      <c r="I2004" s="10">
        <v>45630</v>
      </c>
    </row>
    <row r="2005" spans="1:9" x14ac:dyDescent="0.15">
      <c r="A2005" s="9">
        <v>2004</v>
      </c>
      <c r="B2005" s="9" t="s">
        <v>9</v>
      </c>
      <c r="C2005" s="9">
        <v>1925</v>
      </c>
      <c r="D2005" s="10">
        <v>45715</v>
      </c>
      <c r="E2005" s="11" t="str">
        <f>+HYPERLINK("http://trademark.i-assist.jp/data/china/image_1925th/82356841.pdf","82356841")</f>
        <v>82356841</v>
      </c>
      <c r="F2005" s="9" t="s">
        <v>5432</v>
      </c>
      <c r="G2005" s="9" t="s">
        <v>5433</v>
      </c>
      <c r="H2005" s="9" t="s">
        <v>5434</v>
      </c>
      <c r="I2005" s="10">
        <v>45630</v>
      </c>
    </row>
    <row r="2006" spans="1:9" x14ac:dyDescent="0.15">
      <c r="A2006" s="9">
        <v>2005</v>
      </c>
      <c r="B2006" s="9" t="s">
        <v>9</v>
      </c>
      <c r="C2006" s="9">
        <v>1925</v>
      </c>
      <c r="D2006" s="10">
        <v>45715</v>
      </c>
      <c r="E2006" s="11" t="str">
        <f>+HYPERLINK("http://trademark.i-assist.jp/data/china/image_1925th/82357001.pdf","82357001")</f>
        <v>82357001</v>
      </c>
      <c r="F2006" s="12" t="s">
        <v>5435</v>
      </c>
      <c r="G2006" s="12" t="s">
        <v>5436</v>
      </c>
      <c r="H2006" s="9" t="s">
        <v>5437</v>
      </c>
      <c r="I2006" s="10">
        <v>45630</v>
      </c>
    </row>
    <row r="2007" spans="1:9" x14ac:dyDescent="0.15">
      <c r="A2007" s="9">
        <v>2006</v>
      </c>
      <c r="B2007" s="9" t="s">
        <v>9</v>
      </c>
      <c r="C2007" s="9">
        <v>1925</v>
      </c>
      <c r="D2007" s="10">
        <v>45715</v>
      </c>
      <c r="E2007" s="11" t="str">
        <f>+HYPERLINK("http://trademark.i-assist.jp/data/china/image_1925th/82357079.pdf","82357079")</f>
        <v>82357079</v>
      </c>
      <c r="F2007" s="12" t="s">
        <v>57</v>
      </c>
      <c r="G2007" s="9" t="s">
        <v>5438</v>
      </c>
      <c r="H2007" s="9" t="s">
        <v>5439</v>
      </c>
      <c r="I2007" s="10">
        <v>45630</v>
      </c>
    </row>
    <row r="2008" spans="1:9" x14ac:dyDescent="0.15">
      <c r="A2008" s="9">
        <v>2007</v>
      </c>
      <c r="B2008" s="9" t="s">
        <v>9</v>
      </c>
      <c r="C2008" s="9">
        <v>1925</v>
      </c>
      <c r="D2008" s="10">
        <v>45715</v>
      </c>
      <c r="E2008" s="11" t="str">
        <f>+HYPERLINK("http://trademark.i-assist.jp/data/china/image_1925th/82357252.pdf","82357252")</f>
        <v>82357252</v>
      </c>
      <c r="F2008" s="9" t="s">
        <v>5440</v>
      </c>
      <c r="G2008" s="12" t="s">
        <v>5441</v>
      </c>
      <c r="H2008" s="9" t="s">
        <v>5442</v>
      </c>
      <c r="I2008" s="10">
        <v>45630</v>
      </c>
    </row>
    <row r="2009" spans="1:9" x14ac:dyDescent="0.15">
      <c r="A2009" s="9">
        <v>2008</v>
      </c>
      <c r="B2009" s="9" t="s">
        <v>9</v>
      </c>
      <c r="C2009" s="9">
        <v>1925</v>
      </c>
      <c r="D2009" s="10">
        <v>45715</v>
      </c>
      <c r="E2009" s="11" t="str">
        <f>+HYPERLINK("http://trademark.i-assist.jp/data/china/image_1925th/82357354.pdf","82357354")</f>
        <v>82357354</v>
      </c>
      <c r="F2009" s="9" t="s">
        <v>5443</v>
      </c>
      <c r="G2009" s="9" t="s">
        <v>5444</v>
      </c>
      <c r="H2009" s="9" t="s">
        <v>5445</v>
      </c>
      <c r="I2009" s="10">
        <v>45630</v>
      </c>
    </row>
    <row r="2010" spans="1:9" x14ac:dyDescent="0.15">
      <c r="A2010" s="9">
        <v>2009</v>
      </c>
      <c r="B2010" s="9" t="s">
        <v>9</v>
      </c>
      <c r="C2010" s="9">
        <v>1925</v>
      </c>
      <c r="D2010" s="10">
        <v>45715</v>
      </c>
      <c r="E2010" s="11" t="str">
        <f>+HYPERLINK("http://trademark.i-assist.jp/data/china/image_1925th/82357402.pdf","82357402")</f>
        <v>82357402</v>
      </c>
      <c r="F2010" s="9" t="s">
        <v>5446</v>
      </c>
      <c r="G2010" s="9" t="s">
        <v>5447</v>
      </c>
      <c r="H2010" s="9" t="s">
        <v>5448</v>
      </c>
      <c r="I2010" s="10">
        <v>45630</v>
      </c>
    </row>
    <row r="2011" spans="1:9" x14ac:dyDescent="0.15">
      <c r="A2011" s="9">
        <v>2010</v>
      </c>
      <c r="B2011" s="9" t="s">
        <v>9</v>
      </c>
      <c r="C2011" s="9">
        <v>1925</v>
      </c>
      <c r="D2011" s="10">
        <v>45715</v>
      </c>
      <c r="E2011" s="11" t="str">
        <f>+HYPERLINK("http://trademark.i-assist.jp/data/china/image_1925th/82357628.pdf","82357628")</f>
        <v>82357628</v>
      </c>
      <c r="F2011" s="9" t="s">
        <v>5449</v>
      </c>
      <c r="G2011" s="9" t="s">
        <v>5381</v>
      </c>
      <c r="H2011" s="9" t="s">
        <v>5450</v>
      </c>
      <c r="I2011" s="10">
        <v>45630</v>
      </c>
    </row>
    <row r="2012" spans="1:9" x14ac:dyDescent="0.15">
      <c r="A2012" s="9">
        <v>2011</v>
      </c>
      <c r="B2012" s="9" t="s">
        <v>9</v>
      </c>
      <c r="C2012" s="9">
        <v>1925</v>
      </c>
      <c r="D2012" s="10">
        <v>45715</v>
      </c>
      <c r="E2012" s="11" t="str">
        <f>+HYPERLINK("http://trademark.i-assist.jp/data/china/image_1925th/82357631.pdf","82357631")</f>
        <v>82357631</v>
      </c>
      <c r="F2012" s="12" t="s">
        <v>57</v>
      </c>
      <c r="G2012" s="12" t="s">
        <v>5451</v>
      </c>
      <c r="H2012" s="9" t="s">
        <v>5452</v>
      </c>
      <c r="I2012" s="10">
        <v>45630</v>
      </c>
    </row>
    <row r="2013" spans="1:9" x14ac:dyDescent="0.15">
      <c r="A2013" s="9">
        <v>2012</v>
      </c>
      <c r="B2013" s="9" t="s">
        <v>9</v>
      </c>
      <c r="C2013" s="9">
        <v>1925</v>
      </c>
      <c r="D2013" s="10">
        <v>45715</v>
      </c>
      <c r="E2013" s="11" t="str">
        <f>+HYPERLINK("http://trademark.i-assist.jp/data/china/image_1925th/82358050.pdf","82358050")</f>
        <v>82358050</v>
      </c>
      <c r="F2013" s="9" t="s">
        <v>5453</v>
      </c>
      <c r="G2013" s="9" t="s">
        <v>5217</v>
      </c>
      <c r="H2013" s="9" t="s">
        <v>5454</v>
      </c>
      <c r="I2013" s="10">
        <v>45630</v>
      </c>
    </row>
    <row r="2014" spans="1:9" x14ac:dyDescent="0.15">
      <c r="A2014" s="9">
        <v>2013</v>
      </c>
      <c r="B2014" s="9" t="s">
        <v>9</v>
      </c>
      <c r="C2014" s="9">
        <v>1925</v>
      </c>
      <c r="D2014" s="10">
        <v>45715</v>
      </c>
      <c r="E2014" s="11" t="str">
        <f>+HYPERLINK("http://trademark.i-assist.jp/data/china/image_1925th/82358071.pdf","82358071")</f>
        <v>82358071</v>
      </c>
      <c r="F2014" s="9" t="s">
        <v>5455</v>
      </c>
      <c r="G2014" s="12" t="s">
        <v>5456</v>
      </c>
      <c r="H2014" s="9" t="s">
        <v>5457</v>
      </c>
      <c r="I2014" s="10">
        <v>45630</v>
      </c>
    </row>
    <row r="2015" spans="1:9" x14ac:dyDescent="0.15">
      <c r="A2015" s="9">
        <v>2014</v>
      </c>
      <c r="B2015" s="9" t="s">
        <v>9</v>
      </c>
      <c r="C2015" s="9">
        <v>1925</v>
      </c>
      <c r="D2015" s="10">
        <v>45715</v>
      </c>
      <c r="E2015" s="11" t="str">
        <f>+HYPERLINK("http://trademark.i-assist.jp/data/china/image_1925th/82358080.pdf","82358080")</f>
        <v>82358080</v>
      </c>
      <c r="F2015" s="9" t="s">
        <v>5458</v>
      </c>
      <c r="G2015" s="9" t="s">
        <v>5217</v>
      </c>
      <c r="H2015" s="9" t="s">
        <v>5459</v>
      </c>
      <c r="I2015" s="10">
        <v>45630</v>
      </c>
    </row>
    <row r="2016" spans="1:9" x14ac:dyDescent="0.15">
      <c r="A2016" s="9">
        <v>2015</v>
      </c>
      <c r="B2016" s="9" t="s">
        <v>9</v>
      </c>
      <c r="C2016" s="9">
        <v>1925</v>
      </c>
      <c r="D2016" s="10">
        <v>45715</v>
      </c>
      <c r="E2016" s="11" t="str">
        <f>+HYPERLINK("http://trademark.i-assist.jp/data/china/image_1925th/82358874.pdf","82358874")</f>
        <v>82358874</v>
      </c>
      <c r="F2016" s="9" t="s">
        <v>5460</v>
      </c>
      <c r="G2016" s="12" t="s">
        <v>5461</v>
      </c>
      <c r="H2016" s="9" t="s">
        <v>5462</v>
      </c>
      <c r="I2016" s="10">
        <v>45630</v>
      </c>
    </row>
    <row r="2017" spans="1:9" x14ac:dyDescent="0.15">
      <c r="A2017" s="9">
        <v>2016</v>
      </c>
      <c r="B2017" s="9" t="s">
        <v>9</v>
      </c>
      <c r="C2017" s="9">
        <v>1925</v>
      </c>
      <c r="D2017" s="10">
        <v>45715</v>
      </c>
      <c r="E2017" s="11" t="str">
        <f>+HYPERLINK("http://trademark.i-assist.jp/data/china/image_1925th/82359051.pdf","82359051")</f>
        <v>82359051</v>
      </c>
      <c r="F2017" s="12" t="s">
        <v>5463</v>
      </c>
      <c r="G2017" s="9" t="s">
        <v>5378</v>
      </c>
      <c r="H2017" s="9" t="s">
        <v>5464</v>
      </c>
      <c r="I2017" s="10">
        <v>45630</v>
      </c>
    </row>
    <row r="2018" spans="1:9" x14ac:dyDescent="0.15">
      <c r="A2018" s="9">
        <v>2017</v>
      </c>
      <c r="B2018" s="9" t="s">
        <v>9</v>
      </c>
      <c r="C2018" s="9">
        <v>1925</v>
      </c>
      <c r="D2018" s="10">
        <v>45715</v>
      </c>
      <c r="E2018" s="11" t="str">
        <f>+HYPERLINK("http://trademark.i-assist.jp/data/china/image_1925th/82359097.pdf","82359097")</f>
        <v>82359097</v>
      </c>
      <c r="F2018" s="9" t="s">
        <v>5465</v>
      </c>
      <c r="G2018" s="9" t="s">
        <v>5466</v>
      </c>
      <c r="H2018" s="9" t="s">
        <v>5467</v>
      </c>
      <c r="I2018" s="10">
        <v>45630</v>
      </c>
    </row>
    <row r="2019" spans="1:9" x14ac:dyDescent="0.15">
      <c r="A2019" s="9">
        <v>2018</v>
      </c>
      <c r="B2019" s="9" t="s">
        <v>9</v>
      </c>
      <c r="C2019" s="9">
        <v>1925</v>
      </c>
      <c r="D2019" s="10">
        <v>45715</v>
      </c>
      <c r="E2019" s="11" t="str">
        <f>+HYPERLINK("http://trademark.i-assist.jp/data/china/image_1925th/82359376.pdf","82359376")</f>
        <v>82359376</v>
      </c>
      <c r="F2019" s="9" t="s">
        <v>5468</v>
      </c>
      <c r="G2019" s="9" t="s">
        <v>1059</v>
      </c>
      <c r="H2019" s="9" t="s">
        <v>5469</v>
      </c>
      <c r="I2019" s="10">
        <v>45630</v>
      </c>
    </row>
    <row r="2020" spans="1:9" x14ac:dyDescent="0.15">
      <c r="A2020" s="9">
        <v>2019</v>
      </c>
      <c r="B2020" s="9" t="s">
        <v>9</v>
      </c>
      <c r="C2020" s="9">
        <v>1925</v>
      </c>
      <c r="D2020" s="10">
        <v>45715</v>
      </c>
      <c r="E2020" s="11" t="str">
        <f>+HYPERLINK("http://trademark.i-assist.jp/data/china/image_1925th/82359532.pdf","82359532")</f>
        <v>82359532</v>
      </c>
      <c r="F2020" s="9" t="s">
        <v>5470</v>
      </c>
      <c r="G2020" s="9" t="s">
        <v>5471</v>
      </c>
      <c r="H2020" s="9" t="s">
        <v>5472</v>
      </c>
      <c r="I2020" s="10">
        <v>45630</v>
      </c>
    </row>
    <row r="2021" spans="1:9" x14ac:dyDescent="0.15">
      <c r="A2021" s="9">
        <v>2020</v>
      </c>
      <c r="B2021" s="9" t="s">
        <v>9</v>
      </c>
      <c r="C2021" s="9">
        <v>1925</v>
      </c>
      <c r="D2021" s="10">
        <v>45715</v>
      </c>
      <c r="E2021" s="11" t="str">
        <f>+HYPERLINK("http://trademark.i-assist.jp/data/china/image_1925th/82359929.pdf","82359929")</f>
        <v>82359929</v>
      </c>
      <c r="F2021" s="9" t="s">
        <v>5473</v>
      </c>
      <c r="G2021" s="9" t="s">
        <v>5474</v>
      </c>
      <c r="H2021" s="9" t="s">
        <v>5475</v>
      </c>
      <c r="I2021" s="10">
        <v>45630</v>
      </c>
    </row>
    <row r="2022" spans="1:9" x14ac:dyDescent="0.15">
      <c r="A2022" s="9">
        <v>2021</v>
      </c>
      <c r="B2022" s="9" t="s">
        <v>9</v>
      </c>
      <c r="C2022" s="9">
        <v>1925</v>
      </c>
      <c r="D2022" s="10">
        <v>45715</v>
      </c>
      <c r="E2022" s="11" t="str">
        <f>+HYPERLINK("http://trademark.i-assist.jp/data/china/image_1925th/82359969.pdf","82359969")</f>
        <v>82359969</v>
      </c>
      <c r="F2022" s="9" t="s">
        <v>5476</v>
      </c>
      <c r="G2022" s="9" t="s">
        <v>5477</v>
      </c>
      <c r="H2022" s="9" t="s">
        <v>5478</v>
      </c>
      <c r="I2022" s="10">
        <v>45630</v>
      </c>
    </row>
    <row r="2023" spans="1:9" x14ac:dyDescent="0.15">
      <c r="A2023" s="9">
        <v>2022</v>
      </c>
      <c r="B2023" s="9" t="s">
        <v>9</v>
      </c>
      <c r="C2023" s="9">
        <v>1925</v>
      </c>
      <c r="D2023" s="10">
        <v>45715</v>
      </c>
      <c r="E2023" s="11" t="str">
        <f>+HYPERLINK("http://trademark.i-assist.jp/data/china/image_1925th/82360007.pdf","82360007")</f>
        <v>82360007</v>
      </c>
      <c r="F2023" s="12" t="s">
        <v>57</v>
      </c>
      <c r="G2023" s="9" t="s">
        <v>5479</v>
      </c>
      <c r="H2023" s="9" t="s">
        <v>5480</v>
      </c>
      <c r="I2023" s="10">
        <v>45630</v>
      </c>
    </row>
    <row r="2024" spans="1:9" x14ac:dyDescent="0.15">
      <c r="A2024" s="9">
        <v>2023</v>
      </c>
      <c r="B2024" s="9" t="s">
        <v>9</v>
      </c>
      <c r="C2024" s="9">
        <v>1925</v>
      </c>
      <c r="D2024" s="10">
        <v>45715</v>
      </c>
      <c r="E2024" s="11" t="str">
        <f>+HYPERLINK("http://trademark.i-assist.jp/data/china/image_1925th/82360117.pdf","82360117")</f>
        <v>82360117</v>
      </c>
      <c r="F2024" s="9" t="s">
        <v>5481</v>
      </c>
      <c r="G2024" s="9" t="s">
        <v>5482</v>
      </c>
      <c r="H2024" s="9" t="s">
        <v>5483</v>
      </c>
      <c r="I2024" s="10">
        <v>45630</v>
      </c>
    </row>
    <row r="2025" spans="1:9" x14ac:dyDescent="0.15">
      <c r="A2025" s="9">
        <v>2024</v>
      </c>
      <c r="B2025" s="9" t="s">
        <v>9</v>
      </c>
      <c r="C2025" s="9">
        <v>1925</v>
      </c>
      <c r="D2025" s="10">
        <v>45715</v>
      </c>
      <c r="E2025" s="11" t="str">
        <f>+HYPERLINK("http://trademark.i-assist.jp/data/china/image_1925th/82360122.pdf","82360122")</f>
        <v>82360122</v>
      </c>
      <c r="F2025" s="9" t="s">
        <v>5484</v>
      </c>
      <c r="G2025" s="9" t="s">
        <v>3638</v>
      </c>
      <c r="H2025" s="12" t="s">
        <v>5485</v>
      </c>
      <c r="I2025" s="10">
        <v>45630</v>
      </c>
    </row>
    <row r="2026" spans="1:9" x14ac:dyDescent="0.15">
      <c r="A2026" s="9">
        <v>2025</v>
      </c>
      <c r="B2026" s="9" t="s">
        <v>9</v>
      </c>
      <c r="C2026" s="9">
        <v>1925</v>
      </c>
      <c r="D2026" s="10">
        <v>45715</v>
      </c>
      <c r="E2026" s="11" t="str">
        <f>+HYPERLINK("http://trademark.i-assist.jp/data/china/image_1925th/82360139.pdf","82360139")</f>
        <v>82360139</v>
      </c>
      <c r="F2026" s="9" t="s">
        <v>5486</v>
      </c>
      <c r="G2026" s="9" t="s">
        <v>3638</v>
      </c>
      <c r="H2026" s="12" t="s">
        <v>5487</v>
      </c>
      <c r="I2026" s="10">
        <v>45630</v>
      </c>
    </row>
    <row r="2027" spans="1:9" x14ac:dyDescent="0.15">
      <c r="A2027" s="9">
        <v>2026</v>
      </c>
      <c r="B2027" s="9" t="s">
        <v>9</v>
      </c>
      <c r="C2027" s="9">
        <v>1925</v>
      </c>
      <c r="D2027" s="10">
        <v>45715</v>
      </c>
      <c r="E2027" s="11" t="str">
        <f>+HYPERLINK("http://trademark.i-assist.jp/data/china/image_1925th/82360665.pdf","82360665")</f>
        <v>82360665</v>
      </c>
      <c r="F2027" s="9" t="s">
        <v>5488</v>
      </c>
      <c r="G2027" s="9" t="s">
        <v>5489</v>
      </c>
      <c r="H2027" s="9" t="s">
        <v>5490</v>
      </c>
      <c r="I2027" s="10">
        <v>45630</v>
      </c>
    </row>
    <row r="2028" spans="1:9" x14ac:dyDescent="0.15">
      <c r="A2028" s="9">
        <v>2027</v>
      </c>
      <c r="B2028" s="9" t="s">
        <v>9</v>
      </c>
      <c r="C2028" s="9">
        <v>1925</v>
      </c>
      <c r="D2028" s="10">
        <v>45715</v>
      </c>
      <c r="E2028" s="11" t="str">
        <f>+HYPERLINK("http://trademark.i-assist.jp/data/china/image_1925th/82360940.pdf","82360940")</f>
        <v>82360940</v>
      </c>
      <c r="F2028" s="9" t="s">
        <v>5491</v>
      </c>
      <c r="G2028" s="9" t="s">
        <v>1059</v>
      </c>
      <c r="H2028" s="12" t="s">
        <v>5492</v>
      </c>
      <c r="I2028" s="10">
        <v>45630</v>
      </c>
    </row>
    <row r="2029" spans="1:9" x14ac:dyDescent="0.15">
      <c r="A2029" s="9">
        <v>2028</v>
      </c>
      <c r="B2029" s="9" t="s">
        <v>9</v>
      </c>
      <c r="C2029" s="9">
        <v>1925</v>
      </c>
      <c r="D2029" s="10">
        <v>45715</v>
      </c>
      <c r="E2029" s="11" t="str">
        <f>+HYPERLINK("http://trademark.i-assist.jp/data/china/image_1925th/82361209.pdf","82361209")</f>
        <v>82361209</v>
      </c>
      <c r="F2029" s="9" t="s">
        <v>5493</v>
      </c>
      <c r="G2029" s="9" t="s">
        <v>5494</v>
      </c>
      <c r="H2029" s="12" t="s">
        <v>5495</v>
      </c>
      <c r="I2029" s="10">
        <v>45630</v>
      </c>
    </row>
    <row r="2030" spans="1:9" x14ac:dyDescent="0.15">
      <c r="A2030" s="9">
        <v>2029</v>
      </c>
      <c r="B2030" s="9" t="s">
        <v>9</v>
      </c>
      <c r="C2030" s="9">
        <v>1925</v>
      </c>
      <c r="D2030" s="10">
        <v>45715</v>
      </c>
      <c r="E2030" s="11" t="str">
        <f>+HYPERLINK("http://trademark.i-assist.jp/data/china/image_1925th/82361243.pdf","82361243")</f>
        <v>82361243</v>
      </c>
      <c r="F2030" s="12" t="s">
        <v>5496</v>
      </c>
      <c r="G2030" s="9" t="s">
        <v>5405</v>
      </c>
      <c r="H2030" s="9" t="s">
        <v>5497</v>
      </c>
      <c r="I2030" s="10">
        <v>45630</v>
      </c>
    </row>
    <row r="2031" spans="1:9" x14ac:dyDescent="0.15">
      <c r="A2031" s="9">
        <v>2030</v>
      </c>
      <c r="B2031" s="9" t="s">
        <v>9</v>
      </c>
      <c r="C2031" s="9">
        <v>1925</v>
      </c>
      <c r="D2031" s="10">
        <v>45715</v>
      </c>
      <c r="E2031" s="11" t="str">
        <f>+HYPERLINK("http://trademark.i-assist.jp/data/china/image_1925th/82361307.pdf","82361307")</f>
        <v>82361307</v>
      </c>
      <c r="F2031" s="9" t="s">
        <v>5498</v>
      </c>
      <c r="G2031" s="9" t="s">
        <v>5499</v>
      </c>
      <c r="H2031" s="9" t="s">
        <v>5500</v>
      </c>
      <c r="I2031" s="10">
        <v>45630</v>
      </c>
    </row>
    <row r="2032" spans="1:9" x14ac:dyDescent="0.15">
      <c r="A2032" s="9">
        <v>2031</v>
      </c>
      <c r="B2032" s="9" t="s">
        <v>9</v>
      </c>
      <c r="C2032" s="9">
        <v>1925</v>
      </c>
      <c r="D2032" s="10">
        <v>45715</v>
      </c>
      <c r="E2032" s="11" t="str">
        <f>+HYPERLINK("http://trademark.i-assist.jp/data/china/image_1925th/82361447.pdf","82361447")</f>
        <v>82361447</v>
      </c>
      <c r="F2032" s="9" t="s">
        <v>5501</v>
      </c>
      <c r="G2032" s="9" t="s">
        <v>5502</v>
      </c>
      <c r="H2032" s="9" t="s">
        <v>5503</v>
      </c>
      <c r="I2032" s="10">
        <v>45630</v>
      </c>
    </row>
    <row r="2033" spans="1:9" x14ac:dyDescent="0.15">
      <c r="A2033" s="9">
        <v>2032</v>
      </c>
      <c r="B2033" s="9" t="s">
        <v>9</v>
      </c>
      <c r="C2033" s="9">
        <v>1925</v>
      </c>
      <c r="D2033" s="10">
        <v>45715</v>
      </c>
      <c r="E2033" s="11" t="str">
        <f>+HYPERLINK("http://trademark.i-assist.jp/data/china/image_1925th/82361575.pdf","82361575")</f>
        <v>82361575</v>
      </c>
      <c r="F2033" s="9" t="s">
        <v>5504</v>
      </c>
      <c r="G2033" s="9" t="s">
        <v>3638</v>
      </c>
      <c r="H2033" s="9" t="s">
        <v>5505</v>
      </c>
      <c r="I2033" s="10">
        <v>45630</v>
      </c>
    </row>
    <row r="2034" spans="1:9" x14ac:dyDescent="0.15">
      <c r="A2034" s="9">
        <v>2033</v>
      </c>
      <c r="B2034" s="9" t="s">
        <v>9</v>
      </c>
      <c r="C2034" s="9">
        <v>1925</v>
      </c>
      <c r="D2034" s="10">
        <v>45715</v>
      </c>
      <c r="E2034" s="11" t="str">
        <f>+HYPERLINK("http://trademark.i-assist.jp/data/china/image_1925th/82361660.pdf","82361660")</f>
        <v>82361660</v>
      </c>
      <c r="F2034" s="12" t="s">
        <v>5506</v>
      </c>
      <c r="G2034" s="9" t="s">
        <v>5253</v>
      </c>
      <c r="H2034" s="9" t="s">
        <v>5507</v>
      </c>
      <c r="I2034" s="10">
        <v>45630</v>
      </c>
    </row>
    <row r="2035" spans="1:9" x14ac:dyDescent="0.15">
      <c r="A2035" s="9">
        <v>2034</v>
      </c>
      <c r="B2035" s="9" t="s">
        <v>9</v>
      </c>
      <c r="C2035" s="9">
        <v>1925</v>
      </c>
      <c r="D2035" s="10">
        <v>45715</v>
      </c>
      <c r="E2035" s="11" t="str">
        <f>+HYPERLINK("http://trademark.i-assist.jp/data/china/image_1925th/82361786.pdf","82361786")</f>
        <v>82361786</v>
      </c>
      <c r="F2035" s="12" t="s">
        <v>5508</v>
      </c>
      <c r="G2035" s="9" t="s">
        <v>5509</v>
      </c>
      <c r="H2035" s="9" t="s">
        <v>5510</v>
      </c>
      <c r="I2035" s="10">
        <v>45630</v>
      </c>
    </row>
    <row r="2036" spans="1:9" x14ac:dyDescent="0.15">
      <c r="A2036" s="9">
        <v>2035</v>
      </c>
      <c r="B2036" s="9" t="s">
        <v>9</v>
      </c>
      <c r="C2036" s="9">
        <v>1925</v>
      </c>
      <c r="D2036" s="10">
        <v>45715</v>
      </c>
      <c r="E2036" s="11" t="str">
        <f>+HYPERLINK("http://trademark.i-assist.jp/data/china/image_1925th/82361794.pdf","82361794")</f>
        <v>82361794</v>
      </c>
      <c r="F2036" s="9" t="s">
        <v>5511</v>
      </c>
      <c r="G2036" s="12" t="s">
        <v>5512</v>
      </c>
      <c r="H2036" s="9" t="s">
        <v>5513</v>
      </c>
      <c r="I2036" s="10">
        <v>45630</v>
      </c>
    </row>
    <row r="2037" spans="1:9" x14ac:dyDescent="0.15">
      <c r="A2037" s="9">
        <v>2036</v>
      </c>
      <c r="B2037" s="9" t="s">
        <v>9</v>
      </c>
      <c r="C2037" s="9">
        <v>1925</v>
      </c>
      <c r="D2037" s="10">
        <v>45715</v>
      </c>
      <c r="E2037" s="11" t="str">
        <f>+HYPERLINK("http://trademark.i-assist.jp/data/china/image_1925th/82361873.pdf","82361873")</f>
        <v>82361873</v>
      </c>
      <c r="F2037" s="9" t="s">
        <v>5514</v>
      </c>
      <c r="G2037" s="9" t="s">
        <v>5378</v>
      </c>
      <c r="H2037" s="9" t="s">
        <v>5515</v>
      </c>
      <c r="I2037" s="10">
        <v>45630</v>
      </c>
    </row>
    <row r="2038" spans="1:9" x14ac:dyDescent="0.15">
      <c r="A2038" s="9">
        <v>2037</v>
      </c>
      <c r="B2038" s="9" t="s">
        <v>9</v>
      </c>
      <c r="C2038" s="9">
        <v>1925</v>
      </c>
      <c r="D2038" s="10">
        <v>45715</v>
      </c>
      <c r="E2038" s="11" t="str">
        <f>+HYPERLINK("http://trademark.i-assist.jp/data/china/image_1925th/82362121.pdf","82362121")</f>
        <v>82362121</v>
      </c>
      <c r="F2038" s="9" t="s">
        <v>5516</v>
      </c>
      <c r="G2038" s="12" t="s">
        <v>5517</v>
      </c>
      <c r="H2038" s="9" t="s">
        <v>5518</v>
      </c>
      <c r="I2038" s="10">
        <v>45630</v>
      </c>
    </row>
    <row r="2039" spans="1:9" x14ac:dyDescent="0.15">
      <c r="A2039" s="9">
        <v>2038</v>
      </c>
      <c r="B2039" s="9" t="s">
        <v>9</v>
      </c>
      <c r="C2039" s="9">
        <v>1925</v>
      </c>
      <c r="D2039" s="10">
        <v>45715</v>
      </c>
      <c r="E2039" s="11" t="str">
        <f>+HYPERLINK("http://trademark.i-assist.jp/data/china/image_1925th/82362158.pdf","82362158")</f>
        <v>82362158</v>
      </c>
      <c r="F2039" s="12" t="s">
        <v>5519</v>
      </c>
      <c r="G2039" s="9" t="s">
        <v>5520</v>
      </c>
      <c r="H2039" s="9" t="s">
        <v>5521</v>
      </c>
      <c r="I2039" s="10">
        <v>45630</v>
      </c>
    </row>
    <row r="2040" spans="1:9" x14ac:dyDescent="0.15">
      <c r="A2040" s="9">
        <v>2039</v>
      </c>
      <c r="B2040" s="9" t="s">
        <v>9</v>
      </c>
      <c r="C2040" s="9">
        <v>1925</v>
      </c>
      <c r="D2040" s="10">
        <v>45715</v>
      </c>
      <c r="E2040" s="11" t="str">
        <f>+HYPERLINK("http://trademark.i-assist.jp/data/china/image_1925th/82362869.pdf","82362869")</f>
        <v>82362869</v>
      </c>
      <c r="F2040" s="9" t="s">
        <v>5522</v>
      </c>
      <c r="G2040" s="9" t="s">
        <v>5523</v>
      </c>
      <c r="H2040" s="9" t="s">
        <v>5524</v>
      </c>
      <c r="I2040" s="10">
        <v>45630</v>
      </c>
    </row>
    <row r="2041" spans="1:9" x14ac:dyDescent="0.15">
      <c r="A2041" s="9">
        <v>2040</v>
      </c>
      <c r="B2041" s="9" t="s">
        <v>9</v>
      </c>
      <c r="C2041" s="9">
        <v>1925</v>
      </c>
      <c r="D2041" s="10">
        <v>45715</v>
      </c>
      <c r="E2041" s="11" t="str">
        <f>+HYPERLINK("http://trademark.i-assist.jp/data/china/image_1925th/82363090.pdf","82363090")</f>
        <v>82363090</v>
      </c>
      <c r="F2041" s="12" t="s">
        <v>57</v>
      </c>
      <c r="G2041" s="9" t="s">
        <v>5525</v>
      </c>
      <c r="H2041" s="9" t="s">
        <v>5526</v>
      </c>
      <c r="I2041" s="10">
        <v>45631</v>
      </c>
    </row>
    <row r="2042" spans="1:9" x14ac:dyDescent="0.15">
      <c r="A2042" s="9">
        <v>2041</v>
      </c>
      <c r="B2042" s="9" t="s">
        <v>9</v>
      </c>
      <c r="C2042" s="9">
        <v>1925</v>
      </c>
      <c r="D2042" s="10">
        <v>45715</v>
      </c>
      <c r="E2042" s="11" t="str">
        <f>+HYPERLINK("http://trademark.i-assist.jp/data/china/image_1925th/82363298.pdf","82363298")</f>
        <v>82363298</v>
      </c>
      <c r="F2042" s="9" t="s">
        <v>5527</v>
      </c>
      <c r="G2042" s="9" t="s">
        <v>5528</v>
      </c>
      <c r="H2042" s="9" t="s">
        <v>5529</v>
      </c>
      <c r="I2042" s="10">
        <v>45631</v>
      </c>
    </row>
    <row r="2043" spans="1:9" x14ac:dyDescent="0.15">
      <c r="A2043" s="9">
        <v>2042</v>
      </c>
      <c r="B2043" s="9" t="s">
        <v>9</v>
      </c>
      <c r="C2043" s="9">
        <v>1925</v>
      </c>
      <c r="D2043" s="10">
        <v>45715</v>
      </c>
      <c r="E2043" s="11" t="str">
        <f>+HYPERLINK("http://trademark.i-assist.jp/data/china/image_1925th/82364328.pdf","82364328")</f>
        <v>82364328</v>
      </c>
      <c r="F2043" s="9" t="s">
        <v>5530</v>
      </c>
      <c r="G2043" s="9" t="s">
        <v>5531</v>
      </c>
      <c r="H2043" s="9" t="s">
        <v>5532</v>
      </c>
      <c r="I2043" s="10">
        <v>45631</v>
      </c>
    </row>
    <row r="2044" spans="1:9" x14ac:dyDescent="0.15">
      <c r="A2044" s="9">
        <v>2043</v>
      </c>
      <c r="B2044" s="9" t="s">
        <v>9</v>
      </c>
      <c r="C2044" s="9">
        <v>1925</v>
      </c>
      <c r="D2044" s="10">
        <v>45715</v>
      </c>
      <c r="E2044" s="11" t="str">
        <f>+HYPERLINK("http://trademark.i-assist.jp/data/china/image_1925th/82364725.pdf","82364725")</f>
        <v>82364725</v>
      </c>
      <c r="F2044" s="9" t="s">
        <v>5533</v>
      </c>
      <c r="G2044" s="12" t="s">
        <v>5534</v>
      </c>
      <c r="H2044" s="9" t="s">
        <v>5535</v>
      </c>
      <c r="I2044" s="10">
        <v>45631</v>
      </c>
    </row>
    <row r="2045" spans="1:9" x14ac:dyDescent="0.15">
      <c r="A2045" s="9">
        <v>2044</v>
      </c>
      <c r="B2045" s="9" t="s">
        <v>9</v>
      </c>
      <c r="C2045" s="9">
        <v>1925</v>
      </c>
      <c r="D2045" s="10">
        <v>45715</v>
      </c>
      <c r="E2045" s="11" t="str">
        <f>+HYPERLINK("http://trademark.i-assist.jp/data/china/image_1925th/82365349.pdf","82365349")</f>
        <v>82365349</v>
      </c>
      <c r="F2045" s="9" t="s">
        <v>5536</v>
      </c>
      <c r="G2045" s="12" t="s">
        <v>5537</v>
      </c>
      <c r="H2045" s="12" t="s">
        <v>5538</v>
      </c>
      <c r="I2045" s="10">
        <v>45631</v>
      </c>
    </row>
    <row r="2046" spans="1:9" x14ac:dyDescent="0.15">
      <c r="A2046" s="9">
        <v>2045</v>
      </c>
      <c r="B2046" s="9" t="s">
        <v>9</v>
      </c>
      <c r="C2046" s="9">
        <v>1925</v>
      </c>
      <c r="D2046" s="10">
        <v>45715</v>
      </c>
      <c r="E2046" s="11" t="str">
        <f>+HYPERLINK("http://trademark.i-assist.jp/data/china/image_1925th/82365531.pdf","82365531")</f>
        <v>82365531</v>
      </c>
      <c r="F2046" s="12" t="s">
        <v>5539</v>
      </c>
      <c r="G2046" s="9" t="s">
        <v>5540</v>
      </c>
      <c r="H2046" s="9" t="s">
        <v>5541</v>
      </c>
      <c r="I2046" s="10">
        <v>45631</v>
      </c>
    </row>
    <row r="2047" spans="1:9" x14ac:dyDescent="0.15">
      <c r="A2047" s="9">
        <v>2046</v>
      </c>
      <c r="B2047" s="9" t="s">
        <v>9</v>
      </c>
      <c r="C2047" s="9">
        <v>1925</v>
      </c>
      <c r="D2047" s="10">
        <v>45715</v>
      </c>
      <c r="E2047" s="11" t="str">
        <f>+HYPERLINK("http://trademark.i-assist.jp/data/china/image_1925th/82365753.pdf","82365753")</f>
        <v>82365753</v>
      </c>
      <c r="F2047" s="9" t="s">
        <v>5542</v>
      </c>
      <c r="G2047" s="9" t="s">
        <v>5543</v>
      </c>
      <c r="H2047" s="9" t="s">
        <v>5544</v>
      </c>
      <c r="I2047" s="10">
        <v>45631</v>
      </c>
    </row>
    <row r="2048" spans="1:9" x14ac:dyDescent="0.15">
      <c r="A2048" s="9">
        <v>2047</v>
      </c>
      <c r="B2048" s="9" t="s">
        <v>9</v>
      </c>
      <c r="C2048" s="9">
        <v>1925</v>
      </c>
      <c r="D2048" s="10">
        <v>45715</v>
      </c>
      <c r="E2048" s="11" t="str">
        <f>+HYPERLINK("http://trademark.i-assist.jp/data/china/image_1925th/82365949.pdf","82365949")</f>
        <v>82365949</v>
      </c>
      <c r="F2048" s="9" t="s">
        <v>5545</v>
      </c>
      <c r="G2048" s="12" t="s">
        <v>5546</v>
      </c>
      <c r="H2048" s="9" t="s">
        <v>5547</v>
      </c>
      <c r="I2048" s="10">
        <v>45631</v>
      </c>
    </row>
    <row r="2049" spans="1:9" x14ac:dyDescent="0.15">
      <c r="A2049" s="9">
        <v>2048</v>
      </c>
      <c r="B2049" s="9" t="s">
        <v>9</v>
      </c>
      <c r="C2049" s="9">
        <v>1925</v>
      </c>
      <c r="D2049" s="10">
        <v>45715</v>
      </c>
      <c r="E2049" s="11" t="str">
        <f>+HYPERLINK("http://trademark.i-assist.jp/data/china/image_1925th/82366042.pdf","82366042")</f>
        <v>82366042</v>
      </c>
      <c r="F2049" s="9" t="s">
        <v>5548</v>
      </c>
      <c r="G2049" s="9" t="s">
        <v>4408</v>
      </c>
      <c r="H2049" s="9" t="s">
        <v>5549</v>
      </c>
      <c r="I2049" s="10">
        <v>45631</v>
      </c>
    </row>
    <row r="2050" spans="1:9" x14ac:dyDescent="0.15">
      <c r="A2050" s="9">
        <v>2049</v>
      </c>
      <c r="B2050" s="9" t="s">
        <v>9</v>
      </c>
      <c r="C2050" s="9">
        <v>1925</v>
      </c>
      <c r="D2050" s="10">
        <v>45715</v>
      </c>
      <c r="E2050" s="11" t="str">
        <f>+HYPERLINK("http://trademark.i-assist.jp/data/china/image_1925th/82366184.pdf","82366184")</f>
        <v>82366184</v>
      </c>
      <c r="F2050" s="9" t="s">
        <v>5550</v>
      </c>
      <c r="G2050" s="9" t="s">
        <v>5551</v>
      </c>
      <c r="H2050" s="9" t="s">
        <v>5552</v>
      </c>
      <c r="I2050" s="10">
        <v>45631</v>
      </c>
    </row>
    <row r="2051" spans="1:9" x14ac:dyDescent="0.15">
      <c r="A2051" s="9">
        <v>2050</v>
      </c>
      <c r="B2051" s="9" t="s">
        <v>9</v>
      </c>
      <c r="C2051" s="9">
        <v>1925</v>
      </c>
      <c r="D2051" s="10">
        <v>45715</v>
      </c>
      <c r="E2051" s="11" t="str">
        <f>+HYPERLINK("http://trademark.i-assist.jp/data/china/image_1925th/82366667.pdf","82366667")</f>
        <v>82366667</v>
      </c>
      <c r="F2051" s="9" t="s">
        <v>5553</v>
      </c>
      <c r="G2051" s="9" t="s">
        <v>5554</v>
      </c>
      <c r="H2051" s="9" t="s">
        <v>5555</v>
      </c>
      <c r="I2051" s="10">
        <v>45631</v>
      </c>
    </row>
    <row r="2052" spans="1:9" x14ac:dyDescent="0.15">
      <c r="A2052" s="9">
        <v>2051</v>
      </c>
      <c r="B2052" s="9" t="s">
        <v>9</v>
      </c>
      <c r="C2052" s="9">
        <v>1925</v>
      </c>
      <c r="D2052" s="10">
        <v>45715</v>
      </c>
      <c r="E2052" s="11" t="str">
        <f>+HYPERLINK("http://trademark.i-assist.jp/data/china/image_1925th/82366672.pdf","82366672")</f>
        <v>82366672</v>
      </c>
      <c r="F2052" s="9" t="s">
        <v>5556</v>
      </c>
      <c r="G2052" s="9" t="s">
        <v>5554</v>
      </c>
      <c r="H2052" s="9" t="s">
        <v>5557</v>
      </c>
      <c r="I2052" s="10">
        <v>45631</v>
      </c>
    </row>
    <row r="2053" spans="1:9" x14ac:dyDescent="0.15">
      <c r="A2053" s="9">
        <v>2052</v>
      </c>
      <c r="B2053" s="9" t="s">
        <v>9</v>
      </c>
      <c r="C2053" s="9">
        <v>1925</v>
      </c>
      <c r="D2053" s="10">
        <v>45715</v>
      </c>
      <c r="E2053" s="11" t="str">
        <f>+HYPERLINK("http://trademark.i-assist.jp/data/china/image_1925th/82366795.pdf","82366795")</f>
        <v>82366795</v>
      </c>
      <c r="F2053" s="12" t="s">
        <v>5558</v>
      </c>
      <c r="G2053" s="12" t="s">
        <v>5559</v>
      </c>
      <c r="H2053" s="9" t="s">
        <v>5560</v>
      </c>
      <c r="I2053" s="10">
        <v>45631</v>
      </c>
    </row>
    <row r="2054" spans="1:9" x14ac:dyDescent="0.15">
      <c r="A2054" s="9">
        <v>2053</v>
      </c>
      <c r="B2054" s="9" t="s">
        <v>9</v>
      </c>
      <c r="C2054" s="9">
        <v>1925</v>
      </c>
      <c r="D2054" s="10">
        <v>45715</v>
      </c>
      <c r="E2054" s="11" t="str">
        <f>+HYPERLINK("http://trademark.i-assist.jp/data/china/image_1925th/82367213.pdf","82367213")</f>
        <v>82367213</v>
      </c>
      <c r="F2054" s="9" t="s">
        <v>5561</v>
      </c>
      <c r="G2054" s="9" t="s">
        <v>5562</v>
      </c>
      <c r="H2054" s="9" t="s">
        <v>5563</v>
      </c>
      <c r="I2054" s="10">
        <v>45631</v>
      </c>
    </row>
    <row r="2055" spans="1:9" x14ac:dyDescent="0.15">
      <c r="A2055" s="9">
        <v>2054</v>
      </c>
      <c r="B2055" s="9" t="s">
        <v>9</v>
      </c>
      <c r="C2055" s="9">
        <v>1925</v>
      </c>
      <c r="D2055" s="10">
        <v>45715</v>
      </c>
      <c r="E2055" s="11" t="str">
        <f>+HYPERLINK("http://trademark.i-assist.jp/data/china/image_1925th/82368396.pdf","82368396")</f>
        <v>82368396</v>
      </c>
      <c r="F2055" s="9" t="s">
        <v>5564</v>
      </c>
      <c r="G2055" s="12" t="s">
        <v>5565</v>
      </c>
      <c r="H2055" s="9" t="s">
        <v>5566</v>
      </c>
      <c r="I2055" s="10">
        <v>45631</v>
      </c>
    </row>
    <row r="2056" spans="1:9" x14ac:dyDescent="0.15">
      <c r="A2056" s="9">
        <v>2055</v>
      </c>
      <c r="B2056" s="9" t="s">
        <v>9</v>
      </c>
      <c r="C2056" s="9">
        <v>1925</v>
      </c>
      <c r="D2056" s="10">
        <v>45715</v>
      </c>
      <c r="E2056" s="11" t="str">
        <f>+HYPERLINK("http://trademark.i-assist.jp/data/china/image_1925th/82368533.pdf","82368533")</f>
        <v>82368533</v>
      </c>
      <c r="F2056" s="9" t="s">
        <v>5567</v>
      </c>
      <c r="G2056" s="9" t="s">
        <v>5543</v>
      </c>
      <c r="H2056" s="9" t="s">
        <v>5568</v>
      </c>
      <c r="I2056" s="10">
        <v>45631</v>
      </c>
    </row>
    <row r="2057" spans="1:9" x14ac:dyDescent="0.15">
      <c r="A2057" s="9">
        <v>2056</v>
      </c>
      <c r="B2057" s="9" t="s">
        <v>9</v>
      </c>
      <c r="C2057" s="9">
        <v>1925</v>
      </c>
      <c r="D2057" s="10">
        <v>45715</v>
      </c>
      <c r="E2057" s="11" t="str">
        <f>+HYPERLINK("http://trademark.i-assist.jp/data/china/image_1925th/82369474.pdf","82369474")</f>
        <v>82369474</v>
      </c>
      <c r="F2057" s="9" t="s">
        <v>5569</v>
      </c>
      <c r="G2057" s="9" t="s">
        <v>5531</v>
      </c>
      <c r="H2057" s="9" t="s">
        <v>5570</v>
      </c>
      <c r="I2057" s="10">
        <v>45631</v>
      </c>
    </row>
    <row r="2058" spans="1:9" x14ac:dyDescent="0.15">
      <c r="A2058" s="9">
        <v>2057</v>
      </c>
      <c r="B2058" s="9" t="s">
        <v>9</v>
      </c>
      <c r="C2058" s="9">
        <v>1925</v>
      </c>
      <c r="D2058" s="10">
        <v>45715</v>
      </c>
      <c r="E2058" s="11" t="str">
        <f>+HYPERLINK("http://trademark.i-assist.jp/data/china/image_1925th/82369721.pdf","82369721")</f>
        <v>82369721</v>
      </c>
      <c r="F2058" s="9" t="s">
        <v>5571</v>
      </c>
      <c r="G2058" s="9" t="s">
        <v>5572</v>
      </c>
      <c r="H2058" s="9" t="s">
        <v>5573</v>
      </c>
      <c r="I2058" s="10">
        <v>45631</v>
      </c>
    </row>
    <row r="2059" spans="1:9" x14ac:dyDescent="0.15">
      <c r="A2059" s="9">
        <v>2058</v>
      </c>
      <c r="B2059" s="9" t="s">
        <v>9</v>
      </c>
      <c r="C2059" s="9">
        <v>1925</v>
      </c>
      <c r="D2059" s="10">
        <v>45715</v>
      </c>
      <c r="E2059" s="11" t="str">
        <f>+HYPERLINK("http://trademark.i-assist.jp/data/china/image_1925th/82369755.pdf","82369755")</f>
        <v>82369755</v>
      </c>
      <c r="F2059" s="9" t="s">
        <v>5574</v>
      </c>
      <c r="G2059" s="9" t="s">
        <v>5572</v>
      </c>
      <c r="H2059" s="9" t="s">
        <v>5575</v>
      </c>
      <c r="I2059" s="10">
        <v>45631</v>
      </c>
    </row>
    <row r="2060" spans="1:9" x14ac:dyDescent="0.15">
      <c r="A2060" s="9">
        <v>2059</v>
      </c>
      <c r="B2060" s="9" t="s">
        <v>9</v>
      </c>
      <c r="C2060" s="9">
        <v>1925</v>
      </c>
      <c r="D2060" s="10">
        <v>45715</v>
      </c>
      <c r="E2060" s="11" t="str">
        <f>+HYPERLINK("http://trademark.i-assist.jp/data/china/image_1925th/82369985.pdf","82369985")</f>
        <v>82369985</v>
      </c>
      <c r="F2060" s="9" t="s">
        <v>5576</v>
      </c>
      <c r="G2060" s="9" t="s">
        <v>5577</v>
      </c>
      <c r="H2060" s="9" t="s">
        <v>5578</v>
      </c>
      <c r="I2060" s="10">
        <v>45631</v>
      </c>
    </row>
    <row r="2061" spans="1:9" x14ac:dyDescent="0.15">
      <c r="A2061" s="9">
        <v>2060</v>
      </c>
      <c r="B2061" s="9" t="s">
        <v>9</v>
      </c>
      <c r="C2061" s="9">
        <v>1925</v>
      </c>
      <c r="D2061" s="10">
        <v>45715</v>
      </c>
      <c r="E2061" s="11" t="str">
        <f>+HYPERLINK("http://trademark.i-assist.jp/data/china/image_1925th/82370202.pdf","82370202")</f>
        <v>82370202</v>
      </c>
      <c r="F2061" s="12" t="s">
        <v>5579</v>
      </c>
      <c r="G2061" s="12" t="s">
        <v>5559</v>
      </c>
      <c r="H2061" s="9" t="s">
        <v>5580</v>
      </c>
      <c r="I2061" s="10">
        <v>45631</v>
      </c>
    </row>
    <row r="2062" spans="1:9" x14ac:dyDescent="0.15">
      <c r="A2062" s="9">
        <v>2061</v>
      </c>
      <c r="B2062" s="9" t="s">
        <v>9</v>
      </c>
      <c r="C2062" s="9">
        <v>1925</v>
      </c>
      <c r="D2062" s="10">
        <v>45715</v>
      </c>
      <c r="E2062" s="11" t="str">
        <f>+HYPERLINK("http://trademark.i-assist.jp/data/china/image_1925th/82370713.pdf","82370713")</f>
        <v>82370713</v>
      </c>
      <c r="F2062" s="9" t="s">
        <v>5581</v>
      </c>
      <c r="G2062" s="12" t="s">
        <v>2962</v>
      </c>
      <c r="H2062" s="9" t="s">
        <v>5582</v>
      </c>
      <c r="I2062" s="10">
        <v>45631</v>
      </c>
    </row>
    <row r="2063" spans="1:9" x14ac:dyDescent="0.15">
      <c r="A2063" s="9">
        <v>2062</v>
      </c>
      <c r="B2063" s="9" t="s">
        <v>9</v>
      </c>
      <c r="C2063" s="9">
        <v>1925</v>
      </c>
      <c r="D2063" s="10">
        <v>45715</v>
      </c>
      <c r="E2063" s="11" t="str">
        <f>+HYPERLINK("http://trademark.i-assist.jp/data/china/image_1925th/82371003.pdf","82371003")</f>
        <v>82371003</v>
      </c>
      <c r="F2063" s="9" t="s">
        <v>5583</v>
      </c>
      <c r="G2063" s="9" t="s">
        <v>5584</v>
      </c>
      <c r="H2063" s="9" t="s">
        <v>5585</v>
      </c>
      <c r="I2063" s="10">
        <v>45631</v>
      </c>
    </row>
    <row r="2064" spans="1:9" x14ac:dyDescent="0.15">
      <c r="A2064" s="9">
        <v>2063</v>
      </c>
      <c r="B2064" s="9" t="s">
        <v>9</v>
      </c>
      <c r="C2064" s="9">
        <v>1925</v>
      </c>
      <c r="D2064" s="10">
        <v>45715</v>
      </c>
      <c r="E2064" s="11" t="str">
        <f>+HYPERLINK("http://trademark.i-assist.jp/data/china/image_1925th/82371090.pdf","82371090")</f>
        <v>82371090</v>
      </c>
      <c r="F2064" s="9" t="s">
        <v>5586</v>
      </c>
      <c r="G2064" s="12" t="s">
        <v>5587</v>
      </c>
      <c r="H2064" s="9" t="s">
        <v>5588</v>
      </c>
      <c r="I2064" s="10">
        <v>45631</v>
      </c>
    </row>
    <row r="2065" spans="1:9" x14ac:dyDescent="0.15">
      <c r="A2065" s="9">
        <v>2064</v>
      </c>
      <c r="B2065" s="9" t="s">
        <v>9</v>
      </c>
      <c r="C2065" s="9">
        <v>1925</v>
      </c>
      <c r="D2065" s="10">
        <v>45715</v>
      </c>
      <c r="E2065" s="11" t="str">
        <f>+HYPERLINK("http://trademark.i-assist.jp/data/china/image_1925th/82372553.pdf","82372553")</f>
        <v>82372553</v>
      </c>
      <c r="F2065" s="9" t="s">
        <v>5589</v>
      </c>
      <c r="G2065" s="9" t="s">
        <v>5590</v>
      </c>
      <c r="H2065" s="9" t="s">
        <v>5591</v>
      </c>
      <c r="I2065" s="10">
        <v>45631</v>
      </c>
    </row>
    <row r="2066" spans="1:9" x14ac:dyDescent="0.15">
      <c r="A2066" s="9">
        <v>2065</v>
      </c>
      <c r="B2066" s="9" t="s">
        <v>9</v>
      </c>
      <c r="C2066" s="9">
        <v>1925</v>
      </c>
      <c r="D2066" s="10">
        <v>45715</v>
      </c>
      <c r="E2066" s="11" t="str">
        <f>+HYPERLINK("http://trademark.i-assist.jp/data/china/image_1925th/82372593.pdf","82372593")</f>
        <v>82372593</v>
      </c>
      <c r="F2066" s="9" t="s">
        <v>5592</v>
      </c>
      <c r="G2066" s="12" t="s">
        <v>5593</v>
      </c>
      <c r="H2066" s="9" t="s">
        <v>5594</v>
      </c>
      <c r="I2066" s="10">
        <v>45631</v>
      </c>
    </row>
    <row r="2067" spans="1:9" x14ac:dyDescent="0.15">
      <c r="A2067" s="9">
        <v>2066</v>
      </c>
      <c r="B2067" s="9" t="s">
        <v>9</v>
      </c>
      <c r="C2067" s="9">
        <v>1925</v>
      </c>
      <c r="D2067" s="10">
        <v>45715</v>
      </c>
      <c r="E2067" s="11" t="str">
        <f>+HYPERLINK("http://trademark.i-assist.jp/data/china/image_1925th/82373372.pdf","82373372")</f>
        <v>82373372</v>
      </c>
      <c r="F2067" s="9" t="s">
        <v>5595</v>
      </c>
      <c r="G2067" s="9" t="s">
        <v>5596</v>
      </c>
      <c r="H2067" s="9" t="s">
        <v>5597</v>
      </c>
      <c r="I2067" s="10">
        <v>45631</v>
      </c>
    </row>
    <row r="2068" spans="1:9" x14ac:dyDescent="0.15">
      <c r="A2068" s="9">
        <v>2067</v>
      </c>
      <c r="B2068" s="9" t="s">
        <v>9</v>
      </c>
      <c r="C2068" s="9">
        <v>1925</v>
      </c>
      <c r="D2068" s="10">
        <v>45715</v>
      </c>
      <c r="E2068" s="11" t="str">
        <f>+HYPERLINK("http://trademark.i-assist.jp/data/china/image_1925th/82374690.pdf","82374690")</f>
        <v>82374690</v>
      </c>
      <c r="F2068" s="12" t="s">
        <v>5598</v>
      </c>
      <c r="G2068" s="9" t="s">
        <v>5599</v>
      </c>
      <c r="H2068" s="9" t="s">
        <v>5600</v>
      </c>
      <c r="I2068" s="10">
        <v>45631</v>
      </c>
    </row>
    <row r="2069" spans="1:9" x14ac:dyDescent="0.15">
      <c r="A2069" s="9">
        <v>2068</v>
      </c>
      <c r="B2069" s="9" t="s">
        <v>9</v>
      </c>
      <c r="C2069" s="9">
        <v>1925</v>
      </c>
      <c r="D2069" s="10">
        <v>45715</v>
      </c>
      <c r="E2069" s="11" t="str">
        <f>+HYPERLINK("http://trademark.i-assist.jp/data/china/image_1925th/82374744.pdf","82374744")</f>
        <v>82374744</v>
      </c>
      <c r="F2069" s="9" t="s">
        <v>5601</v>
      </c>
      <c r="G2069" s="9" t="s">
        <v>5602</v>
      </c>
      <c r="H2069" s="9" t="s">
        <v>5603</v>
      </c>
      <c r="I2069" s="10">
        <v>45631</v>
      </c>
    </row>
    <row r="2070" spans="1:9" x14ac:dyDescent="0.15">
      <c r="A2070" s="9">
        <v>2069</v>
      </c>
      <c r="B2070" s="9" t="s">
        <v>9</v>
      </c>
      <c r="C2070" s="9">
        <v>1925</v>
      </c>
      <c r="D2070" s="10">
        <v>45715</v>
      </c>
      <c r="E2070" s="11" t="str">
        <f>+HYPERLINK("http://trademark.i-assist.jp/data/china/image_1925th/82374836.pdf","82374836")</f>
        <v>82374836</v>
      </c>
      <c r="F2070" s="9" t="s">
        <v>5604</v>
      </c>
      <c r="G2070" s="9" t="s">
        <v>5605</v>
      </c>
      <c r="H2070" s="9" t="s">
        <v>5606</v>
      </c>
      <c r="I2070" s="10">
        <v>45631</v>
      </c>
    </row>
    <row r="2071" spans="1:9" x14ac:dyDescent="0.15">
      <c r="A2071" s="9">
        <v>2070</v>
      </c>
      <c r="B2071" s="9" t="s">
        <v>9</v>
      </c>
      <c r="C2071" s="9">
        <v>1925</v>
      </c>
      <c r="D2071" s="10">
        <v>45715</v>
      </c>
      <c r="E2071" s="11" t="str">
        <f>+HYPERLINK("http://trademark.i-assist.jp/data/china/image_1925th/82375610.pdf","82375610")</f>
        <v>82375610</v>
      </c>
      <c r="F2071" s="12" t="s">
        <v>5607</v>
      </c>
      <c r="G2071" s="12" t="s">
        <v>5559</v>
      </c>
      <c r="H2071" s="9" t="s">
        <v>5608</v>
      </c>
      <c r="I2071" s="10">
        <v>45631</v>
      </c>
    </row>
    <row r="2072" spans="1:9" x14ac:dyDescent="0.15">
      <c r="A2072" s="9">
        <v>2071</v>
      </c>
      <c r="B2072" s="9" t="s">
        <v>9</v>
      </c>
      <c r="C2072" s="9">
        <v>1925</v>
      </c>
      <c r="D2072" s="10">
        <v>45715</v>
      </c>
      <c r="E2072" s="11" t="str">
        <f>+HYPERLINK("http://trademark.i-assist.jp/data/china/image_1925th/82375624.pdf","82375624")</f>
        <v>82375624</v>
      </c>
      <c r="F2072" s="12" t="s">
        <v>5609</v>
      </c>
      <c r="G2072" s="9" t="s">
        <v>4408</v>
      </c>
      <c r="H2072" s="12" t="s">
        <v>5610</v>
      </c>
      <c r="I2072" s="10">
        <v>45631</v>
      </c>
    </row>
    <row r="2073" spans="1:9" x14ac:dyDescent="0.15">
      <c r="A2073" s="9">
        <v>2072</v>
      </c>
      <c r="B2073" s="9" t="s">
        <v>9</v>
      </c>
      <c r="C2073" s="9">
        <v>1925</v>
      </c>
      <c r="D2073" s="10">
        <v>45715</v>
      </c>
      <c r="E2073" s="11" t="str">
        <f>+HYPERLINK("http://trademark.i-assist.jp/data/china/image_1925th/82376666.pdf","82376666")</f>
        <v>82376666</v>
      </c>
      <c r="F2073" s="9" t="s">
        <v>5611</v>
      </c>
      <c r="G2073" s="12" t="s">
        <v>5612</v>
      </c>
      <c r="H2073" s="9" t="s">
        <v>5613</v>
      </c>
      <c r="I2073" s="10">
        <v>45631</v>
      </c>
    </row>
    <row r="2074" spans="1:9" x14ac:dyDescent="0.15">
      <c r="A2074" s="9">
        <v>2073</v>
      </c>
      <c r="B2074" s="9" t="s">
        <v>9</v>
      </c>
      <c r="C2074" s="9">
        <v>1925</v>
      </c>
      <c r="D2074" s="10">
        <v>45715</v>
      </c>
      <c r="E2074" s="11" t="str">
        <f>+HYPERLINK("http://trademark.i-assist.jp/data/china/image_1925th/82376806.pdf","82376806")</f>
        <v>82376806</v>
      </c>
      <c r="F2074" s="9" t="s">
        <v>5614</v>
      </c>
      <c r="G2074" s="9" t="s">
        <v>5615</v>
      </c>
      <c r="H2074" s="9" t="s">
        <v>5616</v>
      </c>
      <c r="I2074" s="10">
        <v>45631</v>
      </c>
    </row>
    <row r="2075" spans="1:9" x14ac:dyDescent="0.15">
      <c r="A2075" s="9">
        <v>2074</v>
      </c>
      <c r="B2075" s="9" t="s">
        <v>9</v>
      </c>
      <c r="C2075" s="9">
        <v>1925</v>
      </c>
      <c r="D2075" s="10">
        <v>45715</v>
      </c>
      <c r="E2075" s="11" t="str">
        <f>+HYPERLINK("http://trademark.i-assist.jp/data/china/image_1925th/82377144.pdf","82377144")</f>
        <v>82377144</v>
      </c>
      <c r="F2075" s="9" t="s">
        <v>5617</v>
      </c>
      <c r="G2075" s="9" t="s">
        <v>4408</v>
      </c>
      <c r="H2075" s="9" t="s">
        <v>5618</v>
      </c>
      <c r="I2075" s="10">
        <v>45631</v>
      </c>
    </row>
    <row r="2076" spans="1:9" x14ac:dyDescent="0.15">
      <c r="A2076" s="9">
        <v>2075</v>
      </c>
      <c r="B2076" s="9" t="s">
        <v>9</v>
      </c>
      <c r="C2076" s="9">
        <v>1925</v>
      </c>
      <c r="D2076" s="10">
        <v>45715</v>
      </c>
      <c r="E2076" s="11" t="str">
        <f>+HYPERLINK("http://trademark.i-assist.jp/data/china/image_1925th/82377424.pdf","82377424")</f>
        <v>82377424</v>
      </c>
      <c r="F2076" s="12" t="s">
        <v>57</v>
      </c>
      <c r="G2076" s="9" t="s">
        <v>5619</v>
      </c>
      <c r="H2076" s="9" t="s">
        <v>5620</v>
      </c>
      <c r="I2076" s="10">
        <v>45631</v>
      </c>
    </row>
    <row r="2077" spans="1:9" x14ac:dyDescent="0.15">
      <c r="A2077" s="9">
        <v>2076</v>
      </c>
      <c r="B2077" s="9" t="s">
        <v>9</v>
      </c>
      <c r="C2077" s="9">
        <v>1925</v>
      </c>
      <c r="D2077" s="10">
        <v>45715</v>
      </c>
      <c r="E2077" s="11" t="str">
        <f>+HYPERLINK("http://trademark.i-assist.jp/data/china/image_1925th/82379023.pdf","82379023")</f>
        <v>82379023</v>
      </c>
      <c r="F2077" s="9" t="s">
        <v>5621</v>
      </c>
      <c r="G2077" s="12" t="s">
        <v>5622</v>
      </c>
      <c r="H2077" s="9" t="s">
        <v>5623</v>
      </c>
      <c r="I2077" s="10">
        <v>45631</v>
      </c>
    </row>
    <row r="2078" spans="1:9" x14ac:dyDescent="0.15">
      <c r="A2078" s="9">
        <v>2077</v>
      </c>
      <c r="B2078" s="9" t="s">
        <v>9</v>
      </c>
      <c r="C2078" s="9">
        <v>1925</v>
      </c>
      <c r="D2078" s="10">
        <v>45715</v>
      </c>
      <c r="E2078" s="11" t="str">
        <f>+HYPERLINK("http://trademark.i-assist.jp/data/china/image_1925th/82380252.pdf","82380252")</f>
        <v>82380252</v>
      </c>
      <c r="F2078" s="9" t="s">
        <v>5624</v>
      </c>
      <c r="G2078" s="9" t="s">
        <v>5625</v>
      </c>
      <c r="H2078" s="9" t="s">
        <v>5626</v>
      </c>
      <c r="I2078" s="10">
        <v>45631</v>
      </c>
    </row>
    <row r="2079" spans="1:9" x14ac:dyDescent="0.15">
      <c r="A2079" s="9">
        <v>2078</v>
      </c>
      <c r="B2079" s="9" t="s">
        <v>9</v>
      </c>
      <c r="C2079" s="9">
        <v>1925</v>
      </c>
      <c r="D2079" s="10">
        <v>45715</v>
      </c>
      <c r="E2079" s="11" t="str">
        <f>+HYPERLINK("http://trademark.i-assist.jp/data/china/image_1925th/82380483.pdf","82380483")</f>
        <v>82380483</v>
      </c>
      <c r="F2079" s="9" t="s">
        <v>5627</v>
      </c>
      <c r="G2079" s="12" t="s">
        <v>5628</v>
      </c>
      <c r="H2079" s="9" t="s">
        <v>5629</v>
      </c>
      <c r="I2079" s="10">
        <v>45631</v>
      </c>
    </row>
    <row r="2080" spans="1:9" x14ac:dyDescent="0.15">
      <c r="A2080" s="9">
        <v>2079</v>
      </c>
      <c r="B2080" s="9" t="s">
        <v>9</v>
      </c>
      <c r="C2080" s="9">
        <v>1925</v>
      </c>
      <c r="D2080" s="10">
        <v>45715</v>
      </c>
      <c r="E2080" s="11" t="str">
        <f>+HYPERLINK("http://trademark.i-assist.jp/data/china/image_1925th/82380711.pdf","82380711")</f>
        <v>82380711</v>
      </c>
      <c r="F2080" s="12" t="s">
        <v>57</v>
      </c>
      <c r="G2080" s="9" t="s">
        <v>5630</v>
      </c>
      <c r="H2080" s="9" t="s">
        <v>5631</v>
      </c>
      <c r="I2080" s="10">
        <v>45631</v>
      </c>
    </row>
    <row r="2081" spans="1:9" x14ac:dyDescent="0.15">
      <c r="A2081" s="9">
        <v>2080</v>
      </c>
      <c r="B2081" s="9" t="s">
        <v>9</v>
      </c>
      <c r="C2081" s="9">
        <v>1925</v>
      </c>
      <c r="D2081" s="10">
        <v>45715</v>
      </c>
      <c r="E2081" s="11" t="str">
        <f>+HYPERLINK("http://trademark.i-assist.jp/data/china/image_1925th/82382329.pdf","82382329")</f>
        <v>82382329</v>
      </c>
      <c r="F2081" s="9" t="s">
        <v>5632</v>
      </c>
      <c r="G2081" s="9" t="s">
        <v>5633</v>
      </c>
      <c r="H2081" s="9" t="s">
        <v>5634</v>
      </c>
      <c r="I2081" s="10">
        <v>45631</v>
      </c>
    </row>
    <row r="2082" spans="1:9" x14ac:dyDescent="0.15">
      <c r="A2082" s="9">
        <v>2081</v>
      </c>
      <c r="B2082" s="9" t="s">
        <v>9</v>
      </c>
      <c r="C2082" s="9">
        <v>1925</v>
      </c>
      <c r="D2082" s="10">
        <v>45715</v>
      </c>
      <c r="E2082" s="11" t="str">
        <f>+HYPERLINK("http://trademark.i-assist.jp/data/china/image_1925th/82383954.pdf","82383954")</f>
        <v>82383954</v>
      </c>
      <c r="F2082" s="9" t="s">
        <v>5635</v>
      </c>
      <c r="G2082" s="12" t="s">
        <v>5636</v>
      </c>
      <c r="H2082" s="9" t="s">
        <v>5637</v>
      </c>
      <c r="I2082" s="10">
        <v>45631</v>
      </c>
    </row>
    <row r="2083" spans="1:9" x14ac:dyDescent="0.15">
      <c r="A2083" s="9">
        <v>2082</v>
      </c>
      <c r="B2083" s="9" t="s">
        <v>9</v>
      </c>
      <c r="C2083" s="9">
        <v>1925</v>
      </c>
      <c r="D2083" s="10">
        <v>45715</v>
      </c>
      <c r="E2083" s="11" t="str">
        <f>+HYPERLINK("http://trademark.i-assist.jp/data/china/image_1925th/82384608.pdf","82384608")</f>
        <v>82384608</v>
      </c>
      <c r="F2083" s="9" t="s">
        <v>5638</v>
      </c>
      <c r="G2083" s="9" t="s">
        <v>5639</v>
      </c>
      <c r="H2083" s="9" t="s">
        <v>5640</v>
      </c>
      <c r="I2083" s="10">
        <v>45631</v>
      </c>
    </row>
    <row r="2084" spans="1:9" x14ac:dyDescent="0.15">
      <c r="A2084" s="9">
        <v>2083</v>
      </c>
      <c r="B2084" s="9" t="s">
        <v>9</v>
      </c>
      <c r="C2084" s="9">
        <v>1925</v>
      </c>
      <c r="D2084" s="10">
        <v>45715</v>
      </c>
      <c r="E2084" s="11" t="str">
        <f>+HYPERLINK("http://trademark.i-assist.jp/data/china/image_1925th/82385207.pdf","82385207")</f>
        <v>82385207</v>
      </c>
      <c r="F2084" s="9" t="s">
        <v>5641</v>
      </c>
      <c r="G2084" s="9" t="s">
        <v>5642</v>
      </c>
      <c r="H2084" s="12" t="s">
        <v>5643</v>
      </c>
      <c r="I2084" s="10">
        <v>45631</v>
      </c>
    </row>
    <row r="2085" spans="1:9" x14ac:dyDescent="0.15">
      <c r="A2085" s="9">
        <v>2084</v>
      </c>
      <c r="B2085" s="9" t="s">
        <v>9</v>
      </c>
      <c r="C2085" s="9">
        <v>1925</v>
      </c>
      <c r="D2085" s="10">
        <v>45715</v>
      </c>
      <c r="E2085" s="11" t="str">
        <f>+HYPERLINK("http://trademark.i-assist.jp/data/china/image_1925th/82386952.pdf","82386952")</f>
        <v>82386952</v>
      </c>
      <c r="F2085" s="9" t="s">
        <v>5644</v>
      </c>
      <c r="G2085" s="12" t="s">
        <v>5645</v>
      </c>
      <c r="H2085" s="9" t="s">
        <v>5646</v>
      </c>
      <c r="I2085" s="10">
        <v>45631</v>
      </c>
    </row>
    <row r="2086" spans="1:9" x14ac:dyDescent="0.15">
      <c r="A2086" s="9">
        <v>2085</v>
      </c>
      <c r="B2086" s="9" t="s">
        <v>9</v>
      </c>
      <c r="C2086" s="9">
        <v>1925</v>
      </c>
      <c r="D2086" s="10">
        <v>45715</v>
      </c>
      <c r="E2086" s="11" t="str">
        <f>+HYPERLINK("http://trademark.i-assist.jp/data/china/image_1925th/82387505.pdf","82387505")</f>
        <v>82387505</v>
      </c>
      <c r="F2086" s="12" t="s">
        <v>5647</v>
      </c>
      <c r="G2086" s="9" t="s">
        <v>5648</v>
      </c>
      <c r="H2086" s="9" t="s">
        <v>5649</v>
      </c>
      <c r="I2086" s="10">
        <v>45631</v>
      </c>
    </row>
    <row r="2087" spans="1:9" x14ac:dyDescent="0.15">
      <c r="A2087" s="9">
        <v>2086</v>
      </c>
      <c r="B2087" s="9" t="s">
        <v>9</v>
      </c>
      <c r="C2087" s="9">
        <v>1925</v>
      </c>
      <c r="D2087" s="10">
        <v>45715</v>
      </c>
      <c r="E2087" s="11" t="str">
        <f>+HYPERLINK("http://trademark.i-assist.jp/data/china/image_1925th/82387651.pdf","82387651")</f>
        <v>82387651</v>
      </c>
      <c r="F2087" s="9" t="s">
        <v>5650</v>
      </c>
      <c r="G2087" s="9" t="s">
        <v>5554</v>
      </c>
      <c r="H2087" s="9" t="s">
        <v>5651</v>
      </c>
      <c r="I2087" s="10">
        <v>45631</v>
      </c>
    </row>
    <row r="2088" spans="1:9" x14ac:dyDescent="0.15">
      <c r="A2088" s="9">
        <v>2087</v>
      </c>
      <c r="B2088" s="9" t="s">
        <v>9</v>
      </c>
      <c r="C2088" s="9">
        <v>1925</v>
      </c>
      <c r="D2088" s="10">
        <v>45715</v>
      </c>
      <c r="E2088" s="11" t="str">
        <f>+HYPERLINK("http://trademark.i-assist.jp/data/china/image_1925th/82388036.pdf","82388036")</f>
        <v>82388036</v>
      </c>
      <c r="F2088" s="12" t="s">
        <v>57</v>
      </c>
      <c r="G2088" s="9" t="s">
        <v>5652</v>
      </c>
      <c r="H2088" s="9" t="s">
        <v>5653</v>
      </c>
      <c r="I2088" s="10">
        <v>45632</v>
      </c>
    </row>
    <row r="2089" spans="1:9" x14ac:dyDescent="0.15">
      <c r="A2089" s="9">
        <v>2088</v>
      </c>
      <c r="B2089" s="9" t="s">
        <v>9</v>
      </c>
      <c r="C2089" s="9">
        <v>1925</v>
      </c>
      <c r="D2089" s="10">
        <v>45715</v>
      </c>
      <c r="E2089" s="11" t="str">
        <f>+HYPERLINK("http://trademark.i-assist.jp/data/china/image_1925th/82388084.pdf","82388084")</f>
        <v>82388084</v>
      </c>
      <c r="F2089" s="9" t="s">
        <v>5654</v>
      </c>
      <c r="G2089" s="12" t="s">
        <v>5655</v>
      </c>
      <c r="H2089" s="9" t="s">
        <v>5656</v>
      </c>
      <c r="I2089" s="10">
        <v>45632</v>
      </c>
    </row>
    <row r="2090" spans="1:9" x14ac:dyDescent="0.15">
      <c r="A2090" s="9">
        <v>2089</v>
      </c>
      <c r="B2090" s="9" t="s">
        <v>9</v>
      </c>
      <c r="C2090" s="9">
        <v>1925</v>
      </c>
      <c r="D2090" s="10">
        <v>45715</v>
      </c>
      <c r="E2090" s="11" t="str">
        <f>+HYPERLINK("http://trademark.i-assist.jp/data/china/image_1925th/82389194.pdf","82389194")</f>
        <v>82389194</v>
      </c>
      <c r="F2090" s="9" t="s">
        <v>5657</v>
      </c>
      <c r="G2090" s="12" t="s">
        <v>5658</v>
      </c>
      <c r="H2090" s="9" t="s">
        <v>5659</v>
      </c>
      <c r="I2090" s="10">
        <v>45632</v>
      </c>
    </row>
    <row r="2091" spans="1:9" x14ac:dyDescent="0.15">
      <c r="A2091" s="9">
        <v>2090</v>
      </c>
      <c r="B2091" s="9" t="s">
        <v>9</v>
      </c>
      <c r="C2091" s="9">
        <v>1925</v>
      </c>
      <c r="D2091" s="10">
        <v>45715</v>
      </c>
      <c r="E2091" s="11" t="str">
        <f>+HYPERLINK("http://trademark.i-assist.jp/data/china/image_1925th/82389613.pdf","82389613")</f>
        <v>82389613</v>
      </c>
      <c r="F2091" s="12" t="s">
        <v>5660</v>
      </c>
      <c r="G2091" s="9" t="s">
        <v>5661</v>
      </c>
      <c r="H2091" s="12" t="s">
        <v>5662</v>
      </c>
      <c r="I2091" s="10">
        <v>45632</v>
      </c>
    </row>
    <row r="2092" spans="1:9" x14ac:dyDescent="0.15">
      <c r="A2092" s="9">
        <v>2091</v>
      </c>
      <c r="B2092" s="9" t="s">
        <v>9</v>
      </c>
      <c r="C2092" s="9">
        <v>1925</v>
      </c>
      <c r="D2092" s="10">
        <v>45715</v>
      </c>
      <c r="E2092" s="11" t="str">
        <f>+HYPERLINK("http://trademark.i-assist.jp/data/china/image_1925th/82391036.pdf","82391036")</f>
        <v>82391036</v>
      </c>
      <c r="F2092" s="9" t="s">
        <v>5663</v>
      </c>
      <c r="G2092" s="9" t="s">
        <v>5664</v>
      </c>
      <c r="H2092" s="9" t="s">
        <v>5665</v>
      </c>
      <c r="I2092" s="10">
        <v>45632</v>
      </c>
    </row>
    <row r="2093" spans="1:9" x14ac:dyDescent="0.15">
      <c r="A2093" s="9">
        <v>2092</v>
      </c>
      <c r="B2093" s="9" t="s">
        <v>9</v>
      </c>
      <c r="C2093" s="9">
        <v>1925</v>
      </c>
      <c r="D2093" s="10">
        <v>45715</v>
      </c>
      <c r="E2093" s="11" t="str">
        <f>+HYPERLINK("http://trademark.i-assist.jp/data/china/image_1925th/82391042.pdf","82391042")</f>
        <v>82391042</v>
      </c>
      <c r="F2093" s="12" t="s">
        <v>57</v>
      </c>
      <c r="G2093" s="9" t="s">
        <v>5666</v>
      </c>
      <c r="H2093" s="12" t="s">
        <v>5667</v>
      </c>
      <c r="I2093" s="10">
        <v>45632</v>
      </c>
    </row>
    <row r="2094" spans="1:9" x14ac:dyDescent="0.15">
      <c r="A2094" s="9">
        <v>2093</v>
      </c>
      <c r="B2094" s="9" t="s">
        <v>9</v>
      </c>
      <c r="C2094" s="9">
        <v>1925</v>
      </c>
      <c r="D2094" s="10">
        <v>45715</v>
      </c>
      <c r="E2094" s="11" t="str">
        <f>+HYPERLINK("http://trademark.i-assist.jp/data/china/image_1925th/82391062.pdf","82391062")</f>
        <v>82391062</v>
      </c>
      <c r="F2094" s="9" t="s">
        <v>5668</v>
      </c>
      <c r="G2094" s="12" t="s">
        <v>5669</v>
      </c>
      <c r="H2094" s="9" t="s">
        <v>5670</v>
      </c>
      <c r="I2094" s="10">
        <v>45632</v>
      </c>
    </row>
    <row r="2095" spans="1:9" x14ac:dyDescent="0.15">
      <c r="A2095" s="9">
        <v>2094</v>
      </c>
      <c r="B2095" s="9" t="s">
        <v>9</v>
      </c>
      <c r="C2095" s="9">
        <v>1925</v>
      </c>
      <c r="D2095" s="10">
        <v>45715</v>
      </c>
      <c r="E2095" s="11" t="str">
        <f>+HYPERLINK("http://trademark.i-assist.jp/data/china/image_1925th/82391138.pdf","82391138")</f>
        <v>82391138</v>
      </c>
      <c r="F2095" s="9" t="s">
        <v>5671</v>
      </c>
      <c r="G2095" s="9" t="s">
        <v>5672</v>
      </c>
      <c r="H2095" s="9" t="s">
        <v>5673</v>
      </c>
      <c r="I2095" s="10">
        <v>45632</v>
      </c>
    </row>
    <row r="2096" spans="1:9" x14ac:dyDescent="0.15">
      <c r="A2096" s="9">
        <v>2095</v>
      </c>
      <c r="B2096" s="9" t="s">
        <v>9</v>
      </c>
      <c r="C2096" s="9">
        <v>1925</v>
      </c>
      <c r="D2096" s="10">
        <v>45715</v>
      </c>
      <c r="E2096" s="11" t="str">
        <f>+HYPERLINK("http://trademark.i-assist.jp/data/china/image_1925th/82391205.pdf","82391205")</f>
        <v>82391205</v>
      </c>
      <c r="F2096" s="12" t="s">
        <v>5674</v>
      </c>
      <c r="G2096" s="12" t="s">
        <v>5675</v>
      </c>
      <c r="H2096" s="9" t="s">
        <v>5676</v>
      </c>
      <c r="I2096" s="10">
        <v>45632</v>
      </c>
    </row>
    <row r="2097" spans="1:9" x14ac:dyDescent="0.15">
      <c r="A2097" s="9">
        <v>2096</v>
      </c>
      <c r="B2097" s="9" t="s">
        <v>9</v>
      </c>
      <c r="C2097" s="9">
        <v>1925</v>
      </c>
      <c r="D2097" s="10">
        <v>45715</v>
      </c>
      <c r="E2097" s="11" t="str">
        <f>+HYPERLINK("http://trademark.i-assist.jp/data/china/image_1925th/82391407.pdf","82391407")</f>
        <v>82391407</v>
      </c>
      <c r="F2097" s="9" t="s">
        <v>5677</v>
      </c>
      <c r="G2097" s="9" t="s">
        <v>5678</v>
      </c>
      <c r="H2097" s="9" t="s">
        <v>5679</v>
      </c>
      <c r="I2097" s="10">
        <v>45632</v>
      </c>
    </row>
    <row r="2098" spans="1:9" x14ac:dyDescent="0.15">
      <c r="A2098" s="9">
        <v>2097</v>
      </c>
      <c r="B2098" s="9" t="s">
        <v>9</v>
      </c>
      <c r="C2098" s="9">
        <v>1925</v>
      </c>
      <c r="D2098" s="10">
        <v>45715</v>
      </c>
      <c r="E2098" s="11" t="str">
        <f>+HYPERLINK("http://trademark.i-assist.jp/data/china/image_1925th/82391685.pdf","82391685")</f>
        <v>82391685</v>
      </c>
      <c r="F2098" s="9" t="s">
        <v>5680</v>
      </c>
      <c r="G2098" s="9" t="s">
        <v>5681</v>
      </c>
      <c r="H2098" s="9" t="s">
        <v>5682</v>
      </c>
      <c r="I2098" s="10">
        <v>45632</v>
      </c>
    </row>
    <row r="2099" spans="1:9" x14ac:dyDescent="0.15">
      <c r="A2099" s="9">
        <v>2098</v>
      </c>
      <c r="B2099" s="9" t="s">
        <v>9</v>
      </c>
      <c r="C2099" s="9">
        <v>1925</v>
      </c>
      <c r="D2099" s="10">
        <v>45715</v>
      </c>
      <c r="E2099" s="11" t="str">
        <f>+HYPERLINK("http://trademark.i-assist.jp/data/china/image_1925th/82391735.pdf","82391735")</f>
        <v>82391735</v>
      </c>
      <c r="F2099" s="12" t="s">
        <v>5683</v>
      </c>
      <c r="G2099" s="12" t="s">
        <v>5684</v>
      </c>
      <c r="H2099" s="9" t="s">
        <v>5685</v>
      </c>
      <c r="I2099" s="10">
        <v>45632</v>
      </c>
    </row>
    <row r="2100" spans="1:9" x14ac:dyDescent="0.15">
      <c r="A2100" s="9">
        <v>2099</v>
      </c>
      <c r="B2100" s="9" t="s">
        <v>9</v>
      </c>
      <c r="C2100" s="9">
        <v>1925</v>
      </c>
      <c r="D2100" s="10">
        <v>45715</v>
      </c>
      <c r="E2100" s="11" t="str">
        <f>+HYPERLINK("http://trademark.i-assist.jp/data/china/image_1925th/82391891.pdf","82391891")</f>
        <v>82391891</v>
      </c>
      <c r="F2100" s="12" t="s">
        <v>5686</v>
      </c>
      <c r="G2100" s="12" t="s">
        <v>5687</v>
      </c>
      <c r="H2100" s="9" t="s">
        <v>5688</v>
      </c>
      <c r="I2100" s="10">
        <v>45632</v>
      </c>
    </row>
    <row r="2101" spans="1:9" x14ac:dyDescent="0.15">
      <c r="A2101" s="9">
        <v>2100</v>
      </c>
      <c r="B2101" s="9" t="s">
        <v>9</v>
      </c>
      <c r="C2101" s="9">
        <v>1925</v>
      </c>
      <c r="D2101" s="10">
        <v>45715</v>
      </c>
      <c r="E2101" s="11" t="str">
        <f>+HYPERLINK("http://trademark.i-assist.jp/data/china/image_1925th/82391935.pdf","82391935")</f>
        <v>82391935</v>
      </c>
      <c r="F2101" s="9" t="s">
        <v>5689</v>
      </c>
      <c r="G2101" s="12" t="s">
        <v>5690</v>
      </c>
      <c r="H2101" s="9" t="s">
        <v>5691</v>
      </c>
      <c r="I2101" s="10">
        <v>45632</v>
      </c>
    </row>
    <row r="2102" spans="1:9" x14ac:dyDescent="0.15">
      <c r="A2102" s="9">
        <v>2101</v>
      </c>
      <c r="B2102" s="9" t="s">
        <v>9</v>
      </c>
      <c r="C2102" s="9">
        <v>1925</v>
      </c>
      <c r="D2102" s="10">
        <v>45715</v>
      </c>
      <c r="E2102" s="11" t="str">
        <f>+HYPERLINK("http://trademark.i-assist.jp/data/china/image_1925th/82391937.pdf","82391937")</f>
        <v>82391937</v>
      </c>
      <c r="F2102" s="12" t="s">
        <v>5692</v>
      </c>
      <c r="G2102" s="12" t="s">
        <v>5690</v>
      </c>
      <c r="H2102" s="9" t="s">
        <v>5693</v>
      </c>
      <c r="I2102" s="10">
        <v>45632</v>
      </c>
    </row>
    <row r="2103" spans="1:9" x14ac:dyDescent="0.15">
      <c r="A2103" s="9">
        <v>2102</v>
      </c>
      <c r="B2103" s="9" t="s">
        <v>9</v>
      </c>
      <c r="C2103" s="9">
        <v>1925</v>
      </c>
      <c r="D2103" s="10">
        <v>45715</v>
      </c>
      <c r="E2103" s="11" t="str">
        <f>+HYPERLINK("http://trademark.i-assist.jp/data/china/image_1925th/82391948.pdf","82391948")</f>
        <v>82391948</v>
      </c>
      <c r="F2103" s="9" t="s">
        <v>5694</v>
      </c>
      <c r="G2103" s="12" t="s">
        <v>5695</v>
      </c>
      <c r="H2103" s="9" t="s">
        <v>5696</v>
      </c>
      <c r="I2103" s="10">
        <v>45632</v>
      </c>
    </row>
    <row r="2104" spans="1:9" x14ac:dyDescent="0.15">
      <c r="A2104" s="9">
        <v>2103</v>
      </c>
      <c r="B2104" s="9" t="s">
        <v>9</v>
      </c>
      <c r="C2104" s="9">
        <v>1925</v>
      </c>
      <c r="D2104" s="10">
        <v>45715</v>
      </c>
      <c r="E2104" s="11" t="str">
        <f>+HYPERLINK("http://trademark.i-assist.jp/data/china/image_1925th/82392168.pdf","82392168")</f>
        <v>82392168</v>
      </c>
      <c r="F2104" s="9" t="s">
        <v>5697</v>
      </c>
      <c r="G2104" s="9" t="s">
        <v>5698</v>
      </c>
      <c r="H2104" s="9" t="s">
        <v>5699</v>
      </c>
      <c r="I2104" s="10">
        <v>45632</v>
      </c>
    </row>
    <row r="2105" spans="1:9" x14ac:dyDescent="0.15">
      <c r="A2105" s="9">
        <v>2104</v>
      </c>
      <c r="B2105" s="9" t="s">
        <v>9</v>
      </c>
      <c r="C2105" s="9">
        <v>1925</v>
      </c>
      <c r="D2105" s="10">
        <v>45715</v>
      </c>
      <c r="E2105" s="11" t="str">
        <f>+HYPERLINK("http://trademark.i-assist.jp/data/china/image_1925th/82392701.pdf","82392701")</f>
        <v>82392701</v>
      </c>
      <c r="F2105" s="9" t="s">
        <v>5700</v>
      </c>
      <c r="G2105" s="12" t="s">
        <v>5701</v>
      </c>
      <c r="H2105" s="9" t="s">
        <v>5702</v>
      </c>
      <c r="I2105" s="10">
        <v>45632</v>
      </c>
    </row>
    <row r="2106" spans="1:9" x14ac:dyDescent="0.15">
      <c r="A2106" s="9">
        <v>2105</v>
      </c>
      <c r="B2106" s="9" t="s">
        <v>9</v>
      </c>
      <c r="C2106" s="9">
        <v>1925</v>
      </c>
      <c r="D2106" s="10">
        <v>45715</v>
      </c>
      <c r="E2106" s="11" t="str">
        <f>+HYPERLINK("http://trademark.i-assist.jp/data/china/image_1925th/82394512.pdf","82394512")</f>
        <v>82394512</v>
      </c>
      <c r="F2106" s="12" t="s">
        <v>5703</v>
      </c>
      <c r="G2106" s="9" t="s">
        <v>5704</v>
      </c>
      <c r="H2106" s="9" t="s">
        <v>5705</v>
      </c>
      <c r="I2106" s="10">
        <v>45632</v>
      </c>
    </row>
    <row r="2107" spans="1:9" x14ac:dyDescent="0.15">
      <c r="A2107" s="9">
        <v>2106</v>
      </c>
      <c r="B2107" s="9" t="s">
        <v>9</v>
      </c>
      <c r="C2107" s="9">
        <v>1925</v>
      </c>
      <c r="D2107" s="10">
        <v>45715</v>
      </c>
      <c r="E2107" s="11" t="str">
        <f>+HYPERLINK("http://trademark.i-assist.jp/data/china/image_1925th/82394681.pdf","82394681")</f>
        <v>82394681</v>
      </c>
      <c r="F2107" s="9" t="s">
        <v>5706</v>
      </c>
      <c r="G2107" s="12" t="s">
        <v>5707</v>
      </c>
      <c r="H2107" s="9" t="s">
        <v>5708</v>
      </c>
      <c r="I2107" s="10">
        <v>45632</v>
      </c>
    </row>
    <row r="2108" spans="1:9" x14ac:dyDescent="0.15">
      <c r="A2108" s="9">
        <v>2107</v>
      </c>
      <c r="B2108" s="9" t="s">
        <v>9</v>
      </c>
      <c r="C2108" s="9">
        <v>1925</v>
      </c>
      <c r="D2108" s="10">
        <v>45715</v>
      </c>
      <c r="E2108" s="11" t="str">
        <f>+HYPERLINK("http://trademark.i-assist.jp/data/china/image_1925th/82395112.pdf","82395112")</f>
        <v>82395112</v>
      </c>
      <c r="F2108" s="12" t="s">
        <v>5709</v>
      </c>
      <c r="G2108" s="12" t="s">
        <v>5710</v>
      </c>
      <c r="H2108" s="9" t="s">
        <v>5711</v>
      </c>
      <c r="I2108" s="10">
        <v>45632</v>
      </c>
    </row>
    <row r="2109" spans="1:9" x14ac:dyDescent="0.15">
      <c r="A2109" s="9">
        <v>2108</v>
      </c>
      <c r="B2109" s="9" t="s">
        <v>9</v>
      </c>
      <c r="C2109" s="9">
        <v>1925</v>
      </c>
      <c r="D2109" s="10">
        <v>45715</v>
      </c>
      <c r="E2109" s="11" t="str">
        <f>+HYPERLINK("http://trademark.i-assist.jp/data/china/image_1925th/82395206.pdf","82395206")</f>
        <v>82395206</v>
      </c>
      <c r="F2109" s="9" t="s">
        <v>5712</v>
      </c>
      <c r="G2109" s="9" t="s">
        <v>5713</v>
      </c>
      <c r="H2109" s="9" t="s">
        <v>5714</v>
      </c>
      <c r="I2109" s="10">
        <v>45632</v>
      </c>
    </row>
    <row r="2110" spans="1:9" x14ac:dyDescent="0.15">
      <c r="A2110" s="9">
        <v>2109</v>
      </c>
      <c r="B2110" s="9" t="s">
        <v>9</v>
      </c>
      <c r="C2110" s="9">
        <v>1925</v>
      </c>
      <c r="D2110" s="10">
        <v>45715</v>
      </c>
      <c r="E2110" s="11" t="str">
        <f>+HYPERLINK("http://trademark.i-assist.jp/data/china/image_1925th/82395716.pdf","82395716")</f>
        <v>82395716</v>
      </c>
      <c r="F2110" s="9" t="s">
        <v>5715</v>
      </c>
      <c r="G2110" s="9" t="s">
        <v>4152</v>
      </c>
      <c r="H2110" s="9" t="s">
        <v>5716</v>
      </c>
      <c r="I2110" s="10">
        <v>45632</v>
      </c>
    </row>
    <row r="2111" spans="1:9" x14ac:dyDescent="0.15">
      <c r="A2111" s="9">
        <v>2110</v>
      </c>
      <c r="B2111" s="9" t="s">
        <v>9</v>
      </c>
      <c r="C2111" s="9">
        <v>1925</v>
      </c>
      <c r="D2111" s="10">
        <v>45715</v>
      </c>
      <c r="E2111" s="11" t="str">
        <f>+HYPERLINK("http://trademark.i-assist.jp/data/china/image_1925th/82396131.pdf","82396131")</f>
        <v>82396131</v>
      </c>
      <c r="F2111" s="9" t="s">
        <v>5717</v>
      </c>
      <c r="G2111" s="9" t="s">
        <v>5718</v>
      </c>
      <c r="H2111" s="9" t="s">
        <v>5719</v>
      </c>
      <c r="I2111" s="10">
        <v>45632</v>
      </c>
    </row>
    <row r="2112" spans="1:9" x14ac:dyDescent="0.15">
      <c r="A2112" s="9">
        <v>2111</v>
      </c>
      <c r="B2112" s="9" t="s">
        <v>9</v>
      </c>
      <c r="C2112" s="9">
        <v>1925</v>
      </c>
      <c r="D2112" s="10">
        <v>45715</v>
      </c>
      <c r="E2112" s="11" t="str">
        <f>+HYPERLINK("http://trademark.i-assist.jp/data/china/image_1925th/82396697.pdf","82396697")</f>
        <v>82396697</v>
      </c>
      <c r="F2112" s="9" t="s">
        <v>5720</v>
      </c>
      <c r="G2112" s="9" t="s">
        <v>18</v>
      </c>
      <c r="H2112" s="9" t="s">
        <v>5721</v>
      </c>
      <c r="I2112" s="10">
        <v>45632</v>
      </c>
    </row>
    <row r="2113" spans="1:9" x14ac:dyDescent="0.15">
      <c r="A2113" s="9">
        <v>2112</v>
      </c>
      <c r="B2113" s="9" t="s">
        <v>9</v>
      </c>
      <c r="C2113" s="9">
        <v>1925</v>
      </c>
      <c r="D2113" s="10">
        <v>45715</v>
      </c>
      <c r="E2113" s="11" t="str">
        <f>+HYPERLINK("http://trademark.i-assist.jp/data/china/image_1925th/82396708.pdf","82396708")</f>
        <v>82396708</v>
      </c>
      <c r="F2113" s="12" t="s">
        <v>5722</v>
      </c>
      <c r="G2113" s="9" t="s">
        <v>18</v>
      </c>
      <c r="H2113" s="12" t="s">
        <v>5723</v>
      </c>
      <c r="I2113" s="10">
        <v>45632</v>
      </c>
    </row>
    <row r="2114" spans="1:9" x14ac:dyDescent="0.15">
      <c r="A2114" s="9">
        <v>2113</v>
      </c>
      <c r="B2114" s="9" t="s">
        <v>9</v>
      </c>
      <c r="C2114" s="9">
        <v>1925</v>
      </c>
      <c r="D2114" s="10">
        <v>45715</v>
      </c>
      <c r="E2114" s="11" t="str">
        <f>+HYPERLINK("http://trademark.i-assist.jp/data/china/image_1925th/82397016.pdf","82397016")</f>
        <v>82397016</v>
      </c>
      <c r="F2114" s="9" t="s">
        <v>5724</v>
      </c>
      <c r="G2114" s="12" t="s">
        <v>5725</v>
      </c>
      <c r="H2114" s="9" t="s">
        <v>5726</v>
      </c>
      <c r="I2114" s="10">
        <v>45632</v>
      </c>
    </row>
    <row r="2115" spans="1:9" x14ac:dyDescent="0.15">
      <c r="A2115" s="9">
        <v>2114</v>
      </c>
      <c r="B2115" s="9" t="s">
        <v>9</v>
      </c>
      <c r="C2115" s="9">
        <v>1925</v>
      </c>
      <c r="D2115" s="10">
        <v>45715</v>
      </c>
      <c r="E2115" s="11" t="str">
        <f>+HYPERLINK("http://trademark.i-assist.jp/data/china/image_1925th/82397024.pdf","82397024")</f>
        <v>82397024</v>
      </c>
      <c r="F2115" s="9" t="s">
        <v>5727</v>
      </c>
      <c r="G2115" s="9" t="s">
        <v>5728</v>
      </c>
      <c r="H2115" s="9" t="s">
        <v>5729</v>
      </c>
      <c r="I2115" s="10">
        <v>45632</v>
      </c>
    </row>
    <row r="2116" spans="1:9" x14ac:dyDescent="0.15">
      <c r="A2116" s="9">
        <v>2115</v>
      </c>
      <c r="B2116" s="9" t="s">
        <v>9</v>
      </c>
      <c r="C2116" s="9">
        <v>1925</v>
      </c>
      <c r="D2116" s="10">
        <v>45715</v>
      </c>
      <c r="E2116" s="11" t="str">
        <f>+HYPERLINK("http://trademark.i-assist.jp/data/china/image_1925th/82398081.pdf","82398081")</f>
        <v>82398081</v>
      </c>
      <c r="F2116" s="9" t="s">
        <v>5730</v>
      </c>
      <c r="G2116" s="12" t="s">
        <v>5731</v>
      </c>
      <c r="H2116" s="9" t="s">
        <v>5732</v>
      </c>
      <c r="I2116" s="10">
        <v>45632</v>
      </c>
    </row>
    <row r="2117" spans="1:9" x14ac:dyDescent="0.15">
      <c r="A2117" s="9">
        <v>2116</v>
      </c>
      <c r="B2117" s="9" t="s">
        <v>9</v>
      </c>
      <c r="C2117" s="9">
        <v>1925</v>
      </c>
      <c r="D2117" s="10">
        <v>45715</v>
      </c>
      <c r="E2117" s="11" t="str">
        <f>+HYPERLINK("http://trademark.i-assist.jp/data/china/image_1925th/82398122.pdf","82398122")</f>
        <v>82398122</v>
      </c>
      <c r="F2117" s="9" t="s">
        <v>5733</v>
      </c>
      <c r="G2117" s="9" t="s">
        <v>5734</v>
      </c>
      <c r="H2117" s="9" t="s">
        <v>5735</v>
      </c>
      <c r="I2117" s="10">
        <v>45632</v>
      </c>
    </row>
    <row r="2118" spans="1:9" x14ac:dyDescent="0.15">
      <c r="A2118" s="9">
        <v>2117</v>
      </c>
      <c r="B2118" s="9" t="s">
        <v>9</v>
      </c>
      <c r="C2118" s="9">
        <v>1925</v>
      </c>
      <c r="D2118" s="10">
        <v>45715</v>
      </c>
      <c r="E2118" s="11" t="str">
        <f>+HYPERLINK("http://trademark.i-assist.jp/data/china/image_1925th/82398312.pdf","82398312")</f>
        <v>82398312</v>
      </c>
      <c r="F2118" s="9" t="s">
        <v>5736</v>
      </c>
      <c r="G2118" s="12" t="s">
        <v>5737</v>
      </c>
      <c r="H2118" s="9" t="s">
        <v>5738</v>
      </c>
      <c r="I2118" s="10">
        <v>45632</v>
      </c>
    </row>
    <row r="2119" spans="1:9" x14ac:dyDescent="0.15">
      <c r="A2119" s="9">
        <v>2118</v>
      </c>
      <c r="B2119" s="9" t="s">
        <v>9</v>
      </c>
      <c r="C2119" s="9">
        <v>1925</v>
      </c>
      <c r="D2119" s="10">
        <v>45715</v>
      </c>
      <c r="E2119" s="11" t="str">
        <f>+HYPERLINK("http://trademark.i-assist.jp/data/china/image_1925th/82399346.pdf","82399346")</f>
        <v>82399346</v>
      </c>
      <c r="F2119" s="12" t="s">
        <v>57</v>
      </c>
      <c r="G2119" s="12" t="s">
        <v>5731</v>
      </c>
      <c r="H2119" s="12" t="s">
        <v>5739</v>
      </c>
      <c r="I2119" s="10">
        <v>45632</v>
      </c>
    </row>
    <row r="2120" spans="1:9" x14ac:dyDescent="0.15">
      <c r="A2120" s="9">
        <v>2119</v>
      </c>
      <c r="B2120" s="9" t="s">
        <v>9</v>
      </c>
      <c r="C2120" s="9">
        <v>1925</v>
      </c>
      <c r="D2120" s="10">
        <v>45715</v>
      </c>
      <c r="E2120" s="11" t="str">
        <f>+HYPERLINK("http://trademark.i-assist.jp/data/china/image_1925th/82400404.pdf","82400404")</f>
        <v>82400404</v>
      </c>
      <c r="F2120" s="9" t="s">
        <v>5740</v>
      </c>
      <c r="G2120" s="9" t="s">
        <v>5741</v>
      </c>
      <c r="H2120" s="9" t="s">
        <v>5742</v>
      </c>
      <c r="I2120" s="10">
        <v>45632</v>
      </c>
    </row>
    <row r="2121" spans="1:9" x14ac:dyDescent="0.15">
      <c r="A2121" s="9">
        <v>2120</v>
      </c>
      <c r="B2121" s="9" t="s">
        <v>9</v>
      </c>
      <c r="C2121" s="9">
        <v>1925</v>
      </c>
      <c r="D2121" s="10">
        <v>45715</v>
      </c>
      <c r="E2121" s="11" t="str">
        <f>+HYPERLINK("http://trademark.i-assist.jp/data/china/image_1925th/82400459.pdf","82400459")</f>
        <v>82400459</v>
      </c>
      <c r="F2121" s="12" t="s">
        <v>5743</v>
      </c>
      <c r="G2121" s="12" t="s">
        <v>5695</v>
      </c>
      <c r="H2121" s="9" t="s">
        <v>5744</v>
      </c>
      <c r="I2121" s="10">
        <v>45632</v>
      </c>
    </row>
    <row r="2122" spans="1:9" x14ac:dyDescent="0.15">
      <c r="A2122" s="9">
        <v>2121</v>
      </c>
      <c r="B2122" s="9" t="s">
        <v>9</v>
      </c>
      <c r="C2122" s="9">
        <v>1925</v>
      </c>
      <c r="D2122" s="10">
        <v>45715</v>
      </c>
      <c r="E2122" s="11" t="str">
        <f>+HYPERLINK("http://trademark.i-assist.jp/data/china/image_1925th/82400707.pdf","82400707")</f>
        <v>82400707</v>
      </c>
      <c r="F2122" s="9" t="s">
        <v>5745</v>
      </c>
      <c r="G2122" s="9" t="s">
        <v>18</v>
      </c>
      <c r="H2122" s="9" t="s">
        <v>5746</v>
      </c>
      <c r="I2122" s="10">
        <v>45632</v>
      </c>
    </row>
    <row r="2123" spans="1:9" x14ac:dyDescent="0.15">
      <c r="A2123" s="9">
        <v>2122</v>
      </c>
      <c r="B2123" s="9" t="s">
        <v>9</v>
      </c>
      <c r="C2123" s="9">
        <v>1925</v>
      </c>
      <c r="D2123" s="10">
        <v>45715</v>
      </c>
      <c r="E2123" s="11" t="str">
        <f>+HYPERLINK("http://trademark.i-assist.jp/data/china/image_1925th/82401052.pdf","82401052")</f>
        <v>82401052</v>
      </c>
      <c r="F2123" s="9" t="s">
        <v>5747</v>
      </c>
      <c r="G2123" s="9" t="s">
        <v>5748</v>
      </c>
      <c r="H2123" s="9" t="s">
        <v>5749</v>
      </c>
      <c r="I2123" s="10">
        <v>45632</v>
      </c>
    </row>
    <row r="2124" spans="1:9" x14ac:dyDescent="0.15">
      <c r="A2124" s="9">
        <v>2123</v>
      </c>
      <c r="B2124" s="9" t="s">
        <v>9</v>
      </c>
      <c r="C2124" s="9">
        <v>1925</v>
      </c>
      <c r="D2124" s="10">
        <v>45715</v>
      </c>
      <c r="E2124" s="11" t="str">
        <f>+HYPERLINK("http://trademark.i-assist.jp/data/china/image_1925th/82401253.pdf","82401253")</f>
        <v>82401253</v>
      </c>
      <c r="F2124" s="9" t="s">
        <v>5750</v>
      </c>
      <c r="G2124" s="9" t="s">
        <v>5751</v>
      </c>
      <c r="H2124" s="12" t="s">
        <v>5752</v>
      </c>
      <c r="I2124" s="10">
        <v>45632</v>
      </c>
    </row>
    <row r="2125" spans="1:9" x14ac:dyDescent="0.15">
      <c r="A2125" s="9">
        <v>2124</v>
      </c>
      <c r="B2125" s="9" t="s">
        <v>9</v>
      </c>
      <c r="C2125" s="9">
        <v>1925</v>
      </c>
      <c r="D2125" s="10">
        <v>45715</v>
      </c>
      <c r="E2125" s="11" t="str">
        <f>+HYPERLINK("http://trademark.i-assist.jp/data/china/image_1925th/82403094.pdf","82403094")</f>
        <v>82403094</v>
      </c>
      <c r="F2125" s="12" t="s">
        <v>57</v>
      </c>
      <c r="G2125" s="9" t="s">
        <v>5753</v>
      </c>
      <c r="H2125" s="9" t="s">
        <v>5754</v>
      </c>
      <c r="I2125" s="10">
        <v>45632</v>
      </c>
    </row>
    <row r="2126" spans="1:9" x14ac:dyDescent="0.15">
      <c r="A2126" s="9">
        <v>2125</v>
      </c>
      <c r="B2126" s="9" t="s">
        <v>9</v>
      </c>
      <c r="C2126" s="9">
        <v>1925</v>
      </c>
      <c r="D2126" s="10">
        <v>45715</v>
      </c>
      <c r="E2126" s="11" t="str">
        <f>+HYPERLINK("http://trademark.i-assist.jp/data/china/image_1925th/82403473.pdf","82403473")</f>
        <v>82403473</v>
      </c>
      <c r="F2126" s="9" t="s">
        <v>5755</v>
      </c>
      <c r="G2126" s="12" t="s">
        <v>5756</v>
      </c>
      <c r="H2126" s="9" t="s">
        <v>5757</v>
      </c>
      <c r="I2126" s="10">
        <v>45632</v>
      </c>
    </row>
    <row r="2127" spans="1:9" x14ac:dyDescent="0.15">
      <c r="A2127" s="9">
        <v>2126</v>
      </c>
      <c r="B2127" s="9" t="s">
        <v>9</v>
      </c>
      <c r="C2127" s="9">
        <v>1925</v>
      </c>
      <c r="D2127" s="10">
        <v>45715</v>
      </c>
      <c r="E2127" s="11" t="str">
        <f>+HYPERLINK("http://trademark.i-assist.jp/data/china/image_1925th/82403498.pdf","82403498")</f>
        <v>82403498</v>
      </c>
      <c r="F2127" s="9" t="s">
        <v>5758</v>
      </c>
      <c r="G2127" s="9" t="s">
        <v>5759</v>
      </c>
      <c r="H2127" s="9" t="s">
        <v>5760</v>
      </c>
      <c r="I2127" s="10">
        <v>45632</v>
      </c>
    </row>
    <row r="2128" spans="1:9" x14ac:dyDescent="0.15">
      <c r="A2128" s="9">
        <v>2127</v>
      </c>
      <c r="B2128" s="9" t="s">
        <v>9</v>
      </c>
      <c r="C2128" s="9">
        <v>1925</v>
      </c>
      <c r="D2128" s="10">
        <v>45715</v>
      </c>
      <c r="E2128" s="11" t="str">
        <f>+HYPERLINK("http://trademark.i-assist.jp/data/china/image_1925th/82403797.pdf","82403797")</f>
        <v>82403797</v>
      </c>
      <c r="F2128" s="9" t="s">
        <v>5761</v>
      </c>
      <c r="G2128" s="9" t="s">
        <v>5762</v>
      </c>
      <c r="H2128" s="9" t="s">
        <v>5763</v>
      </c>
      <c r="I2128" s="10">
        <v>45632</v>
      </c>
    </row>
    <row r="2129" spans="1:9" x14ac:dyDescent="0.15">
      <c r="A2129" s="9">
        <v>2128</v>
      </c>
      <c r="B2129" s="9" t="s">
        <v>9</v>
      </c>
      <c r="C2129" s="9">
        <v>1925</v>
      </c>
      <c r="D2129" s="10">
        <v>45715</v>
      </c>
      <c r="E2129" s="11" t="str">
        <f>+HYPERLINK("http://trademark.i-assist.jp/data/china/image_1925th/82404121.pdf","82404121")</f>
        <v>82404121</v>
      </c>
      <c r="F2129" s="9" t="s">
        <v>5764</v>
      </c>
      <c r="G2129" s="9" t="s">
        <v>5681</v>
      </c>
      <c r="H2129" s="9" t="s">
        <v>5765</v>
      </c>
      <c r="I2129" s="10">
        <v>45632</v>
      </c>
    </row>
    <row r="2130" spans="1:9" x14ac:dyDescent="0.15">
      <c r="A2130" s="9">
        <v>2129</v>
      </c>
      <c r="B2130" s="9" t="s">
        <v>9</v>
      </c>
      <c r="C2130" s="9">
        <v>1925</v>
      </c>
      <c r="D2130" s="10">
        <v>45715</v>
      </c>
      <c r="E2130" s="11" t="str">
        <f>+HYPERLINK("http://trademark.i-assist.jp/data/china/image_1925th/82404304.pdf","82404304")</f>
        <v>82404304</v>
      </c>
      <c r="F2130" s="9" t="s">
        <v>5766</v>
      </c>
      <c r="G2130" s="9" t="s">
        <v>5767</v>
      </c>
      <c r="H2130" s="9" t="s">
        <v>5768</v>
      </c>
      <c r="I2130" s="10">
        <v>45632</v>
      </c>
    </row>
    <row r="2131" spans="1:9" x14ac:dyDescent="0.15">
      <c r="A2131" s="9">
        <v>2130</v>
      </c>
      <c r="B2131" s="9" t="s">
        <v>9</v>
      </c>
      <c r="C2131" s="9">
        <v>1925</v>
      </c>
      <c r="D2131" s="10">
        <v>45715</v>
      </c>
      <c r="E2131" s="11" t="str">
        <f>+HYPERLINK("http://trademark.i-assist.jp/data/china/image_1925th/82404502.pdf","82404502")</f>
        <v>82404502</v>
      </c>
      <c r="F2131" s="9" t="s">
        <v>5769</v>
      </c>
      <c r="G2131" s="12" t="s">
        <v>5701</v>
      </c>
      <c r="H2131" s="9" t="s">
        <v>5770</v>
      </c>
      <c r="I2131" s="10">
        <v>45632</v>
      </c>
    </row>
    <row r="2132" spans="1:9" x14ac:dyDescent="0.15">
      <c r="A2132" s="9">
        <v>2131</v>
      </c>
      <c r="B2132" s="9" t="s">
        <v>9</v>
      </c>
      <c r="C2132" s="9">
        <v>1925</v>
      </c>
      <c r="D2132" s="10">
        <v>45715</v>
      </c>
      <c r="E2132" s="11" t="str">
        <f>+HYPERLINK("http://trademark.i-assist.jp/data/china/image_1925th/82404729.pdf","82404729")</f>
        <v>82404729</v>
      </c>
      <c r="F2132" s="12" t="s">
        <v>57</v>
      </c>
      <c r="G2132" s="12" t="s">
        <v>5771</v>
      </c>
      <c r="H2132" s="9" t="s">
        <v>5772</v>
      </c>
      <c r="I2132" s="10">
        <v>45632</v>
      </c>
    </row>
    <row r="2133" spans="1:9" x14ac:dyDescent="0.15">
      <c r="A2133" s="9">
        <v>2132</v>
      </c>
      <c r="B2133" s="9" t="s">
        <v>9</v>
      </c>
      <c r="C2133" s="9">
        <v>1925</v>
      </c>
      <c r="D2133" s="10">
        <v>45715</v>
      </c>
      <c r="E2133" s="11" t="str">
        <f>+HYPERLINK("http://trademark.i-assist.jp/data/china/image_1925th/82405008.pdf","82405008")</f>
        <v>82405008</v>
      </c>
      <c r="F2133" s="12" t="s">
        <v>5773</v>
      </c>
      <c r="G2133" s="9" t="s">
        <v>5774</v>
      </c>
      <c r="H2133" s="9" t="s">
        <v>5775</v>
      </c>
      <c r="I2133" s="10">
        <v>45632</v>
      </c>
    </row>
    <row r="2134" spans="1:9" x14ac:dyDescent="0.15">
      <c r="A2134" s="9">
        <v>2133</v>
      </c>
      <c r="B2134" s="9" t="s">
        <v>9</v>
      </c>
      <c r="C2134" s="9">
        <v>1925</v>
      </c>
      <c r="D2134" s="10">
        <v>45715</v>
      </c>
      <c r="E2134" s="11" t="str">
        <f>+HYPERLINK("http://trademark.i-assist.jp/data/china/image_1925th/82405312.pdf","82405312")</f>
        <v>82405312</v>
      </c>
      <c r="F2134" s="9" t="s">
        <v>5776</v>
      </c>
      <c r="G2134" s="9" t="s">
        <v>5777</v>
      </c>
      <c r="H2134" s="9" t="s">
        <v>5778</v>
      </c>
      <c r="I2134" s="10">
        <v>45632</v>
      </c>
    </row>
    <row r="2135" spans="1:9" x14ac:dyDescent="0.15">
      <c r="A2135" s="9">
        <v>2134</v>
      </c>
      <c r="B2135" s="9" t="s">
        <v>9</v>
      </c>
      <c r="C2135" s="9">
        <v>1925</v>
      </c>
      <c r="D2135" s="10">
        <v>45715</v>
      </c>
      <c r="E2135" s="11" t="str">
        <f>+HYPERLINK("http://trademark.i-assist.jp/data/china/image_1925th/82405459.pdf","82405459")</f>
        <v>82405459</v>
      </c>
      <c r="F2135" s="9" t="s">
        <v>5779</v>
      </c>
      <c r="G2135" s="9" t="s">
        <v>5780</v>
      </c>
      <c r="H2135" s="9" t="s">
        <v>5781</v>
      </c>
      <c r="I2135" s="10">
        <v>45632</v>
      </c>
    </row>
    <row r="2136" spans="1:9" x14ac:dyDescent="0.15">
      <c r="A2136" s="9">
        <v>2135</v>
      </c>
      <c r="B2136" s="9" t="s">
        <v>9</v>
      </c>
      <c r="C2136" s="9">
        <v>1925</v>
      </c>
      <c r="D2136" s="10">
        <v>45715</v>
      </c>
      <c r="E2136" s="11" t="str">
        <f>+HYPERLINK("http://trademark.i-assist.jp/data/china/image_1925th/82406226.pdf","82406226")</f>
        <v>82406226</v>
      </c>
      <c r="F2136" s="9" t="s">
        <v>5782</v>
      </c>
      <c r="G2136" s="9" t="s">
        <v>5718</v>
      </c>
      <c r="H2136" s="9" t="s">
        <v>5783</v>
      </c>
      <c r="I2136" s="10">
        <v>45632</v>
      </c>
    </row>
    <row r="2137" spans="1:9" x14ac:dyDescent="0.15">
      <c r="A2137" s="9">
        <v>2136</v>
      </c>
      <c r="B2137" s="9" t="s">
        <v>9</v>
      </c>
      <c r="C2137" s="9">
        <v>1925</v>
      </c>
      <c r="D2137" s="10">
        <v>45715</v>
      </c>
      <c r="E2137" s="11" t="str">
        <f>+HYPERLINK("http://trademark.i-assist.jp/data/china/image_1925th/82406356.pdf","82406356")</f>
        <v>82406356</v>
      </c>
      <c r="F2137" s="9" t="s">
        <v>5784</v>
      </c>
      <c r="G2137" s="9" t="s">
        <v>5681</v>
      </c>
      <c r="H2137" s="9" t="s">
        <v>5785</v>
      </c>
      <c r="I2137" s="10">
        <v>45632</v>
      </c>
    </row>
    <row r="2138" spans="1:9" x14ac:dyDescent="0.15">
      <c r="A2138" s="9">
        <v>2137</v>
      </c>
      <c r="B2138" s="9" t="s">
        <v>9</v>
      </c>
      <c r="C2138" s="9">
        <v>1925</v>
      </c>
      <c r="D2138" s="10">
        <v>45715</v>
      </c>
      <c r="E2138" s="11" t="str">
        <f>+HYPERLINK("http://trademark.i-assist.jp/data/china/image_1925th/82407284.pdf","82407284")</f>
        <v>82407284</v>
      </c>
      <c r="F2138" s="9" t="s">
        <v>5786</v>
      </c>
      <c r="G2138" s="9" t="s">
        <v>18</v>
      </c>
      <c r="H2138" s="9" t="s">
        <v>5787</v>
      </c>
      <c r="I2138" s="10">
        <v>45632</v>
      </c>
    </row>
    <row r="2139" spans="1:9" x14ac:dyDescent="0.15">
      <c r="A2139" s="9">
        <v>2138</v>
      </c>
      <c r="B2139" s="9" t="s">
        <v>9</v>
      </c>
      <c r="C2139" s="9">
        <v>1925</v>
      </c>
      <c r="D2139" s="10">
        <v>45715</v>
      </c>
      <c r="E2139" s="11" t="str">
        <f>+HYPERLINK("http://trademark.i-assist.jp/data/china/image_1925th/82407526.pdf","82407526")</f>
        <v>82407526</v>
      </c>
      <c r="F2139" s="9" t="s">
        <v>5788</v>
      </c>
      <c r="G2139" s="9" t="s">
        <v>5789</v>
      </c>
      <c r="H2139" s="9" t="s">
        <v>5790</v>
      </c>
      <c r="I2139" s="10">
        <v>45632</v>
      </c>
    </row>
    <row r="2140" spans="1:9" x14ac:dyDescent="0.15">
      <c r="A2140" s="9">
        <v>2139</v>
      </c>
      <c r="B2140" s="9" t="s">
        <v>9</v>
      </c>
      <c r="C2140" s="9">
        <v>1925</v>
      </c>
      <c r="D2140" s="10">
        <v>45715</v>
      </c>
      <c r="E2140" s="11" t="str">
        <f>+HYPERLINK("http://trademark.i-assist.jp/data/china/image_1925th/82408511.pdf","82408511")</f>
        <v>82408511</v>
      </c>
      <c r="F2140" s="9" t="s">
        <v>5791</v>
      </c>
      <c r="G2140" s="12" t="s">
        <v>5792</v>
      </c>
      <c r="H2140" s="9" t="s">
        <v>5793</v>
      </c>
      <c r="I2140" s="10">
        <v>45632</v>
      </c>
    </row>
    <row r="2141" spans="1:9" x14ac:dyDescent="0.15">
      <c r="A2141" s="9">
        <v>2140</v>
      </c>
      <c r="B2141" s="9" t="s">
        <v>9</v>
      </c>
      <c r="C2141" s="9">
        <v>1925</v>
      </c>
      <c r="D2141" s="10">
        <v>45715</v>
      </c>
      <c r="E2141" s="11" t="str">
        <f>+HYPERLINK("http://trademark.i-assist.jp/data/china/image_1925th/82408942.pdf","82408942")</f>
        <v>82408942</v>
      </c>
      <c r="F2141" s="12" t="s">
        <v>5794</v>
      </c>
      <c r="G2141" s="9" t="s">
        <v>5795</v>
      </c>
      <c r="H2141" s="9" t="s">
        <v>5796</v>
      </c>
      <c r="I2141" s="10">
        <v>45632</v>
      </c>
    </row>
    <row r="2142" spans="1:9" x14ac:dyDescent="0.15">
      <c r="A2142" s="9">
        <v>2141</v>
      </c>
      <c r="B2142" s="9" t="s">
        <v>9</v>
      </c>
      <c r="C2142" s="9">
        <v>1925</v>
      </c>
      <c r="D2142" s="10">
        <v>45715</v>
      </c>
      <c r="E2142" s="11" t="str">
        <f>+HYPERLINK("http://trademark.i-assist.jp/data/china/image_1925th/82409179.pdf","82409179")</f>
        <v>82409179</v>
      </c>
      <c r="F2142" s="12" t="s">
        <v>5797</v>
      </c>
      <c r="G2142" s="9" t="s">
        <v>5681</v>
      </c>
      <c r="H2142" s="9" t="s">
        <v>5798</v>
      </c>
      <c r="I2142" s="10">
        <v>45632</v>
      </c>
    </row>
    <row r="2143" spans="1:9" x14ac:dyDescent="0.15">
      <c r="A2143" s="9">
        <v>2142</v>
      </c>
      <c r="B2143" s="9" t="s">
        <v>9</v>
      </c>
      <c r="C2143" s="9">
        <v>1925</v>
      </c>
      <c r="D2143" s="10">
        <v>45715</v>
      </c>
      <c r="E2143" s="11" t="str">
        <f>+HYPERLINK("http://trademark.i-assist.jp/data/china/image_1925th/82410773.pdf","82410773")</f>
        <v>82410773</v>
      </c>
      <c r="F2143" s="9" t="s">
        <v>5799</v>
      </c>
      <c r="G2143" s="12" t="s">
        <v>5800</v>
      </c>
      <c r="H2143" s="9" t="s">
        <v>5801</v>
      </c>
      <c r="I2143" s="10">
        <v>45632</v>
      </c>
    </row>
    <row r="2144" spans="1:9" x14ac:dyDescent="0.15">
      <c r="A2144" s="9">
        <v>2143</v>
      </c>
      <c r="B2144" s="9" t="s">
        <v>9</v>
      </c>
      <c r="C2144" s="9">
        <v>1925</v>
      </c>
      <c r="D2144" s="10">
        <v>45715</v>
      </c>
      <c r="E2144" s="11" t="str">
        <f>+HYPERLINK("http://trademark.i-assist.jp/data/china/image_1925th/82411095.pdf","82411095")</f>
        <v>82411095</v>
      </c>
      <c r="F2144" s="9" t="s">
        <v>5802</v>
      </c>
      <c r="G2144" s="9" t="s">
        <v>5803</v>
      </c>
      <c r="H2144" s="9" t="s">
        <v>5804</v>
      </c>
      <c r="I2144" s="10">
        <v>45632</v>
      </c>
    </row>
    <row r="2145" spans="1:9" x14ac:dyDescent="0.15">
      <c r="A2145" s="9">
        <v>2144</v>
      </c>
      <c r="B2145" s="9" t="s">
        <v>9</v>
      </c>
      <c r="C2145" s="9">
        <v>1925</v>
      </c>
      <c r="D2145" s="10">
        <v>45715</v>
      </c>
      <c r="E2145" s="11" t="str">
        <f>+HYPERLINK("http://trademark.i-assist.jp/data/china/image_1925th/82411124.pdf","82411124")</f>
        <v>82411124</v>
      </c>
      <c r="F2145" s="9" t="s">
        <v>5805</v>
      </c>
      <c r="G2145" s="12" t="s">
        <v>5806</v>
      </c>
      <c r="H2145" s="9" t="s">
        <v>5807</v>
      </c>
      <c r="I2145" s="10">
        <v>45632</v>
      </c>
    </row>
    <row r="2146" spans="1:9" x14ac:dyDescent="0.15">
      <c r="A2146" s="9">
        <v>2145</v>
      </c>
      <c r="B2146" s="9" t="s">
        <v>9</v>
      </c>
      <c r="C2146" s="9">
        <v>1925</v>
      </c>
      <c r="D2146" s="10">
        <v>45715</v>
      </c>
      <c r="E2146" s="11" t="str">
        <f>+HYPERLINK("http://trademark.i-assist.jp/data/china/image_1925th/82411133.pdf","82411133")</f>
        <v>82411133</v>
      </c>
      <c r="F2146" s="9" t="s">
        <v>5808</v>
      </c>
      <c r="G2146" s="9" t="s">
        <v>5809</v>
      </c>
      <c r="H2146" s="9" t="s">
        <v>5810</v>
      </c>
      <c r="I2146" s="10">
        <v>45632</v>
      </c>
    </row>
    <row r="2147" spans="1:9" x14ac:dyDescent="0.15">
      <c r="A2147" s="9">
        <v>2146</v>
      </c>
      <c r="B2147" s="9" t="s">
        <v>9</v>
      </c>
      <c r="C2147" s="9">
        <v>1925</v>
      </c>
      <c r="D2147" s="10">
        <v>45715</v>
      </c>
      <c r="E2147" s="11" t="str">
        <f>+HYPERLINK("http://trademark.i-assist.jp/data/china/image_1925th/82411234.pdf","82411234")</f>
        <v>82411234</v>
      </c>
      <c r="F2147" s="9" t="s">
        <v>5811</v>
      </c>
      <c r="G2147" s="9" t="s">
        <v>5812</v>
      </c>
      <c r="H2147" s="9" t="s">
        <v>5813</v>
      </c>
      <c r="I2147" s="10">
        <v>45632</v>
      </c>
    </row>
    <row r="2148" spans="1:9" x14ac:dyDescent="0.15">
      <c r="A2148" s="9">
        <v>2147</v>
      </c>
      <c r="B2148" s="9" t="s">
        <v>9</v>
      </c>
      <c r="C2148" s="9">
        <v>1925</v>
      </c>
      <c r="D2148" s="10">
        <v>45715</v>
      </c>
      <c r="E2148" s="11" t="str">
        <f>+HYPERLINK("http://trademark.i-assist.jp/data/china/image_1925th/82412159.pdf","82412159")</f>
        <v>82412159</v>
      </c>
      <c r="F2148" s="12" t="s">
        <v>5814</v>
      </c>
      <c r="G2148" s="9" t="s">
        <v>5815</v>
      </c>
      <c r="H2148" s="9" t="s">
        <v>5816</v>
      </c>
      <c r="I2148" s="10">
        <v>45632</v>
      </c>
    </row>
    <row r="2149" spans="1:9" x14ac:dyDescent="0.15">
      <c r="A2149" s="9">
        <v>2148</v>
      </c>
      <c r="B2149" s="9" t="s">
        <v>9</v>
      </c>
      <c r="C2149" s="9">
        <v>1925</v>
      </c>
      <c r="D2149" s="10">
        <v>45715</v>
      </c>
      <c r="E2149" s="11" t="str">
        <f>+HYPERLINK("http://trademark.i-assist.jp/data/china/image_1925th/82412601.pdf","82412601")</f>
        <v>82412601</v>
      </c>
      <c r="F2149" s="9" t="s">
        <v>5817</v>
      </c>
      <c r="G2149" s="9" t="s">
        <v>5713</v>
      </c>
      <c r="H2149" s="12" t="s">
        <v>5818</v>
      </c>
      <c r="I2149" s="10">
        <v>45632</v>
      </c>
    </row>
    <row r="2150" spans="1:9" x14ac:dyDescent="0.15">
      <c r="A2150" s="9">
        <v>2149</v>
      </c>
      <c r="B2150" s="9" t="s">
        <v>9</v>
      </c>
      <c r="C2150" s="9">
        <v>1925</v>
      </c>
      <c r="D2150" s="10">
        <v>45715</v>
      </c>
      <c r="E2150" s="11" t="str">
        <f>+HYPERLINK("http://trademark.i-assist.jp/data/china/image_1925th/82413280.pdf","82413280")</f>
        <v>82413280</v>
      </c>
      <c r="F2150" s="9" t="s">
        <v>5819</v>
      </c>
      <c r="G2150" s="9" t="s">
        <v>5820</v>
      </c>
      <c r="H2150" s="9" t="s">
        <v>5821</v>
      </c>
      <c r="I2150" s="10">
        <v>45633</v>
      </c>
    </row>
    <row r="2151" spans="1:9" x14ac:dyDescent="0.15">
      <c r="A2151" s="9">
        <v>2150</v>
      </c>
      <c r="B2151" s="9" t="s">
        <v>9</v>
      </c>
      <c r="C2151" s="9">
        <v>1925</v>
      </c>
      <c r="D2151" s="10">
        <v>45715</v>
      </c>
      <c r="E2151" s="11" t="str">
        <f>+HYPERLINK("http://trademark.i-assist.jp/data/china/image_1925th/82413498.pdf","82413498")</f>
        <v>82413498</v>
      </c>
      <c r="F2151" s="9" t="s">
        <v>5822</v>
      </c>
      <c r="G2151" s="9" t="s">
        <v>5823</v>
      </c>
      <c r="H2151" s="9" t="s">
        <v>5824</v>
      </c>
      <c r="I2151" s="10">
        <v>45633</v>
      </c>
    </row>
    <row r="2152" spans="1:9" x14ac:dyDescent="0.15">
      <c r="A2152" s="9">
        <v>2151</v>
      </c>
      <c r="B2152" s="9" t="s">
        <v>9</v>
      </c>
      <c r="C2152" s="9">
        <v>1925</v>
      </c>
      <c r="D2152" s="10">
        <v>45715</v>
      </c>
      <c r="E2152" s="11" t="str">
        <f>+HYPERLINK("http://trademark.i-assist.jp/data/china/image_1925th/82413633.pdf","82413633")</f>
        <v>82413633</v>
      </c>
      <c r="F2152" s="12" t="s">
        <v>5825</v>
      </c>
      <c r="G2152" s="12" t="s">
        <v>5826</v>
      </c>
      <c r="H2152" s="9" t="s">
        <v>5827</v>
      </c>
      <c r="I2152" s="10">
        <v>45633</v>
      </c>
    </row>
    <row r="2153" spans="1:9" x14ac:dyDescent="0.15">
      <c r="A2153" s="9">
        <v>2152</v>
      </c>
      <c r="B2153" s="9" t="s">
        <v>9</v>
      </c>
      <c r="C2153" s="9">
        <v>1925</v>
      </c>
      <c r="D2153" s="10">
        <v>45715</v>
      </c>
      <c r="E2153" s="11" t="str">
        <f>+HYPERLINK("http://trademark.i-assist.jp/data/china/image_1925th/82413968.pdf","82413968")</f>
        <v>82413968</v>
      </c>
      <c r="F2153" s="9" t="s">
        <v>5828</v>
      </c>
      <c r="G2153" s="12" t="s">
        <v>5829</v>
      </c>
      <c r="H2153" s="9" t="s">
        <v>5830</v>
      </c>
      <c r="I2153" s="10">
        <v>45633</v>
      </c>
    </row>
    <row r="2154" spans="1:9" x14ac:dyDescent="0.15">
      <c r="A2154" s="9">
        <v>2153</v>
      </c>
      <c r="B2154" s="9" t="s">
        <v>9</v>
      </c>
      <c r="C2154" s="9">
        <v>1925</v>
      </c>
      <c r="D2154" s="10">
        <v>45715</v>
      </c>
      <c r="E2154" s="11" t="str">
        <f>+HYPERLINK("http://trademark.i-assist.jp/data/china/image_1925th/82414298.pdf","82414298")</f>
        <v>82414298</v>
      </c>
      <c r="F2154" s="9" t="s">
        <v>5831</v>
      </c>
      <c r="G2154" s="12" t="s">
        <v>5832</v>
      </c>
      <c r="H2154" s="12" t="s">
        <v>5833</v>
      </c>
      <c r="I2154" s="10">
        <v>45633</v>
      </c>
    </row>
    <row r="2155" spans="1:9" x14ac:dyDescent="0.15">
      <c r="A2155" s="9">
        <v>2154</v>
      </c>
      <c r="B2155" s="9" t="s">
        <v>9</v>
      </c>
      <c r="C2155" s="9">
        <v>1925</v>
      </c>
      <c r="D2155" s="10">
        <v>45715</v>
      </c>
      <c r="E2155" s="11" t="str">
        <f>+HYPERLINK("http://trademark.i-assist.jp/data/china/image_1925th/82414420.pdf","82414420")</f>
        <v>82414420</v>
      </c>
      <c r="F2155" s="9" t="s">
        <v>5834</v>
      </c>
      <c r="G2155" s="9" t="s">
        <v>5820</v>
      </c>
      <c r="H2155" s="9" t="s">
        <v>5835</v>
      </c>
      <c r="I2155" s="10">
        <v>45633</v>
      </c>
    </row>
    <row r="2156" spans="1:9" x14ac:dyDescent="0.15">
      <c r="A2156" s="9">
        <v>2155</v>
      </c>
      <c r="B2156" s="9" t="s">
        <v>9</v>
      </c>
      <c r="C2156" s="9">
        <v>1925</v>
      </c>
      <c r="D2156" s="10">
        <v>45715</v>
      </c>
      <c r="E2156" s="11" t="str">
        <f>+HYPERLINK("http://trademark.i-assist.jp/data/china/image_1925th/82414529.pdf","82414529")</f>
        <v>82414529</v>
      </c>
      <c r="F2156" s="12" t="s">
        <v>5836</v>
      </c>
      <c r="G2156" s="12" t="s">
        <v>5829</v>
      </c>
      <c r="H2156" s="9" t="s">
        <v>5837</v>
      </c>
      <c r="I2156" s="10">
        <v>45633</v>
      </c>
    </row>
    <row r="2157" spans="1:9" x14ac:dyDescent="0.15">
      <c r="A2157" s="9">
        <v>2156</v>
      </c>
      <c r="B2157" s="9" t="s">
        <v>9</v>
      </c>
      <c r="C2157" s="9">
        <v>1925</v>
      </c>
      <c r="D2157" s="10">
        <v>45715</v>
      </c>
      <c r="E2157" s="11" t="str">
        <f>+HYPERLINK("http://trademark.i-assist.jp/data/china/image_1925th/82414671.pdf","82414671")</f>
        <v>82414671</v>
      </c>
      <c r="F2157" s="9" t="s">
        <v>5838</v>
      </c>
      <c r="G2157" s="12" t="s">
        <v>5839</v>
      </c>
      <c r="H2157" s="9" t="s">
        <v>5840</v>
      </c>
      <c r="I2157" s="10">
        <v>45633</v>
      </c>
    </row>
    <row r="2158" spans="1:9" x14ac:dyDescent="0.15">
      <c r="A2158" s="9">
        <v>2157</v>
      </c>
      <c r="B2158" s="9" t="s">
        <v>9</v>
      </c>
      <c r="C2158" s="9">
        <v>1925</v>
      </c>
      <c r="D2158" s="10">
        <v>45715</v>
      </c>
      <c r="E2158" s="11" t="str">
        <f>+HYPERLINK("http://trademark.i-assist.jp/data/china/image_1925th/82415116.pdf","82415116")</f>
        <v>82415116</v>
      </c>
      <c r="F2158" s="9" t="s">
        <v>5841</v>
      </c>
      <c r="G2158" s="12" t="s">
        <v>5829</v>
      </c>
      <c r="H2158" s="12" t="s">
        <v>5842</v>
      </c>
      <c r="I2158" s="10">
        <v>45633</v>
      </c>
    </row>
    <row r="2159" spans="1:9" x14ac:dyDescent="0.15">
      <c r="A2159" s="9">
        <v>2158</v>
      </c>
      <c r="B2159" s="9" t="s">
        <v>9</v>
      </c>
      <c r="C2159" s="9">
        <v>1925</v>
      </c>
      <c r="D2159" s="10">
        <v>45715</v>
      </c>
      <c r="E2159" s="11" t="str">
        <f>+HYPERLINK("http://trademark.i-assist.jp/data/china/image_1925th/82415309.pdf","82415309")</f>
        <v>82415309</v>
      </c>
      <c r="F2159" s="12" t="s">
        <v>5843</v>
      </c>
      <c r="G2159" s="12" t="s">
        <v>5844</v>
      </c>
      <c r="H2159" s="12" t="s">
        <v>5845</v>
      </c>
      <c r="I2159" s="10">
        <v>45633</v>
      </c>
    </row>
    <row r="2160" spans="1:9" x14ac:dyDescent="0.15">
      <c r="A2160" s="9">
        <v>2159</v>
      </c>
      <c r="B2160" s="9" t="s">
        <v>9</v>
      </c>
      <c r="C2160" s="9">
        <v>1925</v>
      </c>
      <c r="D2160" s="10">
        <v>45715</v>
      </c>
      <c r="E2160" s="11" t="str">
        <f>+HYPERLINK("http://trademark.i-assist.jp/data/china/image_1925th/82415321.pdf","82415321")</f>
        <v>82415321</v>
      </c>
      <c r="F2160" s="9" t="s">
        <v>5846</v>
      </c>
      <c r="G2160" s="9" t="s">
        <v>5847</v>
      </c>
      <c r="H2160" s="9" t="s">
        <v>5848</v>
      </c>
      <c r="I2160" s="10">
        <v>45633</v>
      </c>
    </row>
    <row r="2161" spans="1:9" x14ac:dyDescent="0.15">
      <c r="A2161" s="9">
        <v>2160</v>
      </c>
      <c r="B2161" s="9" t="s">
        <v>9</v>
      </c>
      <c r="C2161" s="9">
        <v>1925</v>
      </c>
      <c r="D2161" s="10">
        <v>45715</v>
      </c>
      <c r="E2161" s="11" t="str">
        <f>+HYPERLINK("http://trademark.i-assist.jp/data/china/image_1925th/82415924.pdf","82415924")</f>
        <v>82415924</v>
      </c>
      <c r="F2161" s="9" t="s">
        <v>5849</v>
      </c>
      <c r="G2161" s="12" t="s">
        <v>5829</v>
      </c>
      <c r="H2161" s="9" t="s">
        <v>5850</v>
      </c>
      <c r="I2161" s="10">
        <v>45633</v>
      </c>
    </row>
    <row r="2162" spans="1:9" x14ac:dyDescent="0.15">
      <c r="A2162" s="9">
        <v>2161</v>
      </c>
      <c r="B2162" s="9" t="s">
        <v>9</v>
      </c>
      <c r="C2162" s="9">
        <v>1925</v>
      </c>
      <c r="D2162" s="10">
        <v>45715</v>
      </c>
      <c r="E2162" s="11" t="str">
        <f>+HYPERLINK("http://trademark.i-assist.jp/data/china/image_1925th/82415926.pdf","82415926")</f>
        <v>82415926</v>
      </c>
      <c r="F2162" s="9" t="s">
        <v>5851</v>
      </c>
      <c r="G2162" s="12" t="s">
        <v>5829</v>
      </c>
      <c r="H2162" s="12" t="s">
        <v>5852</v>
      </c>
      <c r="I2162" s="10">
        <v>45633</v>
      </c>
    </row>
    <row r="2163" spans="1:9" x14ac:dyDescent="0.15">
      <c r="A2163" s="9">
        <v>2162</v>
      </c>
      <c r="B2163" s="9" t="s">
        <v>9</v>
      </c>
      <c r="C2163" s="9">
        <v>1925</v>
      </c>
      <c r="D2163" s="10">
        <v>45715</v>
      </c>
      <c r="E2163" s="11" t="str">
        <f>+HYPERLINK("http://trademark.i-assist.jp/data/china/image_1925th/82416256.pdf","82416256")</f>
        <v>82416256</v>
      </c>
      <c r="F2163" s="9" t="s">
        <v>5853</v>
      </c>
      <c r="G2163" s="9" t="s">
        <v>5823</v>
      </c>
      <c r="H2163" s="9" t="s">
        <v>5854</v>
      </c>
      <c r="I2163" s="10">
        <v>45633</v>
      </c>
    </row>
    <row r="2164" spans="1:9" x14ac:dyDescent="0.15">
      <c r="A2164" s="9">
        <v>2163</v>
      </c>
      <c r="B2164" s="9" t="s">
        <v>9</v>
      </c>
      <c r="C2164" s="9">
        <v>1925</v>
      </c>
      <c r="D2164" s="10">
        <v>45715</v>
      </c>
      <c r="E2164" s="11" t="str">
        <f>+HYPERLINK("http://trademark.i-assist.jp/data/china/image_1925th/82416827.pdf","82416827")</f>
        <v>82416827</v>
      </c>
      <c r="F2164" s="12" t="s">
        <v>5855</v>
      </c>
      <c r="G2164" s="12" t="s">
        <v>5829</v>
      </c>
      <c r="H2164" s="9" t="s">
        <v>5856</v>
      </c>
      <c r="I2164" s="10">
        <v>45633</v>
      </c>
    </row>
    <row r="2165" spans="1:9" x14ac:dyDescent="0.15">
      <c r="A2165" s="9">
        <v>2164</v>
      </c>
      <c r="B2165" s="9" t="s">
        <v>9</v>
      </c>
      <c r="C2165" s="9">
        <v>1925</v>
      </c>
      <c r="D2165" s="10">
        <v>45715</v>
      </c>
      <c r="E2165" s="11" t="str">
        <f>+HYPERLINK("http://trademark.i-assist.jp/data/china/image_1925th/82416833.pdf","82416833")</f>
        <v>82416833</v>
      </c>
      <c r="F2165" s="9" t="s">
        <v>5857</v>
      </c>
      <c r="G2165" s="12" t="s">
        <v>5829</v>
      </c>
      <c r="H2165" s="12" t="s">
        <v>5858</v>
      </c>
      <c r="I2165" s="10">
        <v>45633</v>
      </c>
    </row>
    <row r="2166" spans="1:9" x14ac:dyDescent="0.15">
      <c r="A2166" s="9">
        <v>2165</v>
      </c>
      <c r="B2166" s="9" t="s">
        <v>9</v>
      </c>
      <c r="C2166" s="9">
        <v>1925</v>
      </c>
      <c r="D2166" s="10">
        <v>45715</v>
      </c>
      <c r="E2166" s="11" t="str">
        <f>+HYPERLINK("http://trademark.i-assist.jp/data/china/image_1925th/82416834.pdf","82416834")</f>
        <v>82416834</v>
      </c>
      <c r="F2166" s="9" t="s">
        <v>5859</v>
      </c>
      <c r="G2166" s="12" t="s">
        <v>5829</v>
      </c>
      <c r="H2166" s="9" t="s">
        <v>5860</v>
      </c>
      <c r="I2166" s="10">
        <v>45633</v>
      </c>
    </row>
    <row r="2167" spans="1:9" x14ac:dyDescent="0.15">
      <c r="A2167" s="9">
        <v>2166</v>
      </c>
      <c r="B2167" s="9" t="s">
        <v>9</v>
      </c>
      <c r="C2167" s="9">
        <v>1925</v>
      </c>
      <c r="D2167" s="10">
        <v>45715</v>
      </c>
      <c r="E2167" s="11" t="str">
        <f>+HYPERLINK("http://trademark.i-assist.jp/data/china/image_1925th/82417056.pdf","82417056")</f>
        <v>82417056</v>
      </c>
      <c r="F2167" s="9" t="s">
        <v>5861</v>
      </c>
      <c r="G2167" s="12" t="s">
        <v>5826</v>
      </c>
      <c r="H2167" s="9" t="s">
        <v>5862</v>
      </c>
      <c r="I2167" s="10">
        <v>45633</v>
      </c>
    </row>
    <row r="2168" spans="1:9" x14ac:dyDescent="0.15">
      <c r="A2168" s="9">
        <v>2167</v>
      </c>
      <c r="B2168" s="9" t="s">
        <v>9</v>
      </c>
      <c r="C2168" s="9">
        <v>1925</v>
      </c>
      <c r="D2168" s="10">
        <v>45715</v>
      </c>
      <c r="E2168" s="11" t="str">
        <f>+HYPERLINK("http://trademark.i-assist.jp/data/china/image_1925th/82417128.pdf","82417128")</f>
        <v>82417128</v>
      </c>
      <c r="F2168" s="9" t="s">
        <v>5863</v>
      </c>
      <c r="G2168" s="9" t="s">
        <v>5864</v>
      </c>
      <c r="H2168" s="12" t="s">
        <v>5865</v>
      </c>
      <c r="I2168" s="10">
        <v>45633</v>
      </c>
    </row>
    <row r="2169" spans="1:9" x14ac:dyDescent="0.15">
      <c r="A2169" s="9">
        <v>2168</v>
      </c>
      <c r="B2169" s="9" t="s">
        <v>9</v>
      </c>
      <c r="C2169" s="9">
        <v>1925</v>
      </c>
      <c r="D2169" s="10">
        <v>45715</v>
      </c>
      <c r="E2169" s="11" t="str">
        <f>+HYPERLINK("http://trademark.i-assist.jp/data/china/image_1925th/82417363.pdf","82417363")</f>
        <v>82417363</v>
      </c>
      <c r="F2169" s="9" t="s">
        <v>5866</v>
      </c>
      <c r="G2169" s="9" t="s">
        <v>5867</v>
      </c>
      <c r="H2169" s="9" t="s">
        <v>5868</v>
      </c>
      <c r="I2169" s="10">
        <v>45633</v>
      </c>
    </row>
    <row r="2170" spans="1:9" x14ac:dyDescent="0.15">
      <c r="A2170" s="9">
        <v>2169</v>
      </c>
      <c r="B2170" s="9" t="s">
        <v>9</v>
      </c>
      <c r="C2170" s="9">
        <v>1925</v>
      </c>
      <c r="D2170" s="10">
        <v>45715</v>
      </c>
      <c r="E2170" s="11" t="str">
        <f>+HYPERLINK("http://trademark.i-assist.jp/data/china/image_1925th/82418775.pdf","82418775")</f>
        <v>82418775</v>
      </c>
      <c r="F2170" s="9" t="s">
        <v>5869</v>
      </c>
      <c r="G2170" s="12" t="s">
        <v>5829</v>
      </c>
      <c r="H2170" s="12" t="s">
        <v>5870</v>
      </c>
      <c r="I2170" s="10">
        <v>45633</v>
      </c>
    </row>
    <row r="2171" spans="1:9" x14ac:dyDescent="0.15">
      <c r="A2171" s="9">
        <v>2170</v>
      </c>
      <c r="B2171" s="9" t="s">
        <v>9</v>
      </c>
      <c r="C2171" s="9">
        <v>1925</v>
      </c>
      <c r="D2171" s="10">
        <v>45715</v>
      </c>
      <c r="E2171" s="11" t="str">
        <f>+HYPERLINK("http://trademark.i-assist.jp/data/china/image_1925th/82420478.pdf","82420478")</f>
        <v>82420478</v>
      </c>
      <c r="F2171" s="12" t="s">
        <v>5871</v>
      </c>
      <c r="G2171" s="9" t="s">
        <v>5872</v>
      </c>
      <c r="H2171" s="9" t="s">
        <v>5873</v>
      </c>
      <c r="I2171" s="10">
        <v>45634</v>
      </c>
    </row>
    <row r="2172" spans="1:9" x14ac:dyDescent="0.15">
      <c r="A2172" s="9">
        <v>2171</v>
      </c>
      <c r="B2172" s="9" t="s">
        <v>9</v>
      </c>
      <c r="C2172" s="9">
        <v>1925</v>
      </c>
      <c r="D2172" s="10">
        <v>45715</v>
      </c>
      <c r="E2172" s="11" t="str">
        <f>+HYPERLINK("http://trademark.i-assist.jp/data/china/image_1925th/82420763.pdf","82420763")</f>
        <v>82420763</v>
      </c>
      <c r="F2172" s="9" t="s">
        <v>5874</v>
      </c>
      <c r="G2172" s="12" t="s">
        <v>5875</v>
      </c>
      <c r="H2172" s="9" t="s">
        <v>5876</v>
      </c>
      <c r="I2172" s="10">
        <v>45634</v>
      </c>
    </row>
    <row r="2173" spans="1:9" x14ac:dyDescent="0.15">
      <c r="A2173" s="9">
        <v>2172</v>
      </c>
      <c r="B2173" s="9" t="s">
        <v>9</v>
      </c>
      <c r="C2173" s="9">
        <v>1925</v>
      </c>
      <c r="D2173" s="10">
        <v>45715</v>
      </c>
      <c r="E2173" s="11" t="str">
        <f>+HYPERLINK("http://trademark.i-assist.jp/data/china/image_1925th/82421069.pdf","82421069")</f>
        <v>82421069</v>
      </c>
      <c r="F2173" s="9" t="s">
        <v>5877</v>
      </c>
      <c r="G2173" s="9" t="s">
        <v>5878</v>
      </c>
      <c r="H2173" s="9" t="s">
        <v>5879</v>
      </c>
      <c r="I2173" s="10">
        <v>45634</v>
      </c>
    </row>
    <row r="2174" spans="1:9" x14ac:dyDescent="0.15">
      <c r="A2174" s="9">
        <v>2173</v>
      </c>
      <c r="B2174" s="9" t="s">
        <v>9</v>
      </c>
      <c r="C2174" s="9">
        <v>1925</v>
      </c>
      <c r="D2174" s="10">
        <v>45715</v>
      </c>
      <c r="E2174" s="11" t="str">
        <f>+HYPERLINK("http://trademark.i-assist.jp/data/china/image_1925th/82421844.pdf","82421844")</f>
        <v>82421844</v>
      </c>
      <c r="F2174" s="9" t="s">
        <v>5880</v>
      </c>
      <c r="G2174" s="9" t="s">
        <v>5881</v>
      </c>
      <c r="H2174" s="9" t="s">
        <v>5882</v>
      </c>
      <c r="I2174" s="10">
        <v>45634</v>
      </c>
    </row>
    <row r="2175" spans="1:9" x14ac:dyDescent="0.15">
      <c r="A2175" s="9">
        <v>2174</v>
      </c>
      <c r="B2175" s="9" t="s">
        <v>9</v>
      </c>
      <c r="C2175" s="9">
        <v>1925</v>
      </c>
      <c r="D2175" s="10">
        <v>45715</v>
      </c>
      <c r="E2175" s="11" t="str">
        <f>+HYPERLINK("http://trademark.i-assist.jp/data/china/image_1925th/82422324.pdf","82422324")</f>
        <v>82422324</v>
      </c>
      <c r="F2175" s="9" t="s">
        <v>5883</v>
      </c>
      <c r="G2175" s="9" t="s">
        <v>5884</v>
      </c>
      <c r="H2175" s="9" t="s">
        <v>5885</v>
      </c>
      <c r="I2175" s="10">
        <v>45635</v>
      </c>
    </row>
    <row r="2176" spans="1:9" x14ac:dyDescent="0.15">
      <c r="A2176" s="9">
        <v>2175</v>
      </c>
      <c r="B2176" s="9" t="s">
        <v>9</v>
      </c>
      <c r="C2176" s="9">
        <v>1925</v>
      </c>
      <c r="D2176" s="10">
        <v>45715</v>
      </c>
      <c r="E2176" s="11" t="str">
        <f>+HYPERLINK("http://trademark.i-assist.jp/data/china/image_1925th/82422868.pdf","82422868")</f>
        <v>82422868</v>
      </c>
      <c r="F2176" s="9" t="s">
        <v>5886</v>
      </c>
      <c r="G2176" s="9" t="s">
        <v>5887</v>
      </c>
      <c r="H2176" s="9" t="s">
        <v>5888</v>
      </c>
      <c r="I2176" s="10">
        <v>45635</v>
      </c>
    </row>
    <row r="2177" spans="1:9" x14ac:dyDescent="0.15">
      <c r="A2177" s="9">
        <v>2176</v>
      </c>
      <c r="B2177" s="9" t="s">
        <v>9</v>
      </c>
      <c r="C2177" s="9">
        <v>1925</v>
      </c>
      <c r="D2177" s="10">
        <v>45715</v>
      </c>
      <c r="E2177" s="11" t="str">
        <f>+HYPERLINK("http://trademark.i-assist.jp/data/china/image_1925th/82422903.pdf","82422903")</f>
        <v>82422903</v>
      </c>
      <c r="F2177" s="9" t="s">
        <v>5889</v>
      </c>
      <c r="G2177" s="9" t="s">
        <v>5890</v>
      </c>
      <c r="H2177" s="9" t="s">
        <v>5891</v>
      </c>
      <c r="I2177" s="10">
        <v>45635</v>
      </c>
    </row>
    <row r="2178" spans="1:9" x14ac:dyDescent="0.15">
      <c r="A2178" s="9">
        <v>2177</v>
      </c>
      <c r="B2178" s="9" t="s">
        <v>9</v>
      </c>
      <c r="C2178" s="9">
        <v>1925</v>
      </c>
      <c r="D2178" s="10">
        <v>45715</v>
      </c>
      <c r="E2178" s="11" t="str">
        <f>+HYPERLINK("http://trademark.i-assist.jp/data/china/image_1925th/82423063.pdf","82423063")</f>
        <v>82423063</v>
      </c>
      <c r="F2178" s="12" t="s">
        <v>5892</v>
      </c>
      <c r="G2178" s="12" t="s">
        <v>5893</v>
      </c>
      <c r="H2178" s="9" t="s">
        <v>5894</v>
      </c>
      <c r="I2178" s="10">
        <v>45635</v>
      </c>
    </row>
    <row r="2179" spans="1:9" x14ac:dyDescent="0.15">
      <c r="A2179" s="9">
        <v>2178</v>
      </c>
      <c r="B2179" s="9" t="s">
        <v>9</v>
      </c>
      <c r="C2179" s="9">
        <v>1925</v>
      </c>
      <c r="D2179" s="10">
        <v>45715</v>
      </c>
      <c r="E2179" s="11" t="str">
        <f>+HYPERLINK("http://trademark.i-assist.jp/data/china/image_1925th/82423108.pdf","82423108")</f>
        <v>82423108</v>
      </c>
      <c r="F2179" s="9" t="s">
        <v>5895</v>
      </c>
      <c r="G2179" s="12" t="s">
        <v>5896</v>
      </c>
      <c r="H2179" s="12" t="s">
        <v>5897</v>
      </c>
      <c r="I2179" s="10">
        <v>45635</v>
      </c>
    </row>
    <row r="2180" spans="1:9" x14ac:dyDescent="0.15">
      <c r="A2180" s="9">
        <v>2179</v>
      </c>
      <c r="B2180" s="9" t="s">
        <v>9</v>
      </c>
      <c r="C2180" s="9">
        <v>1925</v>
      </c>
      <c r="D2180" s="10">
        <v>45715</v>
      </c>
      <c r="E2180" s="11" t="str">
        <f>+HYPERLINK("http://trademark.i-assist.jp/data/china/image_1925th/82424788.pdf","82424788")</f>
        <v>82424788</v>
      </c>
      <c r="F2180" s="12" t="s">
        <v>57</v>
      </c>
      <c r="G2180" s="9" t="s">
        <v>5898</v>
      </c>
      <c r="H2180" s="9" t="s">
        <v>5899</v>
      </c>
      <c r="I2180" s="10">
        <v>45635</v>
      </c>
    </row>
    <row r="2181" spans="1:9" x14ac:dyDescent="0.15">
      <c r="A2181" s="9">
        <v>2180</v>
      </c>
      <c r="B2181" s="9" t="s">
        <v>9</v>
      </c>
      <c r="C2181" s="9">
        <v>1925</v>
      </c>
      <c r="D2181" s="10">
        <v>45715</v>
      </c>
      <c r="E2181" s="11" t="str">
        <f>+HYPERLINK("http://trademark.i-assist.jp/data/china/image_1925th/82426793.pdf","82426793")</f>
        <v>82426793</v>
      </c>
      <c r="F2181" s="12" t="s">
        <v>5900</v>
      </c>
      <c r="G2181" s="12" t="s">
        <v>5901</v>
      </c>
      <c r="H2181" s="9" t="s">
        <v>5902</v>
      </c>
      <c r="I2181" s="10">
        <v>45635</v>
      </c>
    </row>
    <row r="2182" spans="1:9" x14ac:dyDescent="0.15">
      <c r="A2182" s="9">
        <v>2181</v>
      </c>
      <c r="B2182" s="9" t="s">
        <v>9</v>
      </c>
      <c r="C2182" s="9">
        <v>1925</v>
      </c>
      <c r="D2182" s="10">
        <v>45715</v>
      </c>
      <c r="E2182" s="11" t="str">
        <f>+HYPERLINK("http://trademark.i-assist.jp/data/china/image_1925th/82426837.pdf","82426837")</f>
        <v>82426837</v>
      </c>
      <c r="F2182" s="12" t="s">
        <v>5903</v>
      </c>
      <c r="G2182" s="9" t="s">
        <v>5904</v>
      </c>
      <c r="H2182" s="9" t="s">
        <v>5905</v>
      </c>
      <c r="I2182" s="10">
        <v>45635</v>
      </c>
    </row>
    <row r="2183" spans="1:9" x14ac:dyDescent="0.15">
      <c r="A2183" s="9">
        <v>2182</v>
      </c>
      <c r="B2183" s="9" t="s">
        <v>9</v>
      </c>
      <c r="C2183" s="9">
        <v>1925</v>
      </c>
      <c r="D2183" s="10">
        <v>45715</v>
      </c>
      <c r="E2183" s="11" t="str">
        <f>+HYPERLINK("http://trademark.i-assist.jp/data/china/image_1925th/82429230.pdf","82429230")</f>
        <v>82429230</v>
      </c>
      <c r="F2183" s="12" t="s">
        <v>5906</v>
      </c>
      <c r="G2183" s="9" t="s">
        <v>5907</v>
      </c>
      <c r="H2183" s="9" t="s">
        <v>5908</v>
      </c>
      <c r="I2183" s="10">
        <v>45635</v>
      </c>
    </row>
    <row r="2184" spans="1:9" x14ac:dyDescent="0.15">
      <c r="A2184" s="9">
        <v>2183</v>
      </c>
      <c r="B2184" s="9" t="s">
        <v>9</v>
      </c>
      <c r="C2184" s="9">
        <v>1925</v>
      </c>
      <c r="D2184" s="10">
        <v>45715</v>
      </c>
      <c r="E2184" s="11" t="str">
        <f>+HYPERLINK("http://trademark.i-assist.jp/data/china/image_1925th/82429244.pdf","82429244")</f>
        <v>82429244</v>
      </c>
      <c r="F2184" s="12" t="s">
        <v>5909</v>
      </c>
      <c r="G2184" s="9" t="s">
        <v>5910</v>
      </c>
      <c r="H2184" s="9" t="s">
        <v>5911</v>
      </c>
      <c r="I2184" s="10">
        <v>45635</v>
      </c>
    </row>
    <row r="2185" spans="1:9" x14ac:dyDescent="0.15">
      <c r="A2185" s="9">
        <v>2184</v>
      </c>
      <c r="B2185" s="9" t="s">
        <v>9</v>
      </c>
      <c r="C2185" s="9">
        <v>1925</v>
      </c>
      <c r="D2185" s="10">
        <v>45715</v>
      </c>
      <c r="E2185" s="11" t="str">
        <f>+HYPERLINK("http://trademark.i-assist.jp/data/china/image_1925th/82429796.pdf","82429796")</f>
        <v>82429796</v>
      </c>
      <c r="F2185" s="12" t="s">
        <v>57</v>
      </c>
      <c r="G2185" s="9" t="s">
        <v>5912</v>
      </c>
      <c r="H2185" s="9" t="s">
        <v>5913</v>
      </c>
      <c r="I2185" s="10">
        <v>45635</v>
      </c>
    </row>
    <row r="2186" spans="1:9" x14ac:dyDescent="0.15">
      <c r="A2186" s="9">
        <v>2185</v>
      </c>
      <c r="B2186" s="9" t="s">
        <v>9</v>
      </c>
      <c r="C2186" s="9">
        <v>1925</v>
      </c>
      <c r="D2186" s="10">
        <v>45715</v>
      </c>
      <c r="E2186" s="11" t="str">
        <f>+HYPERLINK("http://trademark.i-assist.jp/data/china/image_1925th/82430283.pdf","82430283")</f>
        <v>82430283</v>
      </c>
      <c r="F2186" s="9" t="s">
        <v>5914</v>
      </c>
      <c r="G2186" s="9" t="s">
        <v>5915</v>
      </c>
      <c r="H2186" s="9" t="s">
        <v>5916</v>
      </c>
      <c r="I2186" s="10">
        <v>45635</v>
      </c>
    </row>
    <row r="2187" spans="1:9" x14ac:dyDescent="0.15">
      <c r="A2187" s="9">
        <v>2186</v>
      </c>
      <c r="B2187" s="9" t="s">
        <v>9</v>
      </c>
      <c r="C2187" s="9">
        <v>1925</v>
      </c>
      <c r="D2187" s="10">
        <v>45715</v>
      </c>
      <c r="E2187" s="11" t="str">
        <f>+HYPERLINK("http://trademark.i-assist.jp/data/china/image_1925th/82431551.pdf","82431551")</f>
        <v>82431551</v>
      </c>
      <c r="F2187" s="9" t="s">
        <v>5917</v>
      </c>
      <c r="G2187" s="9" t="s">
        <v>5918</v>
      </c>
      <c r="H2187" s="9" t="s">
        <v>5919</v>
      </c>
      <c r="I2187" s="10">
        <v>45635</v>
      </c>
    </row>
    <row r="2188" spans="1:9" x14ac:dyDescent="0.15">
      <c r="A2188" s="9">
        <v>2187</v>
      </c>
      <c r="B2188" s="9" t="s">
        <v>9</v>
      </c>
      <c r="C2188" s="9">
        <v>1925</v>
      </c>
      <c r="D2188" s="10">
        <v>45715</v>
      </c>
      <c r="E2188" s="11" t="str">
        <f>+HYPERLINK("http://trademark.i-assist.jp/data/china/image_1925th/82431588.pdf","82431588")</f>
        <v>82431588</v>
      </c>
      <c r="F2188" s="12" t="s">
        <v>5920</v>
      </c>
      <c r="G2188" s="9" t="s">
        <v>5887</v>
      </c>
      <c r="H2188" s="9" t="s">
        <v>5921</v>
      </c>
      <c r="I2188" s="10">
        <v>45635</v>
      </c>
    </row>
    <row r="2189" spans="1:9" x14ac:dyDescent="0.15">
      <c r="A2189" s="9">
        <v>2188</v>
      </c>
      <c r="B2189" s="9" t="s">
        <v>9</v>
      </c>
      <c r="C2189" s="9">
        <v>1925</v>
      </c>
      <c r="D2189" s="10">
        <v>45715</v>
      </c>
      <c r="E2189" s="11" t="str">
        <f>+HYPERLINK("http://trademark.i-assist.jp/data/china/image_1925th/82434038.pdf","82434038")</f>
        <v>82434038</v>
      </c>
      <c r="F2189" s="9" t="s">
        <v>5922</v>
      </c>
      <c r="G2189" s="9" t="s">
        <v>5923</v>
      </c>
      <c r="H2189" s="9" t="s">
        <v>5924</v>
      </c>
      <c r="I2189" s="10">
        <v>45635</v>
      </c>
    </row>
    <row r="2190" spans="1:9" x14ac:dyDescent="0.15">
      <c r="A2190" s="9">
        <v>2189</v>
      </c>
      <c r="B2190" s="9" t="s">
        <v>9</v>
      </c>
      <c r="C2190" s="9">
        <v>1925</v>
      </c>
      <c r="D2190" s="10">
        <v>45715</v>
      </c>
      <c r="E2190" s="11" t="str">
        <f>+HYPERLINK("http://trademark.i-assist.jp/data/china/image_1925th/82434382.pdf","82434382")</f>
        <v>82434382</v>
      </c>
      <c r="F2190" s="9" t="s">
        <v>5925</v>
      </c>
      <c r="G2190" s="9" t="s">
        <v>5926</v>
      </c>
      <c r="H2190" s="12" t="s">
        <v>5927</v>
      </c>
      <c r="I2190" s="10">
        <v>45635</v>
      </c>
    </row>
    <row r="2191" spans="1:9" x14ac:dyDescent="0.15">
      <c r="A2191" s="9">
        <v>2190</v>
      </c>
      <c r="B2191" s="9" t="s">
        <v>9</v>
      </c>
      <c r="C2191" s="9">
        <v>1925</v>
      </c>
      <c r="D2191" s="10">
        <v>45715</v>
      </c>
      <c r="E2191" s="11" t="str">
        <f>+HYPERLINK("http://trademark.i-assist.jp/data/china/image_1925th/82437381.pdf","82437381")</f>
        <v>82437381</v>
      </c>
      <c r="F2191" s="9" t="s">
        <v>5928</v>
      </c>
      <c r="G2191" s="12" t="s">
        <v>5896</v>
      </c>
      <c r="H2191" s="9" t="s">
        <v>5929</v>
      </c>
      <c r="I2191" s="10">
        <v>45635</v>
      </c>
    </row>
    <row r="2192" spans="1:9" x14ac:dyDescent="0.15">
      <c r="A2192" s="9">
        <v>2191</v>
      </c>
      <c r="B2192" s="9" t="s">
        <v>9</v>
      </c>
      <c r="C2192" s="9">
        <v>1925</v>
      </c>
      <c r="D2192" s="10">
        <v>45715</v>
      </c>
      <c r="E2192" s="11" t="str">
        <f>+HYPERLINK("http://trademark.i-assist.jp/data/china/image_1925th/82437469.pdf","82437469")</f>
        <v>82437469</v>
      </c>
      <c r="F2192" s="12" t="s">
        <v>5930</v>
      </c>
      <c r="G2192" s="9" t="s">
        <v>5931</v>
      </c>
      <c r="H2192" s="9" t="s">
        <v>5932</v>
      </c>
      <c r="I2192" s="10">
        <v>45635</v>
      </c>
    </row>
    <row r="2193" spans="1:9" x14ac:dyDescent="0.15">
      <c r="A2193" s="9">
        <v>2192</v>
      </c>
      <c r="B2193" s="9" t="s">
        <v>9</v>
      </c>
      <c r="C2193" s="9">
        <v>1925</v>
      </c>
      <c r="D2193" s="10">
        <v>45715</v>
      </c>
      <c r="E2193" s="11" t="str">
        <f>+HYPERLINK("http://trademark.i-assist.jp/data/china/image_1925th/82438409.pdf","82438409")</f>
        <v>82438409</v>
      </c>
      <c r="F2193" s="12" t="s">
        <v>5933</v>
      </c>
      <c r="G2193" s="12" t="s">
        <v>5934</v>
      </c>
      <c r="H2193" s="9" t="s">
        <v>5935</v>
      </c>
      <c r="I2193" s="10">
        <v>45635</v>
      </c>
    </row>
    <row r="2194" spans="1:9" x14ac:dyDescent="0.15">
      <c r="A2194" s="9">
        <v>2193</v>
      </c>
      <c r="B2194" s="9" t="s">
        <v>9</v>
      </c>
      <c r="C2194" s="9">
        <v>1925</v>
      </c>
      <c r="D2194" s="10">
        <v>45715</v>
      </c>
      <c r="E2194" s="11" t="str">
        <f>+HYPERLINK("http://trademark.i-assist.jp/data/china/image_1925th/82439332.pdf","82439332")</f>
        <v>82439332</v>
      </c>
      <c r="F2194" s="12" t="s">
        <v>5936</v>
      </c>
      <c r="G2194" s="12" t="s">
        <v>5937</v>
      </c>
      <c r="H2194" s="12" t="s">
        <v>5938</v>
      </c>
      <c r="I2194" s="10">
        <v>45635</v>
      </c>
    </row>
    <row r="2195" spans="1:9" x14ac:dyDescent="0.15">
      <c r="A2195" s="9">
        <v>2194</v>
      </c>
      <c r="B2195" s="9" t="s">
        <v>9</v>
      </c>
      <c r="C2195" s="9">
        <v>1925</v>
      </c>
      <c r="D2195" s="10">
        <v>45715</v>
      </c>
      <c r="E2195" s="11" t="str">
        <f>+HYPERLINK("http://trademark.i-assist.jp/data/china/image_1925th/82440740.pdf","82440740")</f>
        <v>82440740</v>
      </c>
      <c r="F2195" s="12" t="s">
        <v>5939</v>
      </c>
      <c r="G2195" s="12" t="s">
        <v>5940</v>
      </c>
      <c r="H2195" s="9" t="s">
        <v>5941</v>
      </c>
      <c r="I2195" s="10">
        <v>45635</v>
      </c>
    </row>
    <row r="2196" spans="1:9" x14ac:dyDescent="0.15">
      <c r="A2196" s="9">
        <v>2195</v>
      </c>
      <c r="B2196" s="9" t="s">
        <v>9</v>
      </c>
      <c r="C2196" s="9">
        <v>1925</v>
      </c>
      <c r="D2196" s="10">
        <v>45715</v>
      </c>
      <c r="E2196" s="11" t="str">
        <f>+HYPERLINK("http://trademark.i-assist.jp/data/china/image_1925th/82440742.pdf","82440742")</f>
        <v>82440742</v>
      </c>
      <c r="F2196" s="12" t="s">
        <v>57</v>
      </c>
      <c r="G2196" s="12" t="s">
        <v>5942</v>
      </c>
      <c r="H2196" s="12" t="s">
        <v>5943</v>
      </c>
      <c r="I2196" s="10">
        <v>45635</v>
      </c>
    </row>
    <row r="2197" spans="1:9" x14ac:dyDescent="0.15">
      <c r="A2197" s="9">
        <v>2196</v>
      </c>
      <c r="B2197" s="9" t="s">
        <v>9</v>
      </c>
      <c r="C2197" s="9">
        <v>1925</v>
      </c>
      <c r="D2197" s="10">
        <v>45715</v>
      </c>
      <c r="E2197" s="11" t="str">
        <f>+HYPERLINK("http://trademark.i-assist.jp/data/china/image_1925th/82441949.pdf","82441949")</f>
        <v>82441949</v>
      </c>
      <c r="F2197" s="9" t="s">
        <v>5944</v>
      </c>
      <c r="G2197" s="9" t="s">
        <v>5945</v>
      </c>
      <c r="H2197" s="12" t="s">
        <v>5946</v>
      </c>
      <c r="I2197" s="10">
        <v>45635</v>
      </c>
    </row>
    <row r="2198" spans="1:9" x14ac:dyDescent="0.15">
      <c r="A2198" s="9">
        <v>2197</v>
      </c>
      <c r="B2198" s="9" t="s">
        <v>9</v>
      </c>
      <c r="C2198" s="9">
        <v>1925</v>
      </c>
      <c r="D2198" s="10">
        <v>45715</v>
      </c>
      <c r="E2198" s="11" t="str">
        <f>+HYPERLINK("http://trademark.i-assist.jp/data/china/image_1925th/82442026.pdf","82442026")</f>
        <v>82442026</v>
      </c>
      <c r="F2198" s="9" t="s">
        <v>5947</v>
      </c>
      <c r="G2198" s="12" t="s">
        <v>5948</v>
      </c>
      <c r="H2198" s="9" t="s">
        <v>5949</v>
      </c>
      <c r="I2198" s="10">
        <v>45635</v>
      </c>
    </row>
    <row r="2199" spans="1:9" x14ac:dyDescent="0.15">
      <c r="A2199" s="9">
        <v>2198</v>
      </c>
      <c r="B2199" s="9" t="s">
        <v>9</v>
      </c>
      <c r="C2199" s="9">
        <v>1925</v>
      </c>
      <c r="D2199" s="10">
        <v>45715</v>
      </c>
      <c r="E2199" s="11" t="str">
        <f>+HYPERLINK("http://trademark.i-assist.jp/data/china/image_1925th/82442384.pdf","82442384")</f>
        <v>82442384</v>
      </c>
      <c r="F2199" s="9" t="s">
        <v>5950</v>
      </c>
      <c r="G2199" s="9" t="s">
        <v>5910</v>
      </c>
      <c r="H2199" s="9" t="s">
        <v>5951</v>
      </c>
      <c r="I2199" s="10">
        <v>45635</v>
      </c>
    </row>
    <row r="2200" spans="1:9" x14ac:dyDescent="0.15">
      <c r="A2200" s="9">
        <v>2199</v>
      </c>
      <c r="B2200" s="9" t="s">
        <v>9</v>
      </c>
      <c r="C2200" s="9">
        <v>1925</v>
      </c>
      <c r="D2200" s="10">
        <v>45715</v>
      </c>
      <c r="E2200" s="11" t="str">
        <f>+HYPERLINK("http://trademark.i-assist.jp/data/china/image_1925th/82443496.pdf","82443496")</f>
        <v>82443496</v>
      </c>
      <c r="F2200" s="12" t="s">
        <v>5952</v>
      </c>
      <c r="G2200" s="9" t="s">
        <v>5953</v>
      </c>
      <c r="H2200" s="9" t="s">
        <v>5954</v>
      </c>
      <c r="I2200" s="10">
        <v>45635</v>
      </c>
    </row>
    <row r="2201" spans="1:9" x14ac:dyDescent="0.15">
      <c r="A2201" s="9">
        <v>2200</v>
      </c>
      <c r="B2201" s="9" t="s">
        <v>9</v>
      </c>
      <c r="C2201" s="9">
        <v>1925</v>
      </c>
      <c r="D2201" s="10">
        <v>45715</v>
      </c>
      <c r="E2201" s="11" t="str">
        <f>+HYPERLINK("http://trademark.i-assist.jp/data/china/image_1925th/82443708.pdf","82443708")</f>
        <v>82443708</v>
      </c>
      <c r="F2201" s="9" t="s">
        <v>5955</v>
      </c>
      <c r="G2201" s="9" t="s">
        <v>5956</v>
      </c>
      <c r="H2201" s="9" t="s">
        <v>5957</v>
      </c>
      <c r="I2201" s="10">
        <v>45635</v>
      </c>
    </row>
    <row r="2202" spans="1:9" x14ac:dyDescent="0.15">
      <c r="A2202" s="9">
        <v>2201</v>
      </c>
      <c r="B2202" s="9" t="s">
        <v>9</v>
      </c>
      <c r="C2202" s="9">
        <v>1925</v>
      </c>
      <c r="D2202" s="10">
        <v>45715</v>
      </c>
      <c r="E2202" s="11" t="str">
        <f>+HYPERLINK("http://trademark.i-assist.jp/data/china/image_1925th/82444000.pdf","82444000")</f>
        <v>82444000</v>
      </c>
      <c r="F2202" s="9" t="s">
        <v>5958</v>
      </c>
      <c r="G2202" s="9" t="s">
        <v>5959</v>
      </c>
      <c r="H2202" s="12" t="s">
        <v>5960</v>
      </c>
      <c r="I2202" s="10">
        <v>45635</v>
      </c>
    </row>
    <row r="2203" spans="1:9" x14ac:dyDescent="0.15">
      <c r="A2203" s="9">
        <v>2202</v>
      </c>
      <c r="B2203" s="9" t="s">
        <v>9</v>
      </c>
      <c r="C2203" s="9">
        <v>1925</v>
      </c>
      <c r="D2203" s="10">
        <v>45715</v>
      </c>
      <c r="E2203" s="11" t="str">
        <f>+HYPERLINK("http://trademark.i-assist.jp/data/china/image_1925th/82445033.pdf","82445033")</f>
        <v>82445033</v>
      </c>
      <c r="F2203" s="9" t="s">
        <v>5961</v>
      </c>
      <c r="G2203" s="9" t="s">
        <v>5926</v>
      </c>
      <c r="H2203" s="9" t="s">
        <v>5962</v>
      </c>
      <c r="I2203" s="10">
        <v>45635</v>
      </c>
    </row>
    <row r="2204" spans="1:9" x14ac:dyDescent="0.15">
      <c r="A2204" s="9">
        <v>2203</v>
      </c>
      <c r="B2204" s="9" t="s">
        <v>9</v>
      </c>
      <c r="C2204" s="9">
        <v>1925</v>
      </c>
      <c r="D2204" s="10">
        <v>45715</v>
      </c>
      <c r="E2204" s="11" t="str">
        <f>+HYPERLINK("http://trademark.i-assist.jp/data/china/image_1925th/82445576.pdf","82445576")</f>
        <v>82445576</v>
      </c>
      <c r="F2204" s="9" t="s">
        <v>5963</v>
      </c>
      <c r="G2204" s="12" t="s">
        <v>5964</v>
      </c>
      <c r="H2204" s="9" t="s">
        <v>5965</v>
      </c>
      <c r="I2204" s="10">
        <v>45635</v>
      </c>
    </row>
    <row r="2205" spans="1:9" x14ac:dyDescent="0.15">
      <c r="A2205" s="9">
        <v>2204</v>
      </c>
      <c r="B2205" s="9" t="s">
        <v>9</v>
      </c>
      <c r="C2205" s="9">
        <v>1925</v>
      </c>
      <c r="D2205" s="10">
        <v>45715</v>
      </c>
      <c r="E2205" s="11" t="str">
        <f>+HYPERLINK("http://trademark.i-assist.jp/data/china/image_1925th/82447208.pdf","82447208")</f>
        <v>82447208</v>
      </c>
      <c r="F2205" s="9" t="s">
        <v>5966</v>
      </c>
      <c r="G2205" s="12" t="s">
        <v>5896</v>
      </c>
      <c r="H2205" s="9" t="s">
        <v>5967</v>
      </c>
      <c r="I2205" s="10">
        <v>45635</v>
      </c>
    </row>
    <row r="2206" spans="1:9" x14ac:dyDescent="0.15">
      <c r="A2206" s="9">
        <v>2205</v>
      </c>
      <c r="B2206" s="9" t="s">
        <v>9</v>
      </c>
      <c r="C2206" s="9">
        <v>1925</v>
      </c>
      <c r="D2206" s="10">
        <v>45715</v>
      </c>
      <c r="E2206" s="11" t="str">
        <f>+HYPERLINK("http://trademark.i-assist.jp/data/china/image_1925th/82447297.pdf","82447297")</f>
        <v>82447297</v>
      </c>
      <c r="F2206" s="9" t="s">
        <v>5968</v>
      </c>
      <c r="G2206" s="12" t="s">
        <v>5969</v>
      </c>
      <c r="H2206" s="9" t="s">
        <v>5970</v>
      </c>
      <c r="I2206" s="10">
        <v>45635</v>
      </c>
    </row>
    <row r="2207" spans="1:9" x14ac:dyDescent="0.15">
      <c r="A2207" s="9">
        <v>2206</v>
      </c>
      <c r="B2207" s="9" t="s">
        <v>9</v>
      </c>
      <c r="C2207" s="9">
        <v>1925</v>
      </c>
      <c r="D2207" s="10">
        <v>45715</v>
      </c>
      <c r="E2207" s="11" t="str">
        <f>+HYPERLINK("http://trademark.i-assist.jp/data/china/image_1925th/82447714.pdf","82447714")</f>
        <v>82447714</v>
      </c>
      <c r="F2207" s="9" t="s">
        <v>5971</v>
      </c>
      <c r="G2207" s="9" t="s">
        <v>5972</v>
      </c>
      <c r="H2207" s="9" t="s">
        <v>5973</v>
      </c>
      <c r="I2207" s="10">
        <v>45635</v>
      </c>
    </row>
    <row r="2208" spans="1:9" x14ac:dyDescent="0.15">
      <c r="A2208" s="9">
        <v>2207</v>
      </c>
      <c r="B2208" s="9" t="s">
        <v>9</v>
      </c>
      <c r="C2208" s="9">
        <v>1925</v>
      </c>
      <c r="D2208" s="10">
        <v>45715</v>
      </c>
      <c r="E2208" s="11" t="str">
        <f>+HYPERLINK("http://trademark.i-assist.jp/data/china/image_1925th/82447754.pdf","82447754")</f>
        <v>82447754</v>
      </c>
      <c r="F2208" s="12" t="s">
        <v>5974</v>
      </c>
      <c r="G2208" s="12" t="s">
        <v>5937</v>
      </c>
      <c r="H2208" s="9" t="s">
        <v>5975</v>
      </c>
      <c r="I2208" s="10">
        <v>45635</v>
      </c>
    </row>
    <row r="2209" spans="1:9" x14ac:dyDescent="0.15">
      <c r="A2209" s="9">
        <v>2208</v>
      </c>
      <c r="B2209" s="9" t="s">
        <v>9</v>
      </c>
      <c r="C2209" s="9">
        <v>1925</v>
      </c>
      <c r="D2209" s="10">
        <v>45715</v>
      </c>
      <c r="E2209" s="11" t="str">
        <f>+HYPERLINK("http://trademark.i-assist.jp/data/china/image_1925th/82448512.pdf","82448512")</f>
        <v>82448512</v>
      </c>
      <c r="F2209" s="12" t="s">
        <v>5976</v>
      </c>
      <c r="G2209" s="9" t="s">
        <v>5977</v>
      </c>
      <c r="H2209" s="9" t="s">
        <v>5978</v>
      </c>
      <c r="I2209" s="10">
        <v>45636</v>
      </c>
    </row>
    <row r="2210" spans="1:9" x14ac:dyDescent="0.15">
      <c r="A2210" s="9">
        <v>2209</v>
      </c>
      <c r="B2210" s="9" t="s">
        <v>9</v>
      </c>
      <c r="C2210" s="9">
        <v>1925</v>
      </c>
      <c r="D2210" s="10">
        <v>45715</v>
      </c>
      <c r="E2210" s="11" t="str">
        <f>+HYPERLINK("http://trademark.i-assist.jp/data/china/image_1925th/82448554.pdf","82448554")</f>
        <v>82448554</v>
      </c>
      <c r="F2210" s="9" t="s">
        <v>5979</v>
      </c>
      <c r="G2210" s="9" t="s">
        <v>5980</v>
      </c>
      <c r="H2210" s="9" t="s">
        <v>5981</v>
      </c>
      <c r="I2210" s="10">
        <v>45636</v>
      </c>
    </row>
    <row r="2211" spans="1:9" x14ac:dyDescent="0.15">
      <c r="A2211" s="9">
        <v>2210</v>
      </c>
      <c r="B2211" s="9" t="s">
        <v>9</v>
      </c>
      <c r="C2211" s="9">
        <v>1925</v>
      </c>
      <c r="D2211" s="10">
        <v>45715</v>
      </c>
      <c r="E2211" s="11" t="str">
        <f>+HYPERLINK("http://trademark.i-assist.jp/data/china/image_1925th/82449254.pdf","82449254")</f>
        <v>82449254</v>
      </c>
      <c r="F2211" s="9" t="s">
        <v>5982</v>
      </c>
      <c r="G2211" s="9" t="s">
        <v>5983</v>
      </c>
      <c r="H2211" s="9" t="s">
        <v>5984</v>
      </c>
      <c r="I2211" s="10">
        <v>45636</v>
      </c>
    </row>
    <row r="2212" spans="1:9" x14ac:dyDescent="0.15">
      <c r="A2212" s="9">
        <v>2211</v>
      </c>
      <c r="B2212" s="9" t="s">
        <v>9</v>
      </c>
      <c r="C2212" s="9">
        <v>1925</v>
      </c>
      <c r="D2212" s="10">
        <v>45715</v>
      </c>
      <c r="E2212" s="11" t="str">
        <f>+HYPERLINK("http://trademark.i-assist.jp/data/china/image_1925th/82449769.pdf","82449769")</f>
        <v>82449769</v>
      </c>
      <c r="F2212" s="9" t="s">
        <v>5985</v>
      </c>
      <c r="G2212" s="12" t="s">
        <v>5986</v>
      </c>
      <c r="H2212" s="9" t="s">
        <v>5987</v>
      </c>
      <c r="I2212" s="10">
        <v>45636</v>
      </c>
    </row>
    <row r="2213" spans="1:9" x14ac:dyDescent="0.15">
      <c r="A2213" s="9">
        <v>2212</v>
      </c>
      <c r="B2213" s="9" t="s">
        <v>9</v>
      </c>
      <c r="C2213" s="9">
        <v>1925</v>
      </c>
      <c r="D2213" s="10">
        <v>45715</v>
      </c>
      <c r="E2213" s="11" t="str">
        <f>+HYPERLINK("http://trademark.i-assist.jp/data/china/image_1925th/82450209.pdf","82450209")</f>
        <v>82450209</v>
      </c>
      <c r="F2213" s="9" t="s">
        <v>5988</v>
      </c>
      <c r="G2213" s="9" t="s">
        <v>5980</v>
      </c>
      <c r="H2213" s="9" t="s">
        <v>5989</v>
      </c>
      <c r="I2213" s="10">
        <v>45636</v>
      </c>
    </row>
    <row r="2214" spans="1:9" x14ac:dyDescent="0.15">
      <c r="A2214" s="9">
        <v>2213</v>
      </c>
      <c r="B2214" s="9" t="s">
        <v>9</v>
      </c>
      <c r="C2214" s="9">
        <v>1925</v>
      </c>
      <c r="D2214" s="10">
        <v>45715</v>
      </c>
      <c r="E2214" s="11" t="str">
        <f>+HYPERLINK("http://trademark.i-assist.jp/data/china/image_1925th/82450491.pdf","82450491")</f>
        <v>82450491</v>
      </c>
      <c r="F2214" s="12" t="s">
        <v>5990</v>
      </c>
      <c r="G2214" s="9" t="s">
        <v>5991</v>
      </c>
      <c r="H2214" s="12" t="s">
        <v>5992</v>
      </c>
      <c r="I2214" s="10">
        <v>45636</v>
      </c>
    </row>
    <row r="2215" spans="1:9" x14ac:dyDescent="0.15">
      <c r="A2215" s="9">
        <v>2214</v>
      </c>
      <c r="B2215" s="9" t="s">
        <v>9</v>
      </c>
      <c r="C2215" s="9">
        <v>1925</v>
      </c>
      <c r="D2215" s="10">
        <v>45715</v>
      </c>
      <c r="E2215" s="11" t="str">
        <f>+HYPERLINK("http://trademark.i-assist.jp/data/china/image_1925th/82451272.pdf","82451272")</f>
        <v>82451272</v>
      </c>
      <c r="F2215" s="9" t="s">
        <v>5993</v>
      </c>
      <c r="G2215" s="12" t="s">
        <v>5986</v>
      </c>
      <c r="H2215" s="9" t="s">
        <v>5994</v>
      </c>
      <c r="I2215" s="10">
        <v>45636</v>
      </c>
    </row>
    <row r="2216" spans="1:9" x14ac:dyDescent="0.15">
      <c r="A2216" s="9">
        <v>2215</v>
      </c>
      <c r="B2216" s="9" t="s">
        <v>9</v>
      </c>
      <c r="C2216" s="9">
        <v>1925</v>
      </c>
      <c r="D2216" s="10">
        <v>45715</v>
      </c>
      <c r="E2216" s="11" t="str">
        <f>+HYPERLINK("http://trademark.i-assist.jp/data/china/image_1925th/82451578.pdf","82451578")</f>
        <v>82451578</v>
      </c>
      <c r="F2216" s="9" t="s">
        <v>5995</v>
      </c>
      <c r="G2216" s="9" t="s">
        <v>5996</v>
      </c>
      <c r="H2216" s="9" t="s">
        <v>5997</v>
      </c>
      <c r="I2216" s="10">
        <v>45636</v>
      </c>
    </row>
    <row r="2217" spans="1:9" x14ac:dyDescent="0.15">
      <c r="A2217" s="9">
        <v>2216</v>
      </c>
      <c r="B2217" s="9" t="s">
        <v>9</v>
      </c>
      <c r="C2217" s="9">
        <v>1925</v>
      </c>
      <c r="D2217" s="10">
        <v>45715</v>
      </c>
      <c r="E2217" s="11" t="str">
        <f>+HYPERLINK("http://trademark.i-assist.jp/data/china/image_1925th/82452169.pdf","82452169")</f>
        <v>82452169</v>
      </c>
      <c r="F2217" s="12" t="s">
        <v>5998</v>
      </c>
      <c r="G2217" s="12" t="s">
        <v>5999</v>
      </c>
      <c r="H2217" s="12" t="s">
        <v>6000</v>
      </c>
      <c r="I2217" s="10">
        <v>45636</v>
      </c>
    </row>
    <row r="2218" spans="1:9" x14ac:dyDescent="0.15">
      <c r="A2218" s="9">
        <v>2217</v>
      </c>
      <c r="B2218" s="9" t="s">
        <v>9</v>
      </c>
      <c r="C2218" s="9">
        <v>1925</v>
      </c>
      <c r="D2218" s="10">
        <v>45715</v>
      </c>
      <c r="E2218" s="11" t="str">
        <f>+HYPERLINK("http://trademark.i-assist.jp/data/china/image_1925th/82452640.pdf","82452640")</f>
        <v>82452640</v>
      </c>
      <c r="F2218" s="12" t="s">
        <v>6001</v>
      </c>
      <c r="G2218" s="12" t="s">
        <v>6002</v>
      </c>
      <c r="H2218" s="9" t="s">
        <v>6003</v>
      </c>
      <c r="I2218" s="10">
        <v>45636</v>
      </c>
    </row>
    <row r="2219" spans="1:9" x14ac:dyDescent="0.15">
      <c r="A2219" s="9">
        <v>2218</v>
      </c>
      <c r="B2219" s="9" t="s">
        <v>9</v>
      </c>
      <c r="C2219" s="9">
        <v>1925</v>
      </c>
      <c r="D2219" s="10">
        <v>45715</v>
      </c>
      <c r="E2219" s="11" t="str">
        <f>+HYPERLINK("http://trademark.i-assist.jp/data/china/image_1925th/82453273.pdf","82453273")</f>
        <v>82453273</v>
      </c>
      <c r="F2219" s="9" t="s">
        <v>6004</v>
      </c>
      <c r="G2219" s="9" t="s">
        <v>6005</v>
      </c>
      <c r="H2219" s="9" t="s">
        <v>6006</v>
      </c>
      <c r="I2219" s="10">
        <v>45636</v>
      </c>
    </row>
    <row r="2220" spans="1:9" x14ac:dyDescent="0.15">
      <c r="A2220" s="9">
        <v>2219</v>
      </c>
      <c r="B2220" s="9" t="s">
        <v>9</v>
      </c>
      <c r="C2220" s="9">
        <v>1925</v>
      </c>
      <c r="D2220" s="10">
        <v>45715</v>
      </c>
      <c r="E2220" s="11" t="str">
        <f>+HYPERLINK("http://trademark.i-assist.jp/data/china/image_1925th/82454097.pdf","82454097")</f>
        <v>82454097</v>
      </c>
      <c r="F2220" s="9" t="s">
        <v>6007</v>
      </c>
      <c r="G2220" s="9" t="s">
        <v>6008</v>
      </c>
      <c r="H2220" s="9" t="s">
        <v>6009</v>
      </c>
      <c r="I2220" s="10">
        <v>45636</v>
      </c>
    </row>
    <row r="2221" spans="1:9" x14ac:dyDescent="0.15">
      <c r="A2221" s="9">
        <v>2220</v>
      </c>
      <c r="B2221" s="9" t="s">
        <v>9</v>
      </c>
      <c r="C2221" s="9">
        <v>1925</v>
      </c>
      <c r="D2221" s="10">
        <v>45715</v>
      </c>
      <c r="E2221" s="11" t="str">
        <f>+HYPERLINK("http://trademark.i-assist.jp/data/china/image_1925th/82454549.pdf","82454549")</f>
        <v>82454549</v>
      </c>
      <c r="F2221" s="9" t="s">
        <v>6010</v>
      </c>
      <c r="G2221" s="9" t="s">
        <v>6011</v>
      </c>
      <c r="H2221" s="12" t="s">
        <v>6012</v>
      </c>
      <c r="I2221" s="10">
        <v>45636</v>
      </c>
    </row>
    <row r="2222" spans="1:9" x14ac:dyDescent="0.15">
      <c r="A2222" s="9">
        <v>2221</v>
      </c>
      <c r="B2222" s="9" t="s">
        <v>9</v>
      </c>
      <c r="C2222" s="9">
        <v>1925</v>
      </c>
      <c r="D2222" s="10">
        <v>45715</v>
      </c>
      <c r="E2222" s="11" t="str">
        <f>+HYPERLINK("http://trademark.i-assist.jp/data/china/image_1925th/82454603.pdf","82454603")</f>
        <v>82454603</v>
      </c>
      <c r="F2222" s="9" t="s">
        <v>6013</v>
      </c>
      <c r="G2222" s="9" t="s">
        <v>6014</v>
      </c>
      <c r="H2222" s="9" t="s">
        <v>6015</v>
      </c>
      <c r="I2222" s="10">
        <v>45636</v>
      </c>
    </row>
    <row r="2223" spans="1:9" x14ac:dyDescent="0.15">
      <c r="A2223" s="9">
        <v>2222</v>
      </c>
      <c r="B2223" s="9" t="s">
        <v>9</v>
      </c>
      <c r="C2223" s="9">
        <v>1925</v>
      </c>
      <c r="D2223" s="10">
        <v>45715</v>
      </c>
      <c r="E2223" s="11" t="str">
        <f>+HYPERLINK("http://trademark.i-assist.jp/data/china/image_1925th/82454890.pdf","82454890")</f>
        <v>82454890</v>
      </c>
      <c r="F2223" s="9" t="s">
        <v>6016</v>
      </c>
      <c r="G2223" s="12" t="s">
        <v>5986</v>
      </c>
      <c r="H2223" s="9" t="s">
        <v>6017</v>
      </c>
      <c r="I2223" s="10">
        <v>45636</v>
      </c>
    </row>
    <row r="2224" spans="1:9" x14ac:dyDescent="0.15">
      <c r="A2224" s="9">
        <v>2223</v>
      </c>
      <c r="B2224" s="9" t="s">
        <v>9</v>
      </c>
      <c r="C2224" s="9">
        <v>1925</v>
      </c>
      <c r="D2224" s="10">
        <v>45715</v>
      </c>
      <c r="E2224" s="11" t="str">
        <f>+HYPERLINK("http://trademark.i-assist.jp/data/china/image_1925th/82454983.pdf","82454983")</f>
        <v>82454983</v>
      </c>
      <c r="F2224" s="9" t="s">
        <v>6018</v>
      </c>
      <c r="G2224" s="9" t="s">
        <v>6019</v>
      </c>
      <c r="H2224" s="9" t="s">
        <v>6020</v>
      </c>
      <c r="I2224" s="10">
        <v>45636</v>
      </c>
    </row>
    <row r="2225" spans="1:9" x14ac:dyDescent="0.15">
      <c r="A2225" s="9">
        <v>2224</v>
      </c>
      <c r="B2225" s="9" t="s">
        <v>9</v>
      </c>
      <c r="C2225" s="9">
        <v>1925</v>
      </c>
      <c r="D2225" s="10">
        <v>45715</v>
      </c>
      <c r="E2225" s="11" t="str">
        <f>+HYPERLINK("http://trademark.i-assist.jp/data/china/image_1925th/82454995.pdf","82454995")</f>
        <v>82454995</v>
      </c>
      <c r="F2225" s="9" t="s">
        <v>6021</v>
      </c>
      <c r="G2225" s="9" t="s">
        <v>6019</v>
      </c>
      <c r="H2225" s="9" t="s">
        <v>6022</v>
      </c>
      <c r="I2225" s="10">
        <v>45636</v>
      </c>
    </row>
    <row r="2226" spans="1:9" x14ac:dyDescent="0.15">
      <c r="A2226" s="9">
        <v>2225</v>
      </c>
      <c r="B2226" s="9" t="s">
        <v>9</v>
      </c>
      <c r="C2226" s="9">
        <v>1925</v>
      </c>
      <c r="D2226" s="10">
        <v>45715</v>
      </c>
      <c r="E2226" s="11" t="str">
        <f>+HYPERLINK("http://trademark.i-assist.jp/data/china/image_1925th/82456454.pdf","82456454")</f>
        <v>82456454</v>
      </c>
      <c r="F2226" s="9" t="s">
        <v>6023</v>
      </c>
      <c r="G2226" s="9" t="s">
        <v>6024</v>
      </c>
      <c r="H2226" s="9" t="s">
        <v>6025</v>
      </c>
      <c r="I2226" s="10">
        <v>45636</v>
      </c>
    </row>
    <row r="2227" spans="1:9" x14ac:dyDescent="0.15">
      <c r="A2227" s="9">
        <v>2226</v>
      </c>
      <c r="B2227" s="9" t="s">
        <v>9</v>
      </c>
      <c r="C2227" s="9">
        <v>1925</v>
      </c>
      <c r="D2227" s="10">
        <v>45715</v>
      </c>
      <c r="E2227" s="11" t="str">
        <f>+HYPERLINK("http://trademark.i-assist.jp/data/china/image_1925th/82456468.pdf","82456468")</f>
        <v>82456468</v>
      </c>
      <c r="F2227" s="9" t="s">
        <v>6026</v>
      </c>
      <c r="G2227" s="12" t="s">
        <v>6027</v>
      </c>
      <c r="H2227" s="9" t="s">
        <v>6028</v>
      </c>
      <c r="I2227" s="10">
        <v>45636</v>
      </c>
    </row>
    <row r="2228" spans="1:9" x14ac:dyDescent="0.15">
      <c r="A2228" s="9">
        <v>2227</v>
      </c>
      <c r="B2228" s="9" t="s">
        <v>9</v>
      </c>
      <c r="C2228" s="9">
        <v>1925</v>
      </c>
      <c r="D2228" s="10">
        <v>45715</v>
      </c>
      <c r="E2228" s="11" t="str">
        <f>+HYPERLINK("http://trademark.i-assist.jp/data/china/image_1925th/82457214.pdf","82457214")</f>
        <v>82457214</v>
      </c>
      <c r="F2228" s="12" t="s">
        <v>57</v>
      </c>
      <c r="G2228" s="9" t="s">
        <v>6029</v>
      </c>
      <c r="H2228" s="12" t="s">
        <v>6030</v>
      </c>
      <c r="I2228" s="10">
        <v>45636</v>
      </c>
    </row>
    <row r="2229" spans="1:9" x14ac:dyDescent="0.15">
      <c r="A2229" s="9">
        <v>2228</v>
      </c>
      <c r="B2229" s="9" t="s">
        <v>9</v>
      </c>
      <c r="C2229" s="9">
        <v>1925</v>
      </c>
      <c r="D2229" s="10">
        <v>45715</v>
      </c>
      <c r="E2229" s="11" t="str">
        <f>+HYPERLINK("http://trademark.i-assist.jp/data/china/image_1925th/82457808.pdf","82457808")</f>
        <v>82457808</v>
      </c>
      <c r="F2229" s="9" t="s">
        <v>6031</v>
      </c>
      <c r="G2229" s="9" t="s">
        <v>6032</v>
      </c>
      <c r="H2229" s="9" t="s">
        <v>6033</v>
      </c>
      <c r="I2229" s="10">
        <v>45636</v>
      </c>
    </row>
    <row r="2230" spans="1:9" x14ac:dyDescent="0.15">
      <c r="A2230" s="9">
        <v>2229</v>
      </c>
      <c r="B2230" s="9" t="s">
        <v>9</v>
      </c>
      <c r="C2230" s="9">
        <v>1925</v>
      </c>
      <c r="D2230" s="10">
        <v>45715</v>
      </c>
      <c r="E2230" s="11" t="str">
        <f>+HYPERLINK("http://trademark.i-assist.jp/data/china/image_1925th/82458957.pdf","82458957")</f>
        <v>82458957</v>
      </c>
      <c r="F2230" s="9" t="s">
        <v>6034</v>
      </c>
      <c r="G2230" s="9" t="s">
        <v>6035</v>
      </c>
      <c r="H2230" s="9" t="s">
        <v>6036</v>
      </c>
      <c r="I2230" s="10">
        <v>45636</v>
      </c>
    </row>
    <row r="2231" spans="1:9" x14ac:dyDescent="0.15">
      <c r="A2231" s="9">
        <v>2230</v>
      </c>
      <c r="B2231" s="9" t="s">
        <v>9</v>
      </c>
      <c r="C2231" s="9">
        <v>1925</v>
      </c>
      <c r="D2231" s="10">
        <v>45715</v>
      </c>
      <c r="E2231" s="11" t="str">
        <f>+HYPERLINK("http://trademark.i-assist.jp/data/china/image_1925th/82459480.pdf","82459480")</f>
        <v>82459480</v>
      </c>
      <c r="F2231" s="9" t="s">
        <v>6037</v>
      </c>
      <c r="G2231" s="9" t="s">
        <v>6038</v>
      </c>
      <c r="H2231" s="9" t="s">
        <v>6039</v>
      </c>
      <c r="I2231" s="10">
        <v>45636</v>
      </c>
    </row>
    <row r="2232" spans="1:9" x14ac:dyDescent="0.15">
      <c r="A2232" s="9">
        <v>2231</v>
      </c>
      <c r="B2232" s="9" t="s">
        <v>9</v>
      </c>
      <c r="C2232" s="9">
        <v>1925</v>
      </c>
      <c r="D2232" s="10">
        <v>45715</v>
      </c>
      <c r="E2232" s="11" t="str">
        <f>+HYPERLINK("http://trademark.i-assist.jp/data/china/image_1925th/82459704.pdf","82459704")</f>
        <v>82459704</v>
      </c>
      <c r="F2232" s="12" t="s">
        <v>6040</v>
      </c>
      <c r="G2232" s="12" t="s">
        <v>5986</v>
      </c>
      <c r="H2232" s="9" t="s">
        <v>6041</v>
      </c>
      <c r="I2232" s="10">
        <v>45636</v>
      </c>
    </row>
    <row r="2233" spans="1:9" x14ac:dyDescent="0.15">
      <c r="A2233" s="9">
        <v>2232</v>
      </c>
      <c r="B2233" s="9" t="s">
        <v>9</v>
      </c>
      <c r="C2233" s="9">
        <v>1925</v>
      </c>
      <c r="D2233" s="10">
        <v>45715</v>
      </c>
      <c r="E2233" s="11" t="str">
        <f>+HYPERLINK("http://trademark.i-assist.jp/data/china/image_1925th/82460062.pdf","82460062")</f>
        <v>82460062</v>
      </c>
      <c r="F2233" s="9" t="s">
        <v>6042</v>
      </c>
      <c r="G2233" s="12" t="s">
        <v>5986</v>
      </c>
      <c r="H2233" s="9" t="s">
        <v>6043</v>
      </c>
      <c r="I2233" s="10">
        <v>45636</v>
      </c>
    </row>
    <row r="2234" spans="1:9" x14ac:dyDescent="0.15">
      <c r="A2234" s="9">
        <v>2233</v>
      </c>
      <c r="B2234" s="9" t="s">
        <v>9</v>
      </c>
      <c r="C2234" s="9">
        <v>1925</v>
      </c>
      <c r="D2234" s="10">
        <v>45715</v>
      </c>
      <c r="E2234" s="11" t="str">
        <f>+HYPERLINK("http://trademark.i-assist.jp/data/china/image_1925th/82460072.pdf","82460072")</f>
        <v>82460072</v>
      </c>
      <c r="F2234" s="9" t="s">
        <v>6044</v>
      </c>
      <c r="G2234" s="12" t="s">
        <v>5986</v>
      </c>
      <c r="H2234" s="9" t="s">
        <v>6045</v>
      </c>
      <c r="I2234" s="10">
        <v>45636</v>
      </c>
    </row>
    <row r="2235" spans="1:9" x14ac:dyDescent="0.15">
      <c r="A2235" s="9">
        <v>2234</v>
      </c>
      <c r="B2235" s="9" t="s">
        <v>9</v>
      </c>
      <c r="C2235" s="9">
        <v>1925</v>
      </c>
      <c r="D2235" s="10">
        <v>45715</v>
      </c>
      <c r="E2235" s="11" t="str">
        <f>+HYPERLINK("http://trademark.i-assist.jp/data/china/image_1925th/82460178.pdf","82460178")</f>
        <v>82460178</v>
      </c>
      <c r="F2235" s="9" t="s">
        <v>6046</v>
      </c>
      <c r="G2235" s="9" t="s">
        <v>6047</v>
      </c>
      <c r="H2235" s="12" t="s">
        <v>6048</v>
      </c>
      <c r="I2235" s="10">
        <v>45636</v>
      </c>
    </row>
    <row r="2236" spans="1:9" x14ac:dyDescent="0.15">
      <c r="A2236" s="9">
        <v>2235</v>
      </c>
      <c r="B2236" s="9" t="s">
        <v>9</v>
      </c>
      <c r="C2236" s="9">
        <v>1925</v>
      </c>
      <c r="D2236" s="10">
        <v>45715</v>
      </c>
      <c r="E2236" s="11" t="str">
        <f>+HYPERLINK("http://trademark.i-assist.jp/data/china/image_1925th/82460702.pdf","82460702")</f>
        <v>82460702</v>
      </c>
      <c r="F2236" s="9" t="s">
        <v>6049</v>
      </c>
      <c r="G2236" s="9" t="s">
        <v>6050</v>
      </c>
      <c r="H2236" s="9" t="s">
        <v>6051</v>
      </c>
      <c r="I2236" s="10">
        <v>45636</v>
      </c>
    </row>
    <row r="2237" spans="1:9" x14ac:dyDescent="0.15">
      <c r="A2237" s="9">
        <v>2236</v>
      </c>
      <c r="B2237" s="9" t="s">
        <v>9</v>
      </c>
      <c r="C2237" s="9">
        <v>1925</v>
      </c>
      <c r="D2237" s="10">
        <v>45715</v>
      </c>
      <c r="E2237" s="11" t="str">
        <f>+HYPERLINK("http://trademark.i-assist.jp/data/china/image_1925th/82460828.pdf","82460828")</f>
        <v>82460828</v>
      </c>
      <c r="F2237" s="9" t="s">
        <v>6052</v>
      </c>
      <c r="G2237" s="9" t="s">
        <v>6053</v>
      </c>
      <c r="H2237" s="9" t="s">
        <v>6054</v>
      </c>
      <c r="I2237" s="10">
        <v>45636</v>
      </c>
    </row>
    <row r="2238" spans="1:9" x14ac:dyDescent="0.15">
      <c r="A2238" s="9">
        <v>2237</v>
      </c>
      <c r="B2238" s="9" t="s">
        <v>9</v>
      </c>
      <c r="C2238" s="9">
        <v>1925</v>
      </c>
      <c r="D2238" s="10">
        <v>45715</v>
      </c>
      <c r="E2238" s="11" t="str">
        <f>+HYPERLINK("http://trademark.i-assist.jp/data/china/image_1925th/82460879.pdf","82460879")</f>
        <v>82460879</v>
      </c>
      <c r="F2238" s="9" t="s">
        <v>6055</v>
      </c>
      <c r="G2238" s="9" t="s">
        <v>6056</v>
      </c>
      <c r="H2238" s="9" t="s">
        <v>6057</v>
      </c>
      <c r="I2238" s="10">
        <v>45636</v>
      </c>
    </row>
    <row r="2239" spans="1:9" x14ac:dyDescent="0.15">
      <c r="A2239" s="9">
        <v>2238</v>
      </c>
      <c r="B2239" s="9" t="s">
        <v>9</v>
      </c>
      <c r="C2239" s="9">
        <v>1925</v>
      </c>
      <c r="D2239" s="10">
        <v>45715</v>
      </c>
      <c r="E2239" s="11" t="str">
        <f>+HYPERLINK("http://trademark.i-assist.jp/data/china/image_1925th/82461816.pdf","82461816")</f>
        <v>82461816</v>
      </c>
      <c r="F2239" s="9" t="s">
        <v>6058</v>
      </c>
      <c r="G2239" s="12" t="s">
        <v>6002</v>
      </c>
      <c r="H2239" s="9" t="s">
        <v>6059</v>
      </c>
      <c r="I2239" s="10">
        <v>45636</v>
      </c>
    </row>
    <row r="2240" spans="1:9" x14ac:dyDescent="0.15">
      <c r="A2240" s="9">
        <v>2239</v>
      </c>
      <c r="B2240" s="9" t="s">
        <v>9</v>
      </c>
      <c r="C2240" s="9">
        <v>1925</v>
      </c>
      <c r="D2240" s="10">
        <v>45715</v>
      </c>
      <c r="E2240" s="11" t="str">
        <f>+HYPERLINK("http://trademark.i-assist.jp/data/china/image_1925th/82462089.pdf","82462089")</f>
        <v>82462089</v>
      </c>
      <c r="F2240" s="9" t="s">
        <v>6060</v>
      </c>
      <c r="G2240" s="9" t="s">
        <v>6061</v>
      </c>
      <c r="H2240" s="9" t="s">
        <v>6062</v>
      </c>
      <c r="I2240" s="10">
        <v>45636</v>
      </c>
    </row>
    <row r="2241" spans="1:9" x14ac:dyDescent="0.15">
      <c r="A2241" s="9">
        <v>2240</v>
      </c>
      <c r="B2241" s="9" t="s">
        <v>9</v>
      </c>
      <c r="C2241" s="9">
        <v>1925</v>
      </c>
      <c r="D2241" s="10">
        <v>45715</v>
      </c>
      <c r="E2241" s="11" t="str">
        <f>+HYPERLINK("http://trademark.i-assist.jp/data/china/image_1925th/82463092.pdf","82463092")</f>
        <v>82463092</v>
      </c>
      <c r="F2241" s="9" t="s">
        <v>6063</v>
      </c>
      <c r="G2241" s="9" t="s">
        <v>6064</v>
      </c>
      <c r="H2241" s="9" t="s">
        <v>6065</v>
      </c>
      <c r="I2241" s="10">
        <v>45636</v>
      </c>
    </row>
    <row r="2242" spans="1:9" x14ac:dyDescent="0.15">
      <c r="A2242" s="9">
        <v>2241</v>
      </c>
      <c r="B2242" s="9" t="s">
        <v>9</v>
      </c>
      <c r="C2242" s="9">
        <v>1925</v>
      </c>
      <c r="D2242" s="10">
        <v>45715</v>
      </c>
      <c r="E2242" s="11" t="str">
        <f>+HYPERLINK("http://trademark.i-assist.jp/data/china/image_1925th/82463603.pdf","82463603")</f>
        <v>82463603</v>
      </c>
      <c r="F2242" s="9" t="s">
        <v>6066</v>
      </c>
      <c r="G2242" s="9" t="s">
        <v>6005</v>
      </c>
      <c r="H2242" s="9" t="s">
        <v>6067</v>
      </c>
      <c r="I2242" s="10">
        <v>45636</v>
      </c>
    </row>
    <row r="2243" spans="1:9" x14ac:dyDescent="0.15">
      <c r="A2243" s="9">
        <v>2242</v>
      </c>
      <c r="B2243" s="9" t="s">
        <v>9</v>
      </c>
      <c r="C2243" s="9">
        <v>1925</v>
      </c>
      <c r="D2243" s="10">
        <v>45715</v>
      </c>
      <c r="E2243" s="11" t="str">
        <f>+HYPERLINK("http://trademark.i-assist.jp/data/china/image_1925th/82464307.pdf","82464307")</f>
        <v>82464307</v>
      </c>
      <c r="F2243" s="9" t="s">
        <v>6068</v>
      </c>
      <c r="G2243" s="9" t="s">
        <v>6069</v>
      </c>
      <c r="H2243" s="9" t="s">
        <v>6070</v>
      </c>
      <c r="I2243" s="10">
        <v>45636</v>
      </c>
    </row>
    <row r="2244" spans="1:9" x14ac:dyDescent="0.15">
      <c r="A2244" s="9">
        <v>2243</v>
      </c>
      <c r="B2244" s="9" t="s">
        <v>9</v>
      </c>
      <c r="C2244" s="9">
        <v>1925</v>
      </c>
      <c r="D2244" s="10">
        <v>45715</v>
      </c>
      <c r="E2244" s="11" t="str">
        <f>+HYPERLINK("http://trademark.i-assist.jp/data/china/image_1925th/82464812.pdf","82464812")</f>
        <v>82464812</v>
      </c>
      <c r="F2244" s="9" t="s">
        <v>6071</v>
      </c>
      <c r="G2244" s="12" t="s">
        <v>6072</v>
      </c>
      <c r="H2244" s="9" t="s">
        <v>6073</v>
      </c>
      <c r="I2244" s="10">
        <v>45636</v>
      </c>
    </row>
    <row r="2245" spans="1:9" x14ac:dyDescent="0.15">
      <c r="A2245" s="9">
        <v>2244</v>
      </c>
      <c r="B2245" s="9" t="s">
        <v>9</v>
      </c>
      <c r="C2245" s="9">
        <v>1925</v>
      </c>
      <c r="D2245" s="10">
        <v>45715</v>
      </c>
      <c r="E2245" s="11" t="str">
        <f>+HYPERLINK("http://trademark.i-assist.jp/data/china/image_1925th/82465580.pdf","82465580")</f>
        <v>82465580</v>
      </c>
      <c r="F2245" s="9" t="s">
        <v>6074</v>
      </c>
      <c r="G2245" s="12" t="s">
        <v>5986</v>
      </c>
      <c r="H2245" s="9" t="s">
        <v>6075</v>
      </c>
      <c r="I2245" s="10">
        <v>45636</v>
      </c>
    </row>
    <row r="2246" spans="1:9" x14ac:dyDescent="0.15">
      <c r="A2246" s="9">
        <v>2245</v>
      </c>
      <c r="B2246" s="9" t="s">
        <v>9</v>
      </c>
      <c r="C2246" s="9">
        <v>1925</v>
      </c>
      <c r="D2246" s="10">
        <v>45715</v>
      </c>
      <c r="E2246" s="11" t="str">
        <f>+HYPERLINK("http://trademark.i-assist.jp/data/china/image_1925th/82465588.pdf","82465588")</f>
        <v>82465588</v>
      </c>
      <c r="F2246" s="9" t="s">
        <v>6076</v>
      </c>
      <c r="G2246" s="12" t="s">
        <v>5986</v>
      </c>
      <c r="H2246" s="9" t="s">
        <v>6077</v>
      </c>
      <c r="I2246" s="10">
        <v>45636</v>
      </c>
    </row>
    <row r="2247" spans="1:9" x14ac:dyDescent="0.15">
      <c r="A2247" s="9">
        <v>2246</v>
      </c>
      <c r="B2247" s="9" t="s">
        <v>9</v>
      </c>
      <c r="C2247" s="9">
        <v>1925</v>
      </c>
      <c r="D2247" s="10">
        <v>45715</v>
      </c>
      <c r="E2247" s="11" t="str">
        <f>+HYPERLINK("http://trademark.i-assist.jp/data/china/image_1925th/82466712.pdf","82466712")</f>
        <v>82466712</v>
      </c>
      <c r="F2247" s="9" t="s">
        <v>6078</v>
      </c>
      <c r="G2247" s="9" t="s">
        <v>6005</v>
      </c>
      <c r="H2247" s="9" t="s">
        <v>6079</v>
      </c>
      <c r="I2247" s="10">
        <v>45636</v>
      </c>
    </row>
    <row r="2248" spans="1:9" x14ac:dyDescent="0.15">
      <c r="A2248" s="9">
        <v>2247</v>
      </c>
      <c r="B2248" s="9" t="s">
        <v>9</v>
      </c>
      <c r="C2248" s="9">
        <v>1925</v>
      </c>
      <c r="D2248" s="10">
        <v>45715</v>
      </c>
      <c r="E2248" s="11" t="str">
        <f>+HYPERLINK("http://trademark.i-assist.jp/data/china/image_1925th/82467004.pdf","82467004")</f>
        <v>82467004</v>
      </c>
      <c r="F2248" s="9" t="s">
        <v>6080</v>
      </c>
      <c r="G2248" s="9" t="s">
        <v>6081</v>
      </c>
      <c r="H2248" s="9" t="s">
        <v>6082</v>
      </c>
      <c r="I2248" s="10">
        <v>45636</v>
      </c>
    </row>
    <row r="2249" spans="1:9" x14ac:dyDescent="0.15">
      <c r="A2249" s="9">
        <v>2248</v>
      </c>
      <c r="B2249" s="9" t="s">
        <v>9</v>
      </c>
      <c r="C2249" s="9">
        <v>1925</v>
      </c>
      <c r="D2249" s="10">
        <v>45715</v>
      </c>
      <c r="E2249" s="11" t="str">
        <f>+HYPERLINK("http://trademark.i-assist.jp/data/china/image_1925th/82467466.pdf","82467466")</f>
        <v>82467466</v>
      </c>
      <c r="F2249" s="9" t="s">
        <v>6083</v>
      </c>
      <c r="G2249" s="9" t="s">
        <v>6084</v>
      </c>
      <c r="H2249" s="9" t="s">
        <v>6085</v>
      </c>
      <c r="I2249" s="10">
        <v>45636</v>
      </c>
    </row>
    <row r="2250" spans="1:9" x14ac:dyDescent="0.15">
      <c r="A2250" s="9">
        <v>2249</v>
      </c>
      <c r="B2250" s="9" t="s">
        <v>9</v>
      </c>
      <c r="C2250" s="9">
        <v>1925</v>
      </c>
      <c r="D2250" s="10">
        <v>45715</v>
      </c>
      <c r="E2250" s="11" t="str">
        <f>+HYPERLINK("http://trademark.i-assist.jp/data/china/image_1925th/82467748.pdf","82467748")</f>
        <v>82467748</v>
      </c>
      <c r="F2250" s="9" t="s">
        <v>6086</v>
      </c>
      <c r="G2250" s="12" t="s">
        <v>6087</v>
      </c>
      <c r="H2250" s="12" t="s">
        <v>6088</v>
      </c>
      <c r="I2250" s="10">
        <v>45636</v>
      </c>
    </row>
    <row r="2251" spans="1:9" x14ac:dyDescent="0.15">
      <c r="A2251" s="9">
        <v>2250</v>
      </c>
      <c r="B2251" s="9" t="s">
        <v>9</v>
      </c>
      <c r="C2251" s="9">
        <v>1925</v>
      </c>
      <c r="D2251" s="10">
        <v>45715</v>
      </c>
      <c r="E2251" s="11" t="str">
        <f>+HYPERLINK("http://trademark.i-assist.jp/data/china/image_1925th/82467844.pdf","82467844")</f>
        <v>82467844</v>
      </c>
      <c r="F2251" s="12" t="s">
        <v>57</v>
      </c>
      <c r="G2251" s="9" t="s">
        <v>6053</v>
      </c>
      <c r="H2251" s="9" t="s">
        <v>6089</v>
      </c>
      <c r="I2251" s="10">
        <v>45636</v>
      </c>
    </row>
    <row r="2252" spans="1:9" x14ac:dyDescent="0.15">
      <c r="A2252" s="9">
        <v>2251</v>
      </c>
      <c r="B2252" s="9" t="s">
        <v>9</v>
      </c>
      <c r="C2252" s="9">
        <v>1925</v>
      </c>
      <c r="D2252" s="10">
        <v>45715</v>
      </c>
      <c r="E2252" s="11" t="str">
        <f>+HYPERLINK("http://trademark.i-assist.jp/data/china/image_1925th/82467963.pdf","82467963")</f>
        <v>82467963</v>
      </c>
      <c r="F2252" s="9" t="s">
        <v>6090</v>
      </c>
      <c r="G2252" s="9" t="s">
        <v>6091</v>
      </c>
      <c r="H2252" s="9" t="s">
        <v>6092</v>
      </c>
      <c r="I2252" s="10">
        <v>45636</v>
      </c>
    </row>
    <row r="2253" spans="1:9" x14ac:dyDescent="0.15">
      <c r="A2253" s="9">
        <v>2252</v>
      </c>
      <c r="B2253" s="9" t="s">
        <v>9</v>
      </c>
      <c r="C2253" s="9">
        <v>1925</v>
      </c>
      <c r="D2253" s="10">
        <v>45715</v>
      </c>
      <c r="E2253" s="11" t="str">
        <f>+HYPERLINK("http://trademark.i-assist.jp/data/china/image_1925th/82468395.pdf","82468395")</f>
        <v>82468395</v>
      </c>
      <c r="F2253" s="12" t="s">
        <v>6093</v>
      </c>
      <c r="G2253" s="12" t="s">
        <v>5986</v>
      </c>
      <c r="H2253" s="9" t="s">
        <v>6094</v>
      </c>
      <c r="I2253" s="10">
        <v>45636</v>
      </c>
    </row>
    <row r="2254" spans="1:9" x14ac:dyDescent="0.15">
      <c r="A2254" s="9">
        <v>2253</v>
      </c>
      <c r="B2254" s="9" t="s">
        <v>9</v>
      </c>
      <c r="C2254" s="9">
        <v>1925</v>
      </c>
      <c r="D2254" s="10">
        <v>45715</v>
      </c>
      <c r="E2254" s="11" t="str">
        <f>+HYPERLINK("http://trademark.i-assist.jp/data/china/image_1925th/82470401.pdf","82470401")</f>
        <v>82470401</v>
      </c>
      <c r="F2254" s="12" t="s">
        <v>57</v>
      </c>
      <c r="G2254" s="9" t="s">
        <v>6095</v>
      </c>
      <c r="H2254" s="9" t="s">
        <v>6096</v>
      </c>
      <c r="I2254" s="10">
        <v>45636</v>
      </c>
    </row>
    <row r="2255" spans="1:9" x14ac:dyDescent="0.15">
      <c r="A2255" s="9">
        <v>2254</v>
      </c>
      <c r="B2255" s="9" t="s">
        <v>9</v>
      </c>
      <c r="C2255" s="9">
        <v>1925</v>
      </c>
      <c r="D2255" s="10">
        <v>45715</v>
      </c>
      <c r="E2255" s="11" t="str">
        <f>+HYPERLINK("http://trademark.i-assist.jp/data/china/image_1925th/82470934.pdf","82470934")</f>
        <v>82470934</v>
      </c>
      <c r="F2255" s="9" t="s">
        <v>6097</v>
      </c>
      <c r="G2255" s="9" t="s">
        <v>6019</v>
      </c>
      <c r="H2255" s="12" t="s">
        <v>6098</v>
      </c>
      <c r="I2255" s="10">
        <v>45636</v>
      </c>
    </row>
    <row r="2256" spans="1:9" x14ac:dyDescent="0.15">
      <c r="A2256" s="9">
        <v>2255</v>
      </c>
      <c r="B2256" s="9" t="s">
        <v>9</v>
      </c>
      <c r="C2256" s="9">
        <v>1925</v>
      </c>
      <c r="D2256" s="10">
        <v>45715</v>
      </c>
      <c r="E2256" s="11" t="str">
        <f>+HYPERLINK("http://trademark.i-assist.jp/data/china/image_1925th/82471374.pdf","82471374")</f>
        <v>82471374</v>
      </c>
      <c r="F2256" s="12" t="s">
        <v>6099</v>
      </c>
      <c r="G2256" s="9" t="s">
        <v>6100</v>
      </c>
      <c r="H2256" s="9" t="s">
        <v>6101</v>
      </c>
      <c r="I2256" s="10">
        <v>45636</v>
      </c>
    </row>
    <row r="2257" spans="1:9" x14ac:dyDescent="0.15">
      <c r="A2257" s="9">
        <v>2256</v>
      </c>
      <c r="B2257" s="9" t="s">
        <v>9</v>
      </c>
      <c r="C2257" s="9">
        <v>1925</v>
      </c>
      <c r="D2257" s="10">
        <v>45715</v>
      </c>
      <c r="E2257" s="11" t="str">
        <f>+HYPERLINK("http://trademark.i-assist.jp/data/china/image_1925th/82471459.pdf","82471459")</f>
        <v>82471459</v>
      </c>
      <c r="F2257" s="12" t="s">
        <v>57</v>
      </c>
      <c r="G2257" s="9" t="s">
        <v>6102</v>
      </c>
      <c r="H2257" s="9" t="s">
        <v>6103</v>
      </c>
      <c r="I2257" s="10">
        <v>45636</v>
      </c>
    </row>
    <row r="2258" spans="1:9" x14ac:dyDescent="0.15">
      <c r="A2258" s="9">
        <v>2257</v>
      </c>
      <c r="B2258" s="9" t="s">
        <v>9</v>
      </c>
      <c r="C2258" s="9">
        <v>1925</v>
      </c>
      <c r="D2258" s="10">
        <v>45715</v>
      </c>
      <c r="E2258" s="11" t="str">
        <f>+HYPERLINK("http://trademark.i-assist.jp/data/china/image_1925th/82471836.pdf","82471836")</f>
        <v>82471836</v>
      </c>
      <c r="F2258" s="9" t="s">
        <v>6104</v>
      </c>
      <c r="G2258" s="9" t="s">
        <v>6105</v>
      </c>
      <c r="H2258" s="9" t="s">
        <v>6106</v>
      </c>
      <c r="I2258" s="10">
        <v>45636</v>
      </c>
    </row>
    <row r="2259" spans="1:9" x14ac:dyDescent="0.15">
      <c r="A2259" s="9">
        <v>2258</v>
      </c>
      <c r="B2259" s="9" t="s">
        <v>9</v>
      </c>
      <c r="C2259" s="9">
        <v>1925</v>
      </c>
      <c r="D2259" s="10">
        <v>45715</v>
      </c>
      <c r="E2259" s="11" t="str">
        <f>+HYPERLINK("http://trademark.i-assist.jp/data/china/image_1925th/82472228.pdf","82472228")</f>
        <v>82472228</v>
      </c>
      <c r="F2259" s="12" t="s">
        <v>6107</v>
      </c>
      <c r="G2259" s="9" t="s">
        <v>6108</v>
      </c>
      <c r="H2259" s="9" t="s">
        <v>6109</v>
      </c>
      <c r="I2259" s="10">
        <v>45636</v>
      </c>
    </row>
    <row r="2260" spans="1:9" x14ac:dyDescent="0.15">
      <c r="A2260" s="9">
        <v>2259</v>
      </c>
      <c r="B2260" s="9" t="s">
        <v>9</v>
      </c>
      <c r="C2260" s="9">
        <v>1925</v>
      </c>
      <c r="D2260" s="10">
        <v>45715</v>
      </c>
      <c r="E2260" s="11" t="str">
        <f>+HYPERLINK("http://trademark.i-assist.jp/data/china/image_1925th/82472494.pdf","82472494")</f>
        <v>82472494</v>
      </c>
      <c r="F2260" s="9" t="s">
        <v>6110</v>
      </c>
      <c r="G2260" s="9" t="s">
        <v>6084</v>
      </c>
      <c r="H2260" s="9" t="s">
        <v>6111</v>
      </c>
      <c r="I2260" s="10">
        <v>45636</v>
      </c>
    </row>
    <row r="2261" spans="1:9" x14ac:dyDescent="0.15">
      <c r="A2261" s="9">
        <v>2260</v>
      </c>
      <c r="B2261" s="9" t="s">
        <v>9</v>
      </c>
      <c r="C2261" s="9">
        <v>1925</v>
      </c>
      <c r="D2261" s="10">
        <v>45715</v>
      </c>
      <c r="E2261" s="11" t="str">
        <f>+HYPERLINK("http://trademark.i-assist.jp/data/china/image_1925th/82472980.pdf","82472980")</f>
        <v>82472980</v>
      </c>
      <c r="F2261" s="9" t="s">
        <v>6112</v>
      </c>
      <c r="G2261" s="9" t="s">
        <v>6113</v>
      </c>
      <c r="H2261" s="9" t="s">
        <v>6114</v>
      </c>
      <c r="I2261" s="10">
        <v>45636</v>
      </c>
    </row>
    <row r="2262" spans="1:9" x14ac:dyDescent="0.15">
      <c r="A2262" s="9">
        <v>2261</v>
      </c>
      <c r="B2262" s="9" t="s">
        <v>9</v>
      </c>
      <c r="C2262" s="9">
        <v>1925</v>
      </c>
      <c r="D2262" s="10">
        <v>45715</v>
      </c>
      <c r="E2262" s="11" t="str">
        <f>+HYPERLINK("http://trademark.i-assist.jp/data/china/image_1925th/82473076.pdf","82473076")</f>
        <v>82473076</v>
      </c>
      <c r="F2262" s="9" t="s">
        <v>6115</v>
      </c>
      <c r="G2262" s="9" t="s">
        <v>6116</v>
      </c>
      <c r="H2262" s="9" t="s">
        <v>383</v>
      </c>
      <c r="I2262" s="10">
        <v>45636</v>
      </c>
    </row>
    <row r="2263" spans="1:9" x14ac:dyDescent="0.15">
      <c r="A2263" s="9">
        <v>2262</v>
      </c>
      <c r="B2263" s="9" t="s">
        <v>9</v>
      </c>
      <c r="C2263" s="9">
        <v>1925</v>
      </c>
      <c r="D2263" s="10">
        <v>45715</v>
      </c>
      <c r="E2263" s="11" t="str">
        <f>+HYPERLINK("http://trademark.i-assist.jp/data/china/image_1925th/82474291.pdf","82474291")</f>
        <v>82474291</v>
      </c>
      <c r="F2263" s="12" t="s">
        <v>6117</v>
      </c>
      <c r="G2263" s="12" t="s">
        <v>3294</v>
      </c>
      <c r="H2263" s="9" t="s">
        <v>6118</v>
      </c>
      <c r="I2263" s="10">
        <v>45636</v>
      </c>
    </row>
    <row r="2264" spans="1:9" x14ac:dyDescent="0.15">
      <c r="A2264" s="9">
        <v>2263</v>
      </c>
      <c r="B2264" s="9" t="s">
        <v>9</v>
      </c>
      <c r="C2264" s="9">
        <v>1925</v>
      </c>
      <c r="D2264" s="10">
        <v>45715</v>
      </c>
      <c r="E2264" s="11" t="str">
        <f>+HYPERLINK("http://trademark.i-assist.jp/data/china/image_1925th/82475139.pdf","82475139")</f>
        <v>82475139</v>
      </c>
      <c r="F2264" s="9" t="s">
        <v>6119</v>
      </c>
      <c r="G2264" s="9" t="s">
        <v>6120</v>
      </c>
      <c r="H2264" s="9" t="s">
        <v>6121</v>
      </c>
      <c r="I2264" s="10">
        <v>45636</v>
      </c>
    </row>
    <row r="2265" spans="1:9" x14ac:dyDescent="0.15">
      <c r="A2265" s="9">
        <v>2264</v>
      </c>
      <c r="B2265" s="9" t="s">
        <v>9</v>
      </c>
      <c r="C2265" s="9">
        <v>1925</v>
      </c>
      <c r="D2265" s="10">
        <v>45715</v>
      </c>
      <c r="E2265" s="11" t="str">
        <f>+HYPERLINK("http://trademark.i-assist.jp/data/china/image_1925th/82475227.pdf","82475227")</f>
        <v>82475227</v>
      </c>
      <c r="F2265" s="12" t="s">
        <v>57</v>
      </c>
      <c r="G2265" s="9" t="s">
        <v>6122</v>
      </c>
      <c r="H2265" s="9" t="s">
        <v>6123</v>
      </c>
      <c r="I2265" s="10">
        <v>45636</v>
      </c>
    </row>
    <row r="2266" spans="1:9" x14ac:dyDescent="0.15">
      <c r="A2266" s="9">
        <v>2265</v>
      </c>
      <c r="B2266" s="9" t="s">
        <v>9</v>
      </c>
      <c r="C2266" s="9">
        <v>1925</v>
      </c>
      <c r="D2266" s="10">
        <v>45715</v>
      </c>
      <c r="E2266" s="11" t="str">
        <f>+HYPERLINK("http://trademark.i-assist.jp/data/china/image_1925th/82477162.pdf","82477162")</f>
        <v>82477162</v>
      </c>
      <c r="F2266" s="9" t="s">
        <v>6124</v>
      </c>
      <c r="G2266" s="9" t="s">
        <v>6125</v>
      </c>
      <c r="H2266" s="9" t="s">
        <v>6126</v>
      </c>
      <c r="I2266" s="10">
        <v>45637</v>
      </c>
    </row>
    <row r="2267" spans="1:9" x14ac:dyDescent="0.15">
      <c r="A2267" s="9">
        <v>2266</v>
      </c>
      <c r="B2267" s="9" t="s">
        <v>9</v>
      </c>
      <c r="C2267" s="9">
        <v>1925</v>
      </c>
      <c r="D2267" s="10">
        <v>45715</v>
      </c>
      <c r="E2267" s="11" t="str">
        <f>+HYPERLINK("http://trademark.i-assist.jp/data/china/image_1925th/82477764.pdf","82477764")</f>
        <v>82477764</v>
      </c>
      <c r="F2267" s="9" t="s">
        <v>6127</v>
      </c>
      <c r="G2267" s="12" t="s">
        <v>6128</v>
      </c>
      <c r="H2267" s="9" t="s">
        <v>6129</v>
      </c>
      <c r="I2267" s="10">
        <v>45637</v>
      </c>
    </row>
    <row r="2268" spans="1:9" x14ac:dyDescent="0.15">
      <c r="A2268" s="9">
        <v>2267</v>
      </c>
      <c r="B2268" s="9" t="s">
        <v>9</v>
      </c>
      <c r="C2268" s="9">
        <v>1925</v>
      </c>
      <c r="D2268" s="10">
        <v>45715</v>
      </c>
      <c r="E2268" s="11" t="str">
        <f>+HYPERLINK("http://trademark.i-assist.jp/data/china/image_1925th/82479885.pdf","82479885")</f>
        <v>82479885</v>
      </c>
      <c r="F2268" s="9" t="s">
        <v>6130</v>
      </c>
      <c r="G2268" s="12" t="s">
        <v>6131</v>
      </c>
      <c r="H2268" s="9" t="s">
        <v>6132</v>
      </c>
      <c r="I2268" s="10">
        <v>45637</v>
      </c>
    </row>
    <row r="2269" spans="1:9" x14ac:dyDescent="0.15">
      <c r="A2269" s="9">
        <v>2268</v>
      </c>
      <c r="B2269" s="9" t="s">
        <v>9</v>
      </c>
      <c r="C2269" s="9">
        <v>1925</v>
      </c>
      <c r="D2269" s="10">
        <v>45715</v>
      </c>
      <c r="E2269" s="11" t="str">
        <f>+HYPERLINK("http://trademark.i-assist.jp/data/china/image_1925th/82479897.pdf","82479897")</f>
        <v>82479897</v>
      </c>
      <c r="F2269" s="9" t="s">
        <v>6133</v>
      </c>
      <c r="G2269" s="12" t="s">
        <v>6131</v>
      </c>
      <c r="H2269" s="12" t="s">
        <v>6134</v>
      </c>
      <c r="I2269" s="10">
        <v>45637</v>
      </c>
    </row>
    <row r="2270" spans="1:9" x14ac:dyDescent="0.15">
      <c r="A2270" s="9">
        <v>2269</v>
      </c>
      <c r="B2270" s="9" t="s">
        <v>9</v>
      </c>
      <c r="C2270" s="9">
        <v>1925</v>
      </c>
      <c r="D2270" s="10">
        <v>45715</v>
      </c>
      <c r="E2270" s="11" t="str">
        <f>+HYPERLINK("http://trademark.i-assist.jp/data/china/image_1925th/82481036.pdf","82481036")</f>
        <v>82481036</v>
      </c>
      <c r="F2270" s="9" t="s">
        <v>6135</v>
      </c>
      <c r="G2270" s="9" t="s">
        <v>6136</v>
      </c>
      <c r="H2270" s="9" t="s">
        <v>6137</v>
      </c>
      <c r="I2270" s="10">
        <v>45637</v>
      </c>
    </row>
    <row r="2271" spans="1:9" x14ac:dyDescent="0.15">
      <c r="A2271" s="9">
        <v>2270</v>
      </c>
      <c r="B2271" s="9" t="s">
        <v>9</v>
      </c>
      <c r="C2271" s="9">
        <v>1925</v>
      </c>
      <c r="D2271" s="10">
        <v>45715</v>
      </c>
      <c r="E2271" s="11" t="str">
        <f>+HYPERLINK("http://trademark.i-assist.jp/data/china/image_1925th/82482457.pdf","82482457")</f>
        <v>82482457</v>
      </c>
      <c r="F2271" s="9" t="s">
        <v>6138</v>
      </c>
      <c r="G2271" s="12" t="s">
        <v>6139</v>
      </c>
      <c r="H2271" s="9" t="s">
        <v>6140</v>
      </c>
      <c r="I2271" s="10">
        <v>45637</v>
      </c>
    </row>
    <row r="2272" spans="1:9" x14ac:dyDescent="0.15">
      <c r="A2272" s="9">
        <v>2271</v>
      </c>
      <c r="B2272" s="9" t="s">
        <v>9</v>
      </c>
      <c r="C2272" s="9">
        <v>1925</v>
      </c>
      <c r="D2272" s="10">
        <v>45715</v>
      </c>
      <c r="E2272" s="11" t="str">
        <f>+HYPERLINK("http://trademark.i-assist.jp/data/china/image_1925th/82482466.pdf","82482466")</f>
        <v>82482466</v>
      </c>
      <c r="F2272" s="12" t="s">
        <v>6141</v>
      </c>
      <c r="G2272" s="9" t="s">
        <v>6142</v>
      </c>
      <c r="H2272" s="9" t="s">
        <v>6143</v>
      </c>
      <c r="I2272" s="10">
        <v>45637</v>
      </c>
    </row>
    <row r="2273" spans="1:9" x14ac:dyDescent="0.15">
      <c r="A2273" s="9">
        <v>2272</v>
      </c>
      <c r="B2273" s="9" t="s">
        <v>9</v>
      </c>
      <c r="C2273" s="9">
        <v>1925</v>
      </c>
      <c r="D2273" s="10">
        <v>45715</v>
      </c>
      <c r="E2273" s="11" t="str">
        <f>+HYPERLINK("http://trademark.i-assist.jp/data/china/image_1925th/82482528.pdf","82482528")</f>
        <v>82482528</v>
      </c>
      <c r="F2273" s="9" t="s">
        <v>6144</v>
      </c>
      <c r="G2273" s="12" t="s">
        <v>6145</v>
      </c>
      <c r="H2273" s="9" t="s">
        <v>6146</v>
      </c>
      <c r="I2273" s="10">
        <v>45637</v>
      </c>
    </row>
    <row r="2274" spans="1:9" x14ac:dyDescent="0.15">
      <c r="A2274" s="9">
        <v>2273</v>
      </c>
      <c r="B2274" s="9" t="s">
        <v>9</v>
      </c>
      <c r="C2274" s="9">
        <v>1925</v>
      </c>
      <c r="D2274" s="10">
        <v>45715</v>
      </c>
      <c r="E2274" s="11" t="str">
        <f>+HYPERLINK("http://trademark.i-assist.jp/data/china/image_1925th/82483518.pdf","82483518")</f>
        <v>82483518</v>
      </c>
      <c r="F2274" s="12" t="s">
        <v>6147</v>
      </c>
      <c r="G2274" s="9" t="s">
        <v>6148</v>
      </c>
      <c r="H2274" s="9" t="s">
        <v>6149</v>
      </c>
      <c r="I2274" s="10">
        <v>45637</v>
      </c>
    </row>
    <row r="2275" spans="1:9" x14ac:dyDescent="0.15">
      <c r="A2275" s="9">
        <v>2274</v>
      </c>
      <c r="B2275" s="9" t="s">
        <v>9</v>
      </c>
      <c r="C2275" s="9">
        <v>1925</v>
      </c>
      <c r="D2275" s="10">
        <v>45715</v>
      </c>
      <c r="E2275" s="11" t="str">
        <f>+HYPERLINK("http://trademark.i-assist.jp/data/china/image_1925th/82484284.pdf","82484284")</f>
        <v>82484284</v>
      </c>
      <c r="F2275" s="13" t="s">
        <v>6150</v>
      </c>
      <c r="G2275" s="9" t="s">
        <v>6151</v>
      </c>
      <c r="H2275" s="9" t="s">
        <v>6152</v>
      </c>
      <c r="I2275" s="10">
        <v>45637</v>
      </c>
    </row>
    <row r="2276" spans="1:9" x14ac:dyDescent="0.15">
      <c r="A2276" s="9">
        <v>2275</v>
      </c>
      <c r="B2276" s="9" t="s">
        <v>9</v>
      </c>
      <c r="C2276" s="9">
        <v>1925</v>
      </c>
      <c r="D2276" s="10">
        <v>45715</v>
      </c>
      <c r="E2276" s="11" t="str">
        <f>+HYPERLINK("http://trademark.i-assist.jp/data/china/image_1925th/82485287.pdf","82485287")</f>
        <v>82485287</v>
      </c>
      <c r="F2276" s="9" t="s">
        <v>6153</v>
      </c>
      <c r="G2276" s="12" t="s">
        <v>6131</v>
      </c>
      <c r="H2276" s="9" t="s">
        <v>6154</v>
      </c>
      <c r="I2276" s="10">
        <v>45637</v>
      </c>
    </row>
    <row r="2277" spans="1:9" x14ac:dyDescent="0.15">
      <c r="A2277" s="9">
        <v>2276</v>
      </c>
      <c r="B2277" s="9" t="s">
        <v>9</v>
      </c>
      <c r="C2277" s="9">
        <v>1925</v>
      </c>
      <c r="D2277" s="10">
        <v>45715</v>
      </c>
      <c r="E2277" s="11" t="str">
        <f>+HYPERLINK("http://trademark.i-assist.jp/data/china/image_1925th/82485306.pdf","82485306")</f>
        <v>82485306</v>
      </c>
      <c r="F2277" s="9" t="s">
        <v>6155</v>
      </c>
      <c r="G2277" s="12" t="s">
        <v>6131</v>
      </c>
      <c r="H2277" s="12" t="s">
        <v>6156</v>
      </c>
      <c r="I2277" s="10">
        <v>45637</v>
      </c>
    </row>
    <row r="2278" spans="1:9" x14ac:dyDescent="0.15">
      <c r="A2278" s="9">
        <v>2277</v>
      </c>
      <c r="B2278" s="9" t="s">
        <v>9</v>
      </c>
      <c r="C2278" s="9">
        <v>1925</v>
      </c>
      <c r="D2278" s="10">
        <v>45715</v>
      </c>
      <c r="E2278" s="11" t="str">
        <f>+HYPERLINK("http://trademark.i-assist.jp/data/china/image_1925th/82485659.pdf","82485659")</f>
        <v>82485659</v>
      </c>
      <c r="F2278" s="9" t="s">
        <v>6157</v>
      </c>
      <c r="G2278" s="12" t="s">
        <v>6131</v>
      </c>
      <c r="H2278" s="9" t="s">
        <v>6158</v>
      </c>
      <c r="I2278" s="10">
        <v>45637</v>
      </c>
    </row>
    <row r="2279" spans="1:9" x14ac:dyDescent="0.15">
      <c r="A2279" s="9">
        <v>2278</v>
      </c>
      <c r="B2279" s="9" t="s">
        <v>9</v>
      </c>
      <c r="C2279" s="9">
        <v>1925</v>
      </c>
      <c r="D2279" s="10">
        <v>45715</v>
      </c>
      <c r="E2279" s="11" t="str">
        <f>+HYPERLINK("http://trademark.i-assist.jp/data/china/image_1925th/82486842.pdf","82486842")</f>
        <v>82486842</v>
      </c>
      <c r="F2279" s="9" t="s">
        <v>6159</v>
      </c>
      <c r="G2279" s="9" t="s">
        <v>6160</v>
      </c>
      <c r="H2279" s="9" t="s">
        <v>6161</v>
      </c>
      <c r="I2279" s="10">
        <v>45637</v>
      </c>
    </row>
    <row r="2280" spans="1:9" x14ac:dyDescent="0.15">
      <c r="A2280" s="9">
        <v>2279</v>
      </c>
      <c r="B2280" s="9" t="s">
        <v>9</v>
      </c>
      <c r="C2280" s="9">
        <v>1925</v>
      </c>
      <c r="D2280" s="10">
        <v>45715</v>
      </c>
      <c r="E2280" s="11" t="str">
        <f>+HYPERLINK("http://trademark.i-assist.jp/data/china/image_1925th/82487109.pdf","82487109")</f>
        <v>82487109</v>
      </c>
      <c r="F2280" s="9" t="s">
        <v>6162</v>
      </c>
      <c r="G2280" s="12" t="s">
        <v>6163</v>
      </c>
      <c r="H2280" s="9" t="s">
        <v>6164</v>
      </c>
      <c r="I2280" s="10">
        <v>45637</v>
      </c>
    </row>
    <row r="2281" spans="1:9" x14ac:dyDescent="0.15">
      <c r="A2281" s="9">
        <v>2280</v>
      </c>
      <c r="B2281" s="9" t="s">
        <v>9</v>
      </c>
      <c r="C2281" s="9">
        <v>1925</v>
      </c>
      <c r="D2281" s="10">
        <v>45715</v>
      </c>
      <c r="E2281" s="11" t="str">
        <f>+HYPERLINK("http://trademark.i-assist.jp/data/china/image_1925th/82487321.pdf","82487321")</f>
        <v>82487321</v>
      </c>
      <c r="F2281" s="9" t="s">
        <v>6165</v>
      </c>
      <c r="G2281" s="9" t="s">
        <v>6166</v>
      </c>
      <c r="H2281" s="12" t="s">
        <v>6167</v>
      </c>
      <c r="I2281" s="10">
        <v>45637</v>
      </c>
    </row>
    <row r="2282" spans="1:9" x14ac:dyDescent="0.15">
      <c r="A2282" s="9">
        <v>2281</v>
      </c>
      <c r="B2282" s="9" t="s">
        <v>9</v>
      </c>
      <c r="C2282" s="9">
        <v>1925</v>
      </c>
      <c r="D2282" s="10">
        <v>45715</v>
      </c>
      <c r="E2282" s="11" t="str">
        <f>+HYPERLINK("http://trademark.i-assist.jp/data/china/image_1925th/82487330.pdf","82487330")</f>
        <v>82487330</v>
      </c>
      <c r="F2282" s="9" t="s">
        <v>6168</v>
      </c>
      <c r="G2282" s="9" t="s">
        <v>6166</v>
      </c>
      <c r="H2282" s="9" t="s">
        <v>6169</v>
      </c>
      <c r="I2282" s="10">
        <v>45637</v>
      </c>
    </row>
    <row r="2283" spans="1:9" x14ac:dyDescent="0.15">
      <c r="A2283" s="9">
        <v>2282</v>
      </c>
      <c r="B2283" s="9" t="s">
        <v>9</v>
      </c>
      <c r="C2283" s="9">
        <v>1925</v>
      </c>
      <c r="D2283" s="10">
        <v>45715</v>
      </c>
      <c r="E2283" s="11" t="str">
        <f>+HYPERLINK("http://trademark.i-assist.jp/data/china/image_1925th/82487630.pdf","82487630")</f>
        <v>82487630</v>
      </c>
      <c r="F2283" s="9" t="s">
        <v>6170</v>
      </c>
      <c r="G2283" s="12" t="s">
        <v>6171</v>
      </c>
      <c r="H2283" s="9" t="s">
        <v>6172</v>
      </c>
      <c r="I2283" s="10">
        <v>45637</v>
      </c>
    </row>
    <row r="2284" spans="1:9" x14ac:dyDescent="0.15">
      <c r="A2284" s="9">
        <v>2283</v>
      </c>
      <c r="B2284" s="9" t="s">
        <v>9</v>
      </c>
      <c r="C2284" s="9">
        <v>1925</v>
      </c>
      <c r="D2284" s="10">
        <v>45715</v>
      </c>
      <c r="E2284" s="11" t="str">
        <f>+HYPERLINK("http://trademark.i-assist.jp/data/china/image_1925th/82487875.pdf","82487875")</f>
        <v>82487875</v>
      </c>
      <c r="F2284" s="9" t="s">
        <v>6173</v>
      </c>
      <c r="G2284" s="9" t="s">
        <v>6174</v>
      </c>
      <c r="H2284" s="9" t="s">
        <v>6175</v>
      </c>
      <c r="I2284" s="10">
        <v>45637</v>
      </c>
    </row>
    <row r="2285" spans="1:9" x14ac:dyDescent="0.15">
      <c r="A2285" s="9">
        <v>2284</v>
      </c>
      <c r="B2285" s="9" t="s">
        <v>9</v>
      </c>
      <c r="C2285" s="9">
        <v>1925</v>
      </c>
      <c r="D2285" s="10">
        <v>45715</v>
      </c>
      <c r="E2285" s="11" t="str">
        <f>+HYPERLINK("http://trademark.i-assist.jp/data/china/image_1925th/82489681.pdf","82489681")</f>
        <v>82489681</v>
      </c>
      <c r="F2285" s="9" t="s">
        <v>6176</v>
      </c>
      <c r="G2285" s="9" t="s">
        <v>6177</v>
      </c>
      <c r="H2285" s="9" t="s">
        <v>6178</v>
      </c>
      <c r="I2285" s="10">
        <v>45637</v>
      </c>
    </row>
    <row r="2286" spans="1:9" x14ac:dyDescent="0.15">
      <c r="A2286" s="9">
        <v>2285</v>
      </c>
      <c r="B2286" s="9" t="s">
        <v>9</v>
      </c>
      <c r="C2286" s="9">
        <v>1925</v>
      </c>
      <c r="D2286" s="10">
        <v>45715</v>
      </c>
      <c r="E2286" s="11" t="str">
        <f>+HYPERLINK("http://trademark.i-assist.jp/data/china/image_1925th/82491482.pdf","82491482")</f>
        <v>82491482</v>
      </c>
      <c r="F2286" s="9" t="s">
        <v>6179</v>
      </c>
      <c r="G2286" s="9" t="s">
        <v>6160</v>
      </c>
      <c r="H2286" s="9" t="s">
        <v>6180</v>
      </c>
      <c r="I2286" s="10">
        <v>45637</v>
      </c>
    </row>
    <row r="2287" spans="1:9" x14ac:dyDescent="0.15">
      <c r="A2287" s="9">
        <v>2286</v>
      </c>
      <c r="B2287" s="9" t="s">
        <v>9</v>
      </c>
      <c r="C2287" s="9">
        <v>1925</v>
      </c>
      <c r="D2287" s="10">
        <v>45715</v>
      </c>
      <c r="E2287" s="11" t="str">
        <f>+HYPERLINK("http://trademark.i-assist.jp/data/china/image_1925th/82492199.pdf","82492199")</f>
        <v>82492199</v>
      </c>
      <c r="F2287" s="9" t="s">
        <v>6181</v>
      </c>
      <c r="G2287" s="9" t="s">
        <v>6182</v>
      </c>
      <c r="H2287" s="9" t="s">
        <v>6183</v>
      </c>
      <c r="I2287" s="10">
        <v>45637</v>
      </c>
    </row>
    <row r="2288" spans="1:9" x14ac:dyDescent="0.15">
      <c r="A2288" s="9">
        <v>2287</v>
      </c>
      <c r="B2288" s="9" t="s">
        <v>9</v>
      </c>
      <c r="C2288" s="9">
        <v>1925</v>
      </c>
      <c r="D2288" s="10">
        <v>45715</v>
      </c>
      <c r="E2288" s="11" t="str">
        <f>+HYPERLINK("http://trademark.i-assist.jp/data/china/image_1925th/82492603.pdf","82492603")</f>
        <v>82492603</v>
      </c>
      <c r="F2288" s="9" t="s">
        <v>6184</v>
      </c>
      <c r="G2288" s="12" t="s">
        <v>6185</v>
      </c>
      <c r="H2288" s="9" t="s">
        <v>6186</v>
      </c>
      <c r="I2288" s="10">
        <v>45637</v>
      </c>
    </row>
    <row r="2289" spans="1:9" x14ac:dyDescent="0.15">
      <c r="A2289" s="9">
        <v>2288</v>
      </c>
      <c r="B2289" s="9" t="s">
        <v>9</v>
      </c>
      <c r="C2289" s="9">
        <v>1925</v>
      </c>
      <c r="D2289" s="10">
        <v>45715</v>
      </c>
      <c r="E2289" s="11" t="str">
        <f>+HYPERLINK("http://trademark.i-assist.jp/data/china/image_1925th/82492650.pdf","82492650")</f>
        <v>82492650</v>
      </c>
      <c r="F2289" s="9" t="s">
        <v>6187</v>
      </c>
      <c r="G2289" s="9" t="s">
        <v>6188</v>
      </c>
      <c r="H2289" s="9" t="s">
        <v>6189</v>
      </c>
      <c r="I2289" s="10">
        <v>45637</v>
      </c>
    </row>
    <row r="2290" spans="1:9" x14ac:dyDescent="0.15">
      <c r="A2290" s="9">
        <v>2289</v>
      </c>
      <c r="B2290" s="9" t="s">
        <v>9</v>
      </c>
      <c r="C2290" s="9">
        <v>1925</v>
      </c>
      <c r="D2290" s="10">
        <v>45715</v>
      </c>
      <c r="E2290" s="11" t="str">
        <f>+HYPERLINK("http://trademark.i-assist.jp/data/china/image_1925th/82493263.pdf","82493263")</f>
        <v>82493263</v>
      </c>
      <c r="F2290" s="9" t="s">
        <v>6190</v>
      </c>
      <c r="G2290" s="9" t="s">
        <v>6191</v>
      </c>
      <c r="H2290" s="9" t="s">
        <v>6192</v>
      </c>
      <c r="I2290" s="10">
        <v>45637</v>
      </c>
    </row>
    <row r="2291" spans="1:9" x14ac:dyDescent="0.15">
      <c r="A2291" s="9">
        <v>2290</v>
      </c>
      <c r="B2291" s="9" t="s">
        <v>9</v>
      </c>
      <c r="C2291" s="9">
        <v>1925</v>
      </c>
      <c r="D2291" s="10">
        <v>45715</v>
      </c>
      <c r="E2291" s="11" t="str">
        <f>+HYPERLINK("http://trademark.i-assist.jp/data/china/image_1925th/82493533.pdf","82493533")</f>
        <v>82493533</v>
      </c>
      <c r="F2291" s="9" t="s">
        <v>6193</v>
      </c>
      <c r="G2291" s="12" t="s">
        <v>6131</v>
      </c>
      <c r="H2291" s="12" t="s">
        <v>6194</v>
      </c>
      <c r="I2291" s="10">
        <v>45637</v>
      </c>
    </row>
    <row r="2292" spans="1:9" x14ac:dyDescent="0.15">
      <c r="A2292" s="9">
        <v>2291</v>
      </c>
      <c r="B2292" s="9" t="s">
        <v>9</v>
      </c>
      <c r="C2292" s="9">
        <v>1925</v>
      </c>
      <c r="D2292" s="10">
        <v>45715</v>
      </c>
      <c r="E2292" s="11" t="str">
        <f>+HYPERLINK("http://trademark.i-assist.jp/data/china/image_1925th/82494537.pdf","82494537")</f>
        <v>82494537</v>
      </c>
      <c r="F2292" s="12" t="s">
        <v>6195</v>
      </c>
      <c r="G2292" s="9" t="s">
        <v>6196</v>
      </c>
      <c r="H2292" s="9" t="s">
        <v>6197</v>
      </c>
      <c r="I2292" s="10">
        <v>45637</v>
      </c>
    </row>
    <row r="2293" spans="1:9" x14ac:dyDescent="0.15">
      <c r="A2293" s="9">
        <v>2292</v>
      </c>
      <c r="B2293" s="9" t="s">
        <v>9</v>
      </c>
      <c r="C2293" s="9">
        <v>1925</v>
      </c>
      <c r="D2293" s="10">
        <v>45715</v>
      </c>
      <c r="E2293" s="11" t="str">
        <f>+HYPERLINK("http://trademark.i-assist.jp/data/china/image_1925th/82494593.pdf","82494593")</f>
        <v>82494593</v>
      </c>
      <c r="F2293" s="9" t="s">
        <v>6198</v>
      </c>
      <c r="G2293" s="12" t="s">
        <v>6199</v>
      </c>
      <c r="H2293" s="9" t="s">
        <v>6200</v>
      </c>
      <c r="I2293" s="10">
        <v>45637</v>
      </c>
    </row>
    <row r="2294" spans="1:9" x14ac:dyDescent="0.15">
      <c r="A2294" s="9">
        <v>2293</v>
      </c>
      <c r="B2294" s="9" t="s">
        <v>9</v>
      </c>
      <c r="C2294" s="9">
        <v>1925</v>
      </c>
      <c r="D2294" s="10">
        <v>45715</v>
      </c>
      <c r="E2294" s="11" t="str">
        <f>+HYPERLINK("http://trademark.i-assist.jp/data/china/image_1925th/82495911.pdf","82495911")</f>
        <v>82495911</v>
      </c>
      <c r="F2294" s="9" t="s">
        <v>6201</v>
      </c>
      <c r="G2294" s="12" t="s">
        <v>6202</v>
      </c>
      <c r="H2294" s="9" t="s">
        <v>6203</v>
      </c>
      <c r="I2294" s="10">
        <v>45637</v>
      </c>
    </row>
    <row r="2295" spans="1:9" x14ac:dyDescent="0.15">
      <c r="A2295" s="9">
        <v>2294</v>
      </c>
      <c r="B2295" s="9" t="s">
        <v>9</v>
      </c>
      <c r="C2295" s="9">
        <v>1925</v>
      </c>
      <c r="D2295" s="10">
        <v>45715</v>
      </c>
      <c r="E2295" s="11" t="str">
        <f>+HYPERLINK("http://trademark.i-assist.jp/data/china/image_1925th/82496900.pdf","82496900")</f>
        <v>82496900</v>
      </c>
      <c r="F2295" s="9" t="s">
        <v>6204</v>
      </c>
      <c r="G2295" s="9" t="s">
        <v>6205</v>
      </c>
      <c r="H2295" s="9" t="s">
        <v>6206</v>
      </c>
      <c r="I2295" s="10">
        <v>45637</v>
      </c>
    </row>
    <row r="2296" spans="1:9" x14ac:dyDescent="0.15">
      <c r="A2296" s="9">
        <v>2295</v>
      </c>
      <c r="B2296" s="9" t="s">
        <v>9</v>
      </c>
      <c r="C2296" s="9">
        <v>1925</v>
      </c>
      <c r="D2296" s="10">
        <v>45715</v>
      </c>
      <c r="E2296" s="11" t="str">
        <f>+HYPERLINK("http://trademark.i-assist.jp/data/china/image_1925th/82497261.pdf","82497261")</f>
        <v>82497261</v>
      </c>
      <c r="F2296" s="9" t="s">
        <v>6207</v>
      </c>
      <c r="G2296" s="12" t="s">
        <v>6131</v>
      </c>
      <c r="H2296" s="12" t="s">
        <v>6208</v>
      </c>
      <c r="I2296" s="10">
        <v>45637</v>
      </c>
    </row>
    <row r="2297" spans="1:9" x14ac:dyDescent="0.15">
      <c r="A2297" s="9">
        <v>2296</v>
      </c>
      <c r="B2297" s="9" t="s">
        <v>9</v>
      </c>
      <c r="C2297" s="9">
        <v>1925</v>
      </c>
      <c r="D2297" s="10">
        <v>45715</v>
      </c>
      <c r="E2297" s="11" t="str">
        <f>+HYPERLINK("http://trademark.i-assist.jp/data/china/image_1925th/82497415.pdf","82497415")</f>
        <v>82497415</v>
      </c>
      <c r="F2297" s="9" t="s">
        <v>6209</v>
      </c>
      <c r="G2297" s="9" t="s">
        <v>6160</v>
      </c>
      <c r="H2297" s="9" t="s">
        <v>6210</v>
      </c>
      <c r="I2297" s="10">
        <v>45637</v>
      </c>
    </row>
    <row r="2298" spans="1:9" x14ac:dyDescent="0.15">
      <c r="A2298" s="9">
        <v>2297</v>
      </c>
      <c r="B2298" s="9" t="s">
        <v>9</v>
      </c>
      <c r="C2298" s="9">
        <v>1925</v>
      </c>
      <c r="D2298" s="10">
        <v>45715</v>
      </c>
      <c r="E2298" s="11" t="str">
        <f>+HYPERLINK("http://trademark.i-assist.jp/data/china/image_1925th/82497565.pdf","82497565")</f>
        <v>82497565</v>
      </c>
      <c r="F2298" s="9" t="s">
        <v>6211</v>
      </c>
      <c r="G2298" s="9" t="s">
        <v>6212</v>
      </c>
      <c r="H2298" s="9" t="s">
        <v>6213</v>
      </c>
      <c r="I2298" s="10">
        <v>45637</v>
      </c>
    </row>
    <row r="2299" spans="1:9" x14ac:dyDescent="0.15">
      <c r="A2299" s="9">
        <v>2298</v>
      </c>
      <c r="B2299" s="9" t="s">
        <v>9</v>
      </c>
      <c r="C2299" s="9">
        <v>1925</v>
      </c>
      <c r="D2299" s="10">
        <v>45715</v>
      </c>
      <c r="E2299" s="11" t="str">
        <f>+HYPERLINK("http://trademark.i-assist.jp/data/china/image_1925th/82497909.pdf","82497909")</f>
        <v>82497909</v>
      </c>
      <c r="F2299" s="12" t="s">
        <v>57</v>
      </c>
      <c r="G2299" s="9" t="s">
        <v>6214</v>
      </c>
      <c r="H2299" s="9" t="s">
        <v>92</v>
      </c>
      <c r="I2299" s="10">
        <v>45637</v>
      </c>
    </row>
    <row r="2300" spans="1:9" x14ac:dyDescent="0.15">
      <c r="A2300" s="9">
        <v>2299</v>
      </c>
      <c r="B2300" s="9" t="s">
        <v>9</v>
      </c>
      <c r="C2300" s="9">
        <v>1925</v>
      </c>
      <c r="D2300" s="10">
        <v>45715</v>
      </c>
      <c r="E2300" s="11" t="str">
        <f>+HYPERLINK("http://trademark.i-assist.jp/data/china/image_1925th/82497914.pdf","82497914")</f>
        <v>82497914</v>
      </c>
      <c r="F2300" s="12" t="s">
        <v>6215</v>
      </c>
      <c r="G2300" s="12" t="s">
        <v>6216</v>
      </c>
      <c r="H2300" s="9" t="s">
        <v>6217</v>
      </c>
      <c r="I2300" s="10">
        <v>45637</v>
      </c>
    </row>
    <row r="2301" spans="1:9" x14ac:dyDescent="0.15">
      <c r="A2301" s="9">
        <v>2300</v>
      </c>
      <c r="B2301" s="9" t="s">
        <v>9</v>
      </c>
      <c r="C2301" s="9">
        <v>1925</v>
      </c>
      <c r="D2301" s="10">
        <v>45715</v>
      </c>
      <c r="E2301" s="11" t="str">
        <f>+HYPERLINK("http://trademark.i-assist.jp/data/china/image_1925th/82499047.pdf","82499047")</f>
        <v>82499047</v>
      </c>
      <c r="F2301" s="9" t="s">
        <v>6218</v>
      </c>
      <c r="G2301" s="9" t="s">
        <v>6142</v>
      </c>
      <c r="H2301" s="9" t="s">
        <v>6219</v>
      </c>
      <c r="I2301" s="10">
        <v>45637</v>
      </c>
    </row>
    <row r="2302" spans="1:9" x14ac:dyDescent="0.15">
      <c r="A2302" s="9">
        <v>2301</v>
      </c>
      <c r="B2302" s="9" t="s">
        <v>9</v>
      </c>
      <c r="C2302" s="9">
        <v>1925</v>
      </c>
      <c r="D2302" s="10">
        <v>45715</v>
      </c>
      <c r="E2302" s="11" t="str">
        <f>+HYPERLINK("http://trademark.i-assist.jp/data/china/image_1925th/82499431.pdf","82499431")</f>
        <v>82499431</v>
      </c>
      <c r="F2302" s="9" t="s">
        <v>6220</v>
      </c>
      <c r="G2302" s="12" t="s">
        <v>6221</v>
      </c>
      <c r="H2302" s="9" t="s">
        <v>6222</v>
      </c>
      <c r="I2302" s="10">
        <v>45637</v>
      </c>
    </row>
    <row r="2303" spans="1:9" x14ac:dyDescent="0.15">
      <c r="A2303" s="9">
        <v>2302</v>
      </c>
      <c r="B2303" s="9" t="s">
        <v>9</v>
      </c>
      <c r="C2303" s="9">
        <v>1925</v>
      </c>
      <c r="D2303" s="10">
        <v>45715</v>
      </c>
      <c r="E2303" s="11" t="str">
        <f>+HYPERLINK("http://trademark.i-assist.jp/data/china/image_1925th/82499459.pdf","82499459")</f>
        <v>82499459</v>
      </c>
      <c r="F2303" s="9" t="s">
        <v>6223</v>
      </c>
      <c r="G2303" s="12" t="s">
        <v>6163</v>
      </c>
      <c r="H2303" s="12" t="s">
        <v>6224</v>
      </c>
      <c r="I2303" s="10">
        <v>45637</v>
      </c>
    </row>
    <row r="2304" spans="1:9" x14ac:dyDescent="0.15">
      <c r="A2304" s="9">
        <v>2303</v>
      </c>
      <c r="B2304" s="9" t="s">
        <v>9</v>
      </c>
      <c r="C2304" s="9">
        <v>1925</v>
      </c>
      <c r="D2304" s="10">
        <v>45715</v>
      </c>
      <c r="E2304" s="11" t="str">
        <f>+HYPERLINK("http://trademark.i-assist.jp/data/china/image_1925th/82500723.pdf","82500723")</f>
        <v>82500723</v>
      </c>
      <c r="F2304" s="9" t="s">
        <v>6225</v>
      </c>
      <c r="G2304" s="9" t="s">
        <v>6226</v>
      </c>
      <c r="H2304" s="9" t="s">
        <v>6227</v>
      </c>
      <c r="I2304" s="10">
        <v>45637</v>
      </c>
    </row>
    <row r="2305" spans="1:9" x14ac:dyDescent="0.15">
      <c r="A2305" s="9">
        <v>2304</v>
      </c>
      <c r="B2305" s="9" t="s">
        <v>9</v>
      </c>
      <c r="C2305" s="9">
        <v>1925</v>
      </c>
      <c r="D2305" s="10">
        <v>45715</v>
      </c>
      <c r="E2305" s="11" t="str">
        <f>+HYPERLINK("http://trademark.i-assist.jp/data/china/image_1925th/82501150.pdf","82501150")</f>
        <v>82501150</v>
      </c>
      <c r="F2305" s="9" t="s">
        <v>6228</v>
      </c>
      <c r="G2305" s="12" t="s">
        <v>6229</v>
      </c>
      <c r="H2305" s="9" t="s">
        <v>6230</v>
      </c>
      <c r="I2305" s="10">
        <v>45638</v>
      </c>
    </row>
    <row r="2306" spans="1:9" x14ac:dyDescent="0.15">
      <c r="A2306" s="9">
        <v>2305</v>
      </c>
      <c r="B2306" s="9" t="s">
        <v>9</v>
      </c>
      <c r="C2306" s="9">
        <v>1925</v>
      </c>
      <c r="D2306" s="10">
        <v>45715</v>
      </c>
      <c r="E2306" s="11" t="str">
        <f>+HYPERLINK("http://trademark.i-assist.jp/data/china/image_1925th/82501582.pdf","82501582")</f>
        <v>82501582</v>
      </c>
      <c r="F2306" s="9" t="s">
        <v>6231</v>
      </c>
      <c r="G2306" s="12" t="s">
        <v>6232</v>
      </c>
      <c r="H2306" s="9" t="s">
        <v>6233</v>
      </c>
      <c r="I2306" s="10">
        <v>45638</v>
      </c>
    </row>
    <row r="2307" spans="1:9" x14ac:dyDescent="0.15">
      <c r="A2307" s="9">
        <v>2306</v>
      </c>
      <c r="B2307" s="9" t="s">
        <v>9</v>
      </c>
      <c r="C2307" s="9">
        <v>1925</v>
      </c>
      <c r="D2307" s="10">
        <v>45715</v>
      </c>
      <c r="E2307" s="11" t="str">
        <f>+HYPERLINK("http://trademark.i-assist.jp/data/china/image_1925th/82501764.pdf","82501764")</f>
        <v>82501764</v>
      </c>
      <c r="F2307" s="9" t="s">
        <v>6234</v>
      </c>
      <c r="G2307" s="9" t="s">
        <v>6235</v>
      </c>
      <c r="H2307" s="9" t="s">
        <v>6236</v>
      </c>
      <c r="I2307" s="10">
        <v>45638</v>
      </c>
    </row>
    <row r="2308" spans="1:9" x14ac:dyDescent="0.15">
      <c r="A2308" s="9">
        <v>2307</v>
      </c>
      <c r="B2308" s="9" t="s">
        <v>9</v>
      </c>
      <c r="C2308" s="9">
        <v>1925</v>
      </c>
      <c r="D2308" s="10">
        <v>45715</v>
      </c>
      <c r="E2308" s="11" t="str">
        <f>+HYPERLINK("http://trademark.i-assist.jp/data/china/image_1925th/82504479.pdf","82504479")</f>
        <v>82504479</v>
      </c>
      <c r="F2308" s="12" t="s">
        <v>6237</v>
      </c>
      <c r="G2308" s="12" t="s">
        <v>6238</v>
      </c>
      <c r="H2308" s="9" t="s">
        <v>6239</v>
      </c>
      <c r="I2308" s="10">
        <v>45638</v>
      </c>
    </row>
    <row r="2309" spans="1:9" x14ac:dyDescent="0.15">
      <c r="A2309" s="9">
        <v>2308</v>
      </c>
      <c r="B2309" s="9" t="s">
        <v>9</v>
      </c>
      <c r="C2309" s="9">
        <v>1925</v>
      </c>
      <c r="D2309" s="10">
        <v>45715</v>
      </c>
      <c r="E2309" s="11" t="str">
        <f>+HYPERLINK("http://trademark.i-assist.jp/data/china/image_1925th/82504938.pdf","82504938")</f>
        <v>82504938</v>
      </c>
      <c r="F2309" s="9" t="s">
        <v>6240</v>
      </c>
      <c r="G2309" s="9" t="s">
        <v>6241</v>
      </c>
      <c r="H2309" s="9" t="s">
        <v>6242</v>
      </c>
      <c r="I2309" s="10">
        <v>45638</v>
      </c>
    </row>
    <row r="2310" spans="1:9" x14ac:dyDescent="0.15">
      <c r="A2310" s="9">
        <v>2309</v>
      </c>
      <c r="B2310" s="9" t="s">
        <v>9</v>
      </c>
      <c r="C2310" s="9">
        <v>1925</v>
      </c>
      <c r="D2310" s="10">
        <v>45715</v>
      </c>
      <c r="E2310" s="11" t="str">
        <f>+HYPERLINK("http://trademark.i-assist.jp/data/china/image_1925th/82505156.pdf","82505156")</f>
        <v>82505156</v>
      </c>
      <c r="F2310" s="9" t="s">
        <v>6243</v>
      </c>
      <c r="G2310" s="12" t="s">
        <v>4097</v>
      </c>
      <c r="H2310" s="9" t="s">
        <v>6244</v>
      </c>
      <c r="I2310" s="10">
        <v>45638</v>
      </c>
    </row>
    <row r="2311" spans="1:9" x14ac:dyDescent="0.15">
      <c r="A2311" s="9">
        <v>2310</v>
      </c>
      <c r="B2311" s="9" t="s">
        <v>9</v>
      </c>
      <c r="C2311" s="9">
        <v>1925</v>
      </c>
      <c r="D2311" s="10">
        <v>45715</v>
      </c>
      <c r="E2311" s="11" t="str">
        <f>+HYPERLINK("http://trademark.i-assist.jp/data/china/image_1925th/82505915.pdf","82505915")</f>
        <v>82505915</v>
      </c>
      <c r="F2311" s="12" t="s">
        <v>57</v>
      </c>
      <c r="G2311" s="9" t="s">
        <v>6245</v>
      </c>
      <c r="H2311" s="9" t="s">
        <v>6246</v>
      </c>
      <c r="I2311" s="10">
        <v>45638</v>
      </c>
    </row>
    <row r="2312" spans="1:9" x14ac:dyDescent="0.15">
      <c r="A2312" s="9">
        <v>2311</v>
      </c>
      <c r="B2312" s="9" t="s">
        <v>9</v>
      </c>
      <c r="C2312" s="9">
        <v>1925</v>
      </c>
      <c r="D2312" s="10">
        <v>45715</v>
      </c>
      <c r="E2312" s="11" t="str">
        <f>+HYPERLINK("http://trademark.i-assist.jp/data/china/image_1925th/82506983.pdf","82506983")</f>
        <v>82506983</v>
      </c>
      <c r="F2312" s="12" t="s">
        <v>57</v>
      </c>
      <c r="G2312" s="12" t="s">
        <v>6247</v>
      </c>
      <c r="H2312" s="9" t="s">
        <v>6248</v>
      </c>
      <c r="I2312" s="10">
        <v>45638</v>
      </c>
    </row>
    <row r="2313" spans="1:9" x14ac:dyDescent="0.15">
      <c r="A2313" s="9">
        <v>2312</v>
      </c>
      <c r="B2313" s="9" t="s">
        <v>9</v>
      </c>
      <c r="C2313" s="9">
        <v>1925</v>
      </c>
      <c r="D2313" s="10">
        <v>45715</v>
      </c>
      <c r="E2313" s="11" t="str">
        <f>+HYPERLINK("http://trademark.i-assist.jp/data/china/image_1925th/82507568.pdf","82507568")</f>
        <v>82507568</v>
      </c>
      <c r="F2313" s="12" t="s">
        <v>6249</v>
      </c>
      <c r="G2313" s="12" t="s">
        <v>6250</v>
      </c>
      <c r="H2313" s="9" t="s">
        <v>6251</v>
      </c>
      <c r="I2313" s="10">
        <v>45638</v>
      </c>
    </row>
    <row r="2314" spans="1:9" x14ac:dyDescent="0.15">
      <c r="A2314" s="9">
        <v>2313</v>
      </c>
      <c r="B2314" s="9" t="s">
        <v>9</v>
      </c>
      <c r="C2314" s="9">
        <v>1925</v>
      </c>
      <c r="D2314" s="10">
        <v>45715</v>
      </c>
      <c r="E2314" s="11" t="str">
        <f>+HYPERLINK("http://trademark.i-assist.jp/data/china/image_1925th/82509921.pdf","82509921")</f>
        <v>82509921</v>
      </c>
      <c r="F2314" s="9" t="s">
        <v>6252</v>
      </c>
      <c r="G2314" s="9" t="s">
        <v>6253</v>
      </c>
      <c r="H2314" s="9" t="s">
        <v>6254</v>
      </c>
      <c r="I2314" s="10">
        <v>45638</v>
      </c>
    </row>
    <row r="2315" spans="1:9" x14ac:dyDescent="0.15">
      <c r="A2315" s="9">
        <v>2314</v>
      </c>
      <c r="B2315" s="9" t="s">
        <v>9</v>
      </c>
      <c r="C2315" s="9">
        <v>1925</v>
      </c>
      <c r="D2315" s="10">
        <v>45715</v>
      </c>
      <c r="E2315" s="11" t="str">
        <f>+HYPERLINK("http://trademark.i-assist.jp/data/china/image_1925th/82510682.pdf","82510682")</f>
        <v>82510682</v>
      </c>
      <c r="F2315" s="9" t="s">
        <v>6255</v>
      </c>
      <c r="G2315" s="12" t="s">
        <v>6256</v>
      </c>
      <c r="H2315" s="9" t="s">
        <v>6257</v>
      </c>
      <c r="I2315" s="10">
        <v>45638</v>
      </c>
    </row>
    <row r="2316" spans="1:9" x14ac:dyDescent="0.15">
      <c r="A2316" s="9">
        <v>2315</v>
      </c>
      <c r="B2316" s="9" t="s">
        <v>9</v>
      </c>
      <c r="C2316" s="9">
        <v>1925</v>
      </c>
      <c r="D2316" s="10">
        <v>45715</v>
      </c>
      <c r="E2316" s="11" t="str">
        <f>+HYPERLINK("http://trademark.i-assist.jp/data/china/image_1925th/82511421.pdf","82511421")</f>
        <v>82511421</v>
      </c>
      <c r="F2316" s="9" t="s">
        <v>6258</v>
      </c>
      <c r="G2316" s="9" t="s">
        <v>6259</v>
      </c>
      <c r="H2316" s="9" t="s">
        <v>6260</v>
      </c>
      <c r="I2316" s="10">
        <v>45638</v>
      </c>
    </row>
    <row r="2317" spans="1:9" x14ac:dyDescent="0.15">
      <c r="A2317" s="9">
        <v>2316</v>
      </c>
      <c r="B2317" s="9" t="s">
        <v>9</v>
      </c>
      <c r="C2317" s="9">
        <v>1925</v>
      </c>
      <c r="D2317" s="10">
        <v>45715</v>
      </c>
      <c r="E2317" s="11" t="str">
        <f>+HYPERLINK("http://trademark.i-assist.jp/data/china/image_1925th/82512943.pdf","82512943")</f>
        <v>82512943</v>
      </c>
      <c r="F2317" s="9" t="s">
        <v>6261</v>
      </c>
      <c r="G2317" s="12" t="s">
        <v>6262</v>
      </c>
      <c r="H2317" s="9" t="s">
        <v>6263</v>
      </c>
      <c r="I2317" s="10">
        <v>45638</v>
      </c>
    </row>
    <row r="2318" spans="1:9" x14ac:dyDescent="0.15">
      <c r="A2318" s="9">
        <v>2317</v>
      </c>
      <c r="B2318" s="9" t="s">
        <v>9</v>
      </c>
      <c r="C2318" s="9">
        <v>1925</v>
      </c>
      <c r="D2318" s="10">
        <v>45715</v>
      </c>
      <c r="E2318" s="11" t="str">
        <f>+HYPERLINK("http://trademark.i-assist.jp/data/china/image_1925th/82514363.pdf","82514363")</f>
        <v>82514363</v>
      </c>
      <c r="F2318" s="9" t="s">
        <v>6240</v>
      </c>
      <c r="G2318" s="9" t="s">
        <v>6241</v>
      </c>
      <c r="H2318" s="9" t="s">
        <v>6264</v>
      </c>
      <c r="I2318" s="10">
        <v>45638</v>
      </c>
    </row>
    <row r="2319" spans="1:9" x14ac:dyDescent="0.15">
      <c r="A2319" s="9">
        <v>2318</v>
      </c>
      <c r="B2319" s="9" t="s">
        <v>9</v>
      </c>
      <c r="C2319" s="9">
        <v>1925</v>
      </c>
      <c r="D2319" s="10">
        <v>45715</v>
      </c>
      <c r="E2319" s="11" t="str">
        <f>+HYPERLINK("http://trademark.i-assist.jp/data/china/image_1925th/82514415.pdf","82514415")</f>
        <v>82514415</v>
      </c>
      <c r="F2319" s="9" t="s">
        <v>6265</v>
      </c>
      <c r="G2319" s="9" t="s">
        <v>6266</v>
      </c>
      <c r="H2319" s="9" t="s">
        <v>6267</v>
      </c>
      <c r="I2319" s="10">
        <v>45638</v>
      </c>
    </row>
    <row r="2320" spans="1:9" x14ac:dyDescent="0.15">
      <c r="A2320" s="9">
        <v>2319</v>
      </c>
      <c r="B2320" s="9" t="s">
        <v>9</v>
      </c>
      <c r="C2320" s="9">
        <v>1925</v>
      </c>
      <c r="D2320" s="10">
        <v>45715</v>
      </c>
      <c r="E2320" s="11" t="str">
        <f>+HYPERLINK("http://trademark.i-assist.jp/data/china/image_1925th/82519130.pdf","82519130")</f>
        <v>82519130</v>
      </c>
      <c r="F2320" s="12" t="s">
        <v>6268</v>
      </c>
      <c r="G2320" s="12" t="s">
        <v>4097</v>
      </c>
      <c r="H2320" s="9" t="s">
        <v>6269</v>
      </c>
      <c r="I2320" s="10">
        <v>45638</v>
      </c>
    </row>
    <row r="2321" spans="1:9" x14ac:dyDescent="0.15">
      <c r="A2321" s="9">
        <v>2320</v>
      </c>
      <c r="B2321" s="9" t="s">
        <v>9</v>
      </c>
      <c r="C2321" s="9">
        <v>1925</v>
      </c>
      <c r="D2321" s="10">
        <v>45715</v>
      </c>
      <c r="E2321" s="11" t="str">
        <f>+HYPERLINK("http://trademark.i-assist.jp/data/china/image_1925th/82522013.pdf","82522013")</f>
        <v>82522013</v>
      </c>
      <c r="F2321" s="12" t="s">
        <v>6270</v>
      </c>
      <c r="G2321" s="12" t="s">
        <v>6271</v>
      </c>
      <c r="H2321" s="9" t="s">
        <v>6272</v>
      </c>
      <c r="I2321" s="10">
        <v>45638</v>
      </c>
    </row>
    <row r="2322" spans="1:9" x14ac:dyDescent="0.15">
      <c r="A2322" s="9">
        <v>2321</v>
      </c>
      <c r="B2322" s="9" t="s">
        <v>9</v>
      </c>
      <c r="C2322" s="9">
        <v>1925</v>
      </c>
      <c r="D2322" s="10">
        <v>45715</v>
      </c>
      <c r="E2322" s="11" t="str">
        <f>+HYPERLINK("http://trademark.i-assist.jp/data/china/image_1925th/82523586.pdf","82523586")</f>
        <v>82523586</v>
      </c>
      <c r="F2322" s="9" t="s">
        <v>6240</v>
      </c>
      <c r="G2322" s="9" t="s">
        <v>6241</v>
      </c>
      <c r="H2322" s="9" t="s">
        <v>6273</v>
      </c>
      <c r="I2322" s="10">
        <v>45638</v>
      </c>
    </row>
  </sheetData>
  <autoFilter ref="A1:I2322" xr:uid="{3B0FB343-47C0-4CE0-8FAB-E7608847F386}"/>
  <phoneticPr fontId="2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1925th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IA-99</cp:lastModifiedBy>
  <dcterms:created xsi:type="dcterms:W3CDTF">2018-08-31T07:51:48Z</dcterms:created>
  <dcterms:modified xsi:type="dcterms:W3CDTF">2025-04-04T01:12:44Z</dcterms:modified>
</cp:coreProperties>
</file>