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IA-99\Desktop\1923\"/>
    </mc:Choice>
  </mc:AlternateContent>
  <xr:revisionPtr revIDLastSave="0" documentId="13_ncr:1_{9F0F53AE-D496-4B35-A43A-ED01E17D2E75}" xr6:coauthVersionLast="47" xr6:coauthVersionMax="47" xr10:uidLastSave="{00000000-0000-0000-0000-000000000000}"/>
  <bookViews>
    <workbookView xWindow="6660" yWindow="1515" windowWidth="22380" windowHeight="13230" xr2:uid="{00000000-000D-0000-FFFF-FFFF00000000}"/>
  </bookViews>
  <sheets>
    <sheet name="1923th" sheetId="2" r:id="rId1"/>
  </sheets>
  <definedNames>
    <definedName name="_xlnm._FilterDatabase" localSheetId="0" hidden="1">'1923th'!$A$1:$I$1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42" i="2" l="1"/>
  <c r="E2341" i="2"/>
  <c r="E2340" i="2"/>
  <c r="E2339" i="2"/>
  <c r="E2338" i="2"/>
  <c r="E2337" i="2"/>
  <c r="E2336" i="2"/>
  <c r="E2335" i="2"/>
  <c r="E2334" i="2"/>
  <c r="E2333" i="2"/>
  <c r="E2332" i="2"/>
  <c r="E2331" i="2"/>
  <c r="E2330" i="2"/>
  <c r="E2329" i="2"/>
  <c r="E2328" i="2"/>
  <c r="E2327" i="2"/>
  <c r="E2326" i="2"/>
  <c r="E2325" i="2"/>
  <c r="E2324" i="2"/>
  <c r="E2323" i="2"/>
  <c r="E2322" i="2"/>
  <c r="E2321" i="2"/>
  <c r="E2320" i="2"/>
  <c r="E2319" i="2"/>
  <c r="E2318" i="2"/>
  <c r="E2317" i="2"/>
  <c r="E2316" i="2"/>
  <c r="E2315" i="2"/>
  <c r="E2314" i="2"/>
  <c r="E2313" i="2"/>
  <c r="E2312" i="2"/>
  <c r="E2311" i="2"/>
  <c r="E2310" i="2"/>
  <c r="E2309" i="2"/>
  <c r="E2308" i="2"/>
  <c r="E2307" i="2"/>
  <c r="E2306" i="2"/>
  <c r="E2305" i="2"/>
  <c r="E2304" i="2"/>
  <c r="E2303" i="2"/>
  <c r="E2302" i="2"/>
  <c r="E2301" i="2"/>
  <c r="E2300" i="2"/>
  <c r="E2299" i="2"/>
  <c r="E2298" i="2"/>
  <c r="E2297" i="2"/>
  <c r="E2296" i="2"/>
  <c r="E2295" i="2"/>
  <c r="E2294" i="2"/>
  <c r="E2293" i="2"/>
  <c r="E2292" i="2"/>
  <c r="E2291" i="2"/>
  <c r="E2290" i="2"/>
  <c r="E2289" i="2"/>
  <c r="E2288" i="2"/>
  <c r="E2287" i="2"/>
  <c r="E2286" i="2"/>
  <c r="E2285" i="2"/>
  <c r="E2284" i="2"/>
  <c r="E2283" i="2"/>
  <c r="E2282" i="2"/>
  <c r="E2281" i="2"/>
  <c r="E2280" i="2"/>
  <c r="E2279" i="2"/>
  <c r="E2278" i="2"/>
  <c r="E2277" i="2"/>
  <c r="E2276" i="2"/>
  <c r="E2275" i="2"/>
  <c r="E2274" i="2"/>
  <c r="E2273" i="2"/>
  <c r="E2272" i="2"/>
  <c r="E2271" i="2"/>
  <c r="E2270" i="2"/>
  <c r="E2269" i="2"/>
  <c r="E2268" i="2"/>
  <c r="E2267" i="2"/>
  <c r="E2266" i="2"/>
  <c r="E2265" i="2"/>
  <c r="E2264" i="2"/>
  <c r="E2263" i="2"/>
  <c r="E2262" i="2"/>
  <c r="E2261" i="2"/>
  <c r="E2260" i="2"/>
  <c r="E2259" i="2"/>
  <c r="E2258" i="2"/>
  <c r="E2257" i="2"/>
  <c r="E2256" i="2"/>
  <c r="E2255" i="2"/>
  <c r="E2254" i="2"/>
  <c r="E2253" i="2"/>
  <c r="E2252" i="2"/>
  <c r="E2251" i="2"/>
  <c r="E2250" i="2"/>
  <c r="E2249" i="2"/>
  <c r="E2248" i="2"/>
  <c r="E2247" i="2"/>
  <c r="E2246" i="2"/>
  <c r="E2245" i="2"/>
  <c r="E2244" i="2"/>
  <c r="E2243" i="2"/>
  <c r="E2242" i="2"/>
  <c r="E2241" i="2"/>
  <c r="E2240" i="2"/>
  <c r="E2239" i="2"/>
  <c r="E2238" i="2"/>
  <c r="E2237" i="2"/>
  <c r="E2236" i="2"/>
  <c r="E2235" i="2"/>
  <c r="E2234" i="2"/>
  <c r="E2233" i="2"/>
  <c r="E2232" i="2"/>
  <c r="E2231" i="2"/>
  <c r="E2230" i="2"/>
  <c r="E2229" i="2"/>
  <c r="E2228" i="2"/>
  <c r="E2227" i="2"/>
  <c r="E2226" i="2"/>
  <c r="E2225" i="2"/>
  <c r="E2224" i="2"/>
  <c r="E2223" i="2"/>
  <c r="E2222" i="2"/>
  <c r="E2221" i="2"/>
  <c r="E2220" i="2"/>
  <c r="E2219" i="2"/>
  <c r="E2218" i="2"/>
  <c r="E2217" i="2"/>
  <c r="E2216" i="2"/>
  <c r="E2215" i="2"/>
  <c r="E2214" i="2"/>
  <c r="E2213" i="2"/>
  <c r="E2212" i="2"/>
  <c r="E2211" i="2"/>
  <c r="E2210" i="2"/>
  <c r="E2209" i="2"/>
  <c r="E2208" i="2"/>
  <c r="E2207" i="2"/>
  <c r="E2206" i="2"/>
  <c r="E2205" i="2"/>
  <c r="E2204" i="2"/>
  <c r="E2203" i="2"/>
  <c r="E2202" i="2"/>
  <c r="E2201" i="2"/>
  <c r="E2200" i="2"/>
  <c r="E2199" i="2"/>
  <c r="E2198" i="2"/>
  <c r="E2197" i="2"/>
  <c r="E2196" i="2"/>
  <c r="E2195" i="2"/>
  <c r="E2194" i="2"/>
  <c r="E2193" i="2"/>
  <c r="E2192" i="2"/>
  <c r="E2191" i="2"/>
  <c r="E2190" i="2"/>
  <c r="E2189" i="2"/>
  <c r="E2188" i="2"/>
  <c r="E2187" i="2"/>
  <c r="E2186" i="2"/>
  <c r="E2185" i="2"/>
  <c r="E2184" i="2"/>
  <c r="E2183" i="2"/>
  <c r="E2182" i="2"/>
  <c r="E2181" i="2"/>
  <c r="E2180" i="2"/>
  <c r="E2179" i="2"/>
  <c r="E2178" i="2"/>
  <c r="E2177" i="2"/>
  <c r="E2176" i="2"/>
  <c r="E2175" i="2"/>
  <c r="E2174" i="2"/>
  <c r="E2173" i="2"/>
  <c r="E2172" i="2"/>
  <c r="E2171" i="2"/>
  <c r="E2170" i="2"/>
  <c r="E2169" i="2"/>
  <c r="E2168" i="2"/>
  <c r="E2167" i="2"/>
  <c r="E2166" i="2"/>
  <c r="E2165" i="2"/>
  <c r="E2164" i="2"/>
  <c r="E2163" i="2"/>
  <c r="E2162" i="2"/>
  <c r="E2161" i="2"/>
  <c r="E2160" i="2"/>
  <c r="E2159" i="2"/>
  <c r="E2158" i="2"/>
  <c r="E2157" i="2"/>
  <c r="E2156" i="2"/>
  <c r="E2155" i="2"/>
  <c r="E2154" i="2"/>
  <c r="E2153" i="2"/>
  <c r="E2152" i="2"/>
  <c r="E2151" i="2"/>
  <c r="E2150" i="2"/>
  <c r="E2149" i="2"/>
  <c r="E2148" i="2"/>
  <c r="E2147" i="2"/>
  <c r="E2146" i="2"/>
  <c r="E2145" i="2"/>
  <c r="E2144" i="2"/>
  <c r="E2143" i="2"/>
  <c r="E2142" i="2"/>
  <c r="E2141" i="2"/>
  <c r="E2140" i="2"/>
  <c r="E2139" i="2"/>
  <c r="E2138" i="2"/>
  <c r="E2137" i="2"/>
  <c r="E2136" i="2"/>
  <c r="E2135" i="2"/>
  <c r="E2134" i="2"/>
  <c r="E2133" i="2"/>
  <c r="E2132" i="2"/>
  <c r="E2131" i="2"/>
  <c r="E2130" i="2"/>
  <c r="E2129" i="2"/>
  <c r="E2128" i="2"/>
  <c r="E2127" i="2"/>
  <c r="E2126" i="2"/>
  <c r="E2125" i="2"/>
  <c r="E2124" i="2"/>
  <c r="E2123" i="2"/>
  <c r="E2122" i="2"/>
  <c r="E2121" i="2"/>
  <c r="E2120" i="2"/>
  <c r="E2119" i="2"/>
  <c r="E2118" i="2"/>
  <c r="E2117" i="2"/>
  <c r="E2116" i="2"/>
  <c r="E2115" i="2"/>
  <c r="E2114" i="2"/>
  <c r="E2113" i="2"/>
  <c r="E2112" i="2"/>
  <c r="E2111" i="2"/>
  <c r="E2110" i="2"/>
  <c r="E2109" i="2"/>
  <c r="E2108" i="2"/>
  <c r="E2107" i="2"/>
  <c r="E2106" i="2"/>
  <c r="E2105" i="2"/>
  <c r="E2104" i="2"/>
  <c r="E2103" i="2"/>
  <c r="E2102" i="2"/>
  <c r="E2101" i="2"/>
  <c r="E2100" i="2"/>
  <c r="E2099" i="2"/>
  <c r="E2098" i="2"/>
  <c r="E2097" i="2"/>
  <c r="E2096" i="2"/>
  <c r="E2095" i="2"/>
  <c r="E2094" i="2"/>
  <c r="E2093" i="2"/>
  <c r="E2092" i="2"/>
  <c r="E2091" i="2"/>
  <c r="E2090" i="2"/>
  <c r="E2089" i="2"/>
  <c r="E2088" i="2"/>
  <c r="E2087" i="2"/>
  <c r="E2086" i="2"/>
  <c r="E2085" i="2"/>
  <c r="E2084" i="2"/>
  <c r="E2083" i="2"/>
  <c r="E2082" i="2"/>
  <c r="E2081" i="2"/>
  <c r="E2080" i="2"/>
  <c r="E2079" i="2"/>
  <c r="E2078" i="2"/>
  <c r="E2077" i="2"/>
  <c r="E2076" i="2"/>
  <c r="E2075" i="2"/>
  <c r="E2074" i="2"/>
  <c r="E2073" i="2"/>
  <c r="E2072" i="2"/>
  <c r="E2071" i="2"/>
  <c r="E2070" i="2"/>
  <c r="E2069" i="2"/>
  <c r="E2068" i="2"/>
  <c r="E2067" i="2"/>
  <c r="E2066" i="2"/>
  <c r="E2065" i="2"/>
  <c r="E2064" i="2"/>
  <c r="E2063" i="2"/>
  <c r="E2062" i="2"/>
  <c r="E2061" i="2"/>
  <c r="E2060" i="2"/>
  <c r="E2059" i="2"/>
  <c r="E2058" i="2"/>
  <c r="E2057" i="2"/>
  <c r="E2056" i="2"/>
  <c r="E2055" i="2"/>
  <c r="E2054" i="2"/>
  <c r="E2053" i="2"/>
  <c r="E2052" i="2"/>
  <c r="E2051" i="2"/>
  <c r="E2050" i="2"/>
  <c r="E2049" i="2"/>
  <c r="E2048" i="2"/>
  <c r="E2047" i="2"/>
  <c r="E2046" i="2"/>
  <c r="E2045" i="2"/>
  <c r="E2044" i="2"/>
  <c r="E2043" i="2"/>
  <c r="E2042" i="2"/>
  <c r="E2041" i="2"/>
  <c r="E2040" i="2"/>
  <c r="E2039" i="2"/>
  <c r="E2038" i="2"/>
  <c r="E2037" i="2"/>
  <c r="E2036" i="2"/>
  <c r="E2035" i="2"/>
  <c r="E2034" i="2"/>
  <c r="E2033" i="2"/>
  <c r="E2032" i="2"/>
  <c r="E2031" i="2"/>
  <c r="E2030" i="2"/>
  <c r="E2029" i="2"/>
  <c r="E2028" i="2"/>
  <c r="E2027" i="2"/>
  <c r="E2026" i="2"/>
  <c r="E2025" i="2"/>
  <c r="E2024" i="2"/>
  <c r="E2023" i="2"/>
  <c r="E2022" i="2"/>
  <c r="E2021" i="2"/>
  <c r="E2020" i="2"/>
  <c r="E2019" i="2"/>
  <c r="E2018" i="2"/>
  <c r="E2017" i="2"/>
  <c r="E2016" i="2"/>
  <c r="E2015" i="2"/>
  <c r="E2014" i="2"/>
  <c r="E2013" i="2"/>
  <c r="E2012" i="2"/>
  <c r="E2011" i="2"/>
  <c r="E2010" i="2"/>
  <c r="E2009" i="2"/>
  <c r="E2008" i="2"/>
  <c r="E2007" i="2"/>
  <c r="E2006" i="2"/>
  <c r="E2005" i="2"/>
  <c r="E2004" i="2"/>
  <c r="E2003" i="2"/>
  <c r="E2002" i="2"/>
  <c r="E2001" i="2"/>
  <c r="E2000" i="2"/>
  <c r="E1999" i="2"/>
  <c r="E1998" i="2"/>
  <c r="E1997" i="2"/>
  <c r="E1996" i="2"/>
  <c r="E1995" i="2"/>
  <c r="E1994" i="2"/>
  <c r="E1993" i="2"/>
  <c r="E1992" i="2"/>
  <c r="E1991" i="2"/>
  <c r="E1990" i="2"/>
  <c r="E1989" i="2"/>
  <c r="E1988" i="2"/>
  <c r="E1987" i="2"/>
  <c r="E1986" i="2"/>
  <c r="E1985" i="2"/>
  <c r="E1984" i="2"/>
  <c r="E1983" i="2"/>
  <c r="E1982" i="2"/>
  <c r="E1981" i="2"/>
  <c r="E1980" i="2"/>
  <c r="E1979" i="2"/>
  <c r="E1978" i="2"/>
  <c r="E1977" i="2"/>
  <c r="E1976" i="2"/>
  <c r="E1975" i="2"/>
  <c r="E1974" i="2"/>
  <c r="E1973" i="2"/>
  <c r="E1972" i="2"/>
  <c r="E1971" i="2"/>
  <c r="E1970" i="2"/>
  <c r="E1969" i="2"/>
  <c r="E1968" i="2"/>
  <c r="E1967" i="2"/>
  <c r="E1966" i="2"/>
  <c r="E1965" i="2"/>
  <c r="E1964" i="2"/>
  <c r="E1963" i="2"/>
  <c r="E1962" i="2"/>
  <c r="E1961" i="2"/>
  <c r="E1960" i="2"/>
  <c r="E1959" i="2"/>
  <c r="E1958" i="2"/>
  <c r="E1957" i="2"/>
  <c r="E1956" i="2"/>
  <c r="E1955" i="2"/>
  <c r="E1954" i="2"/>
  <c r="E1953" i="2"/>
  <c r="E1952" i="2"/>
  <c r="E1951" i="2"/>
  <c r="E1950" i="2"/>
  <c r="E1949" i="2"/>
  <c r="E1948" i="2"/>
  <c r="E1947" i="2"/>
  <c r="E1946" i="2"/>
  <c r="E1945" i="2"/>
  <c r="E1944" i="2"/>
  <c r="E1943" i="2"/>
  <c r="E1942" i="2"/>
  <c r="E1941" i="2"/>
  <c r="E1940" i="2"/>
  <c r="E1939" i="2"/>
  <c r="E1938" i="2"/>
  <c r="E1937" i="2"/>
  <c r="E1936" i="2"/>
  <c r="E1935" i="2"/>
  <c r="E1934" i="2"/>
  <c r="E1933" i="2"/>
  <c r="E1932" i="2"/>
  <c r="E1931" i="2"/>
  <c r="E1930" i="2"/>
  <c r="E1929" i="2"/>
  <c r="E1928" i="2"/>
  <c r="E1927" i="2"/>
  <c r="E1926" i="2"/>
  <c r="E1925" i="2"/>
  <c r="E1924" i="2"/>
  <c r="E1923" i="2"/>
  <c r="E1922" i="2"/>
  <c r="E1921" i="2"/>
  <c r="E1920" i="2"/>
  <c r="E1919" i="2"/>
  <c r="E1918" i="2"/>
  <c r="E1917" i="2"/>
  <c r="E1916" i="2"/>
  <c r="E1915" i="2"/>
  <c r="E1914" i="2"/>
  <c r="E1913" i="2"/>
  <c r="E1912" i="2"/>
  <c r="E1911" i="2"/>
  <c r="E1910" i="2"/>
  <c r="E1909" i="2"/>
  <c r="E1908" i="2"/>
  <c r="E1907" i="2"/>
  <c r="E1906" i="2"/>
  <c r="E1905" i="2"/>
  <c r="E1904" i="2"/>
  <c r="E1903" i="2"/>
  <c r="E1902" i="2"/>
  <c r="E1901" i="2"/>
  <c r="E1900" i="2"/>
  <c r="E1899" i="2"/>
  <c r="E1898" i="2"/>
  <c r="E1897" i="2"/>
  <c r="E1896" i="2"/>
  <c r="E1895" i="2"/>
  <c r="E1894" i="2"/>
  <c r="E1893" i="2"/>
  <c r="E1892" i="2"/>
  <c r="E1891" i="2"/>
  <c r="E1890" i="2"/>
  <c r="E1889" i="2"/>
  <c r="E1888" i="2"/>
  <c r="E1887" i="2"/>
  <c r="E1886" i="2"/>
  <c r="E1885" i="2"/>
  <c r="E1884" i="2"/>
  <c r="E1883" i="2"/>
  <c r="E1882" i="2"/>
  <c r="E1881" i="2"/>
  <c r="E1880" i="2"/>
  <c r="E1879" i="2"/>
  <c r="E1878" i="2"/>
  <c r="E1877" i="2"/>
  <c r="E1876" i="2"/>
  <c r="E1875" i="2"/>
  <c r="E1874" i="2"/>
  <c r="E1873" i="2"/>
  <c r="E1872" i="2"/>
  <c r="E1871" i="2"/>
  <c r="E1870" i="2"/>
  <c r="E1869" i="2"/>
  <c r="E1868" i="2"/>
  <c r="E1867" i="2"/>
  <c r="E1866" i="2"/>
  <c r="E1865" i="2"/>
  <c r="E1864" i="2"/>
  <c r="E1863" i="2"/>
  <c r="E1862" i="2"/>
  <c r="E1861" i="2"/>
  <c r="E1860" i="2"/>
  <c r="E1859" i="2"/>
  <c r="E1858" i="2"/>
  <c r="E1857" i="2"/>
  <c r="E1856" i="2"/>
  <c r="E1855" i="2"/>
  <c r="E1854" i="2"/>
  <c r="E1853" i="2"/>
  <c r="E1852" i="2"/>
  <c r="E1851" i="2"/>
  <c r="E1850" i="2"/>
  <c r="E1849" i="2"/>
  <c r="E1848" i="2"/>
  <c r="E1847" i="2"/>
  <c r="E1846" i="2"/>
  <c r="E1845" i="2"/>
  <c r="E1844" i="2"/>
  <c r="E1843" i="2"/>
  <c r="E1842" i="2"/>
  <c r="E1841" i="2"/>
  <c r="E1840" i="2"/>
  <c r="E1839" i="2"/>
  <c r="E1838" i="2"/>
  <c r="E1837" i="2"/>
  <c r="E1836" i="2"/>
  <c r="E1835" i="2"/>
  <c r="E1834" i="2"/>
  <c r="E1833" i="2"/>
  <c r="E1832" i="2"/>
  <c r="E1831" i="2"/>
  <c r="E1830" i="2"/>
  <c r="E1829" i="2"/>
  <c r="E1828" i="2"/>
  <c r="E1827" i="2"/>
  <c r="E1826" i="2"/>
  <c r="E1825" i="2"/>
  <c r="E1824" i="2"/>
  <c r="E1823" i="2"/>
  <c r="E1822" i="2"/>
  <c r="E1821" i="2"/>
  <c r="E1820" i="2"/>
  <c r="E1819" i="2"/>
  <c r="E1818" i="2"/>
  <c r="E1817" i="2"/>
  <c r="E1816" i="2"/>
  <c r="E1815" i="2"/>
  <c r="E1814" i="2"/>
  <c r="E1813" i="2"/>
  <c r="E1812" i="2"/>
  <c r="E1811" i="2"/>
  <c r="E1810" i="2"/>
  <c r="E1809" i="2"/>
  <c r="E1808" i="2"/>
  <c r="E1807" i="2"/>
  <c r="E1806" i="2"/>
  <c r="E1805" i="2"/>
  <c r="E1804" i="2"/>
  <c r="E1803" i="2"/>
  <c r="E1802" i="2"/>
  <c r="E1801" i="2"/>
  <c r="E1800" i="2"/>
  <c r="E1799" i="2"/>
  <c r="E1798" i="2"/>
  <c r="E1797" i="2"/>
  <c r="E1796" i="2"/>
  <c r="E1795" i="2"/>
  <c r="E1794" i="2"/>
  <c r="E1793" i="2"/>
  <c r="E1792" i="2"/>
  <c r="E1791" i="2"/>
  <c r="E1790" i="2"/>
  <c r="E1789" i="2"/>
  <c r="E1788" i="2"/>
  <c r="E1787" i="2"/>
  <c r="E1786" i="2"/>
  <c r="E1785" i="2"/>
  <c r="E1784" i="2"/>
  <c r="E1783" i="2"/>
  <c r="E1782" i="2"/>
  <c r="E1781" i="2"/>
  <c r="E1780" i="2"/>
  <c r="E1779" i="2"/>
  <c r="E1778" i="2"/>
  <c r="E1777" i="2"/>
  <c r="E1776" i="2"/>
  <c r="E1775" i="2"/>
  <c r="E1774" i="2"/>
  <c r="E1773" i="2"/>
  <c r="E1772" i="2"/>
  <c r="E1771" i="2"/>
  <c r="E1770" i="2"/>
  <c r="E1769" i="2"/>
  <c r="E1768" i="2"/>
  <c r="E1767" i="2"/>
  <c r="E1766" i="2"/>
  <c r="E1765" i="2"/>
  <c r="E1764" i="2"/>
  <c r="E1763" i="2"/>
  <c r="E1762" i="2"/>
  <c r="E1761" i="2"/>
  <c r="E1760" i="2"/>
  <c r="E1759" i="2"/>
  <c r="E1758" i="2"/>
  <c r="E1757" i="2"/>
  <c r="E1756" i="2"/>
  <c r="E1755" i="2"/>
  <c r="E1754" i="2"/>
  <c r="E1753" i="2"/>
  <c r="E1752" i="2"/>
  <c r="E1751" i="2"/>
  <c r="E1750" i="2"/>
  <c r="E1749" i="2"/>
  <c r="E1748" i="2"/>
  <c r="E1747" i="2"/>
  <c r="E1746" i="2"/>
  <c r="E1745" i="2"/>
  <c r="E1744" i="2"/>
  <c r="E1743" i="2"/>
  <c r="E1742" i="2"/>
  <c r="E1741" i="2"/>
  <c r="E1740" i="2"/>
  <c r="E1739" i="2"/>
  <c r="E1738" i="2"/>
  <c r="E1737" i="2"/>
  <c r="E1736" i="2"/>
  <c r="E1735" i="2"/>
  <c r="E1734" i="2"/>
  <c r="E1733" i="2"/>
  <c r="E1732" i="2"/>
  <c r="E1731" i="2"/>
  <c r="E1730" i="2"/>
  <c r="E1729" i="2"/>
  <c r="E1728" i="2"/>
  <c r="E1727" i="2"/>
  <c r="E1726" i="2"/>
  <c r="E1725" i="2"/>
  <c r="E1724" i="2"/>
  <c r="E1723" i="2"/>
  <c r="E1722" i="2"/>
  <c r="E1721" i="2"/>
  <c r="E1720" i="2"/>
  <c r="E1719" i="2"/>
  <c r="E1718" i="2"/>
  <c r="E1717" i="2"/>
  <c r="E1716" i="2"/>
  <c r="E1715" i="2"/>
  <c r="E1714" i="2"/>
  <c r="E1713" i="2"/>
  <c r="E1712" i="2"/>
  <c r="E1711" i="2"/>
  <c r="E1710" i="2"/>
  <c r="E1709" i="2"/>
  <c r="E1708" i="2"/>
  <c r="E1707" i="2"/>
  <c r="E1706" i="2"/>
  <c r="E1705" i="2"/>
  <c r="E1704" i="2"/>
  <c r="E1703" i="2"/>
  <c r="E1702" i="2"/>
  <c r="E1701" i="2"/>
  <c r="E1700" i="2"/>
  <c r="E1699" i="2"/>
  <c r="E1698" i="2"/>
  <c r="E1697" i="2"/>
  <c r="E1696" i="2"/>
  <c r="E1695" i="2"/>
  <c r="E1694" i="2"/>
  <c r="E1693" i="2"/>
  <c r="E1692" i="2"/>
  <c r="E1691" i="2"/>
  <c r="E1690" i="2"/>
  <c r="E1689" i="2"/>
  <c r="E1688" i="2"/>
  <c r="E1687" i="2"/>
  <c r="E1686" i="2"/>
  <c r="E1685" i="2"/>
  <c r="E1684" i="2"/>
  <c r="E1683" i="2"/>
  <c r="E1682" i="2"/>
  <c r="E1681" i="2"/>
  <c r="E1680" i="2"/>
  <c r="E1679" i="2"/>
  <c r="E1678" i="2"/>
  <c r="E1677" i="2"/>
  <c r="E1676" i="2"/>
  <c r="E1675" i="2"/>
  <c r="E1674" i="2"/>
  <c r="E1673" i="2"/>
  <c r="E1672" i="2"/>
  <c r="E1671" i="2"/>
  <c r="E1670" i="2"/>
  <c r="E1669" i="2"/>
  <c r="E1668" i="2"/>
  <c r="E1667" i="2"/>
  <c r="E1666" i="2"/>
  <c r="E1665" i="2"/>
  <c r="E1664" i="2"/>
  <c r="E1663" i="2"/>
  <c r="E1662" i="2"/>
  <c r="E1661" i="2"/>
  <c r="E1660" i="2"/>
  <c r="E1659" i="2"/>
  <c r="E1658" i="2"/>
  <c r="E1657" i="2"/>
  <c r="E1656" i="2"/>
  <c r="E1655" i="2"/>
  <c r="E1654" i="2"/>
  <c r="E1653" i="2"/>
  <c r="E1652" i="2"/>
  <c r="E1651" i="2"/>
  <c r="E1650" i="2"/>
  <c r="E1649" i="2"/>
  <c r="E1648" i="2"/>
  <c r="E1647" i="2"/>
  <c r="E1646" i="2"/>
  <c r="E1645" i="2"/>
  <c r="E1644" i="2"/>
  <c r="E1643" i="2"/>
  <c r="E1642" i="2"/>
  <c r="E1641" i="2"/>
  <c r="E1640" i="2"/>
  <c r="E1639" i="2"/>
  <c r="E1638" i="2"/>
  <c r="E1637" i="2"/>
  <c r="E1636" i="2"/>
  <c r="E1635" i="2"/>
  <c r="E1634" i="2"/>
  <c r="E1633" i="2"/>
  <c r="E1632" i="2"/>
  <c r="E1631" i="2"/>
  <c r="E1630" i="2"/>
  <c r="E1629" i="2"/>
  <c r="E1628" i="2"/>
  <c r="E1627" i="2"/>
  <c r="E1626" i="2"/>
  <c r="E1625" i="2"/>
  <c r="E1624" i="2"/>
  <c r="E1623" i="2"/>
  <c r="E1622" i="2"/>
  <c r="E1621" i="2"/>
  <c r="E1620" i="2"/>
  <c r="E1619" i="2"/>
  <c r="E1618" i="2"/>
  <c r="E1617" i="2"/>
  <c r="E1616" i="2"/>
  <c r="E1615" i="2"/>
  <c r="E1614" i="2"/>
  <c r="E1613" i="2"/>
  <c r="E1612" i="2"/>
  <c r="E1611" i="2"/>
  <c r="E1610" i="2"/>
  <c r="E1609" i="2"/>
  <c r="E1608" i="2"/>
  <c r="E1607" i="2"/>
  <c r="E1606" i="2"/>
  <c r="E1605" i="2"/>
  <c r="E1604" i="2"/>
  <c r="E1603" i="2"/>
  <c r="E1602" i="2"/>
  <c r="E1601" i="2"/>
  <c r="E1600" i="2"/>
  <c r="E1599" i="2"/>
  <c r="E1598" i="2"/>
  <c r="E1597" i="2"/>
  <c r="E1596" i="2"/>
  <c r="E1595" i="2"/>
  <c r="E1594" i="2"/>
  <c r="E1593" i="2"/>
  <c r="E1592" i="2"/>
  <c r="E1591" i="2"/>
  <c r="E1590" i="2"/>
  <c r="E1589" i="2"/>
  <c r="E1588" i="2"/>
  <c r="E1587" i="2"/>
  <c r="E1586" i="2"/>
  <c r="E1585" i="2"/>
  <c r="E1584" i="2"/>
  <c r="E1583" i="2"/>
  <c r="E1582" i="2"/>
  <c r="E1581" i="2"/>
  <c r="E1580" i="2"/>
  <c r="E1579" i="2"/>
  <c r="E1578" i="2"/>
  <c r="E1577" i="2"/>
  <c r="E1576" i="2"/>
  <c r="E1575" i="2"/>
  <c r="E1574" i="2"/>
  <c r="E1573" i="2"/>
  <c r="E1572" i="2"/>
  <c r="E1571" i="2"/>
  <c r="E1570" i="2"/>
  <c r="E1569" i="2"/>
  <c r="E1568" i="2"/>
  <c r="E1567" i="2"/>
  <c r="E1566" i="2"/>
  <c r="E1565" i="2"/>
  <c r="E1564" i="2"/>
  <c r="E1563" i="2"/>
  <c r="E1562" i="2"/>
  <c r="E1561" i="2"/>
  <c r="E1560" i="2"/>
  <c r="E1559" i="2"/>
  <c r="E1558" i="2"/>
  <c r="E1557" i="2"/>
  <c r="E1556" i="2"/>
  <c r="E1555" i="2"/>
  <c r="E1554" i="2"/>
  <c r="E1553" i="2"/>
  <c r="E1552" i="2"/>
  <c r="E1551" i="2"/>
  <c r="E1550" i="2"/>
  <c r="E1549" i="2"/>
  <c r="E1548" i="2"/>
  <c r="E1547" i="2"/>
  <c r="E1546" i="2"/>
  <c r="E1545" i="2"/>
  <c r="E1544" i="2"/>
  <c r="E1543" i="2"/>
  <c r="E1542" i="2"/>
  <c r="E1541" i="2"/>
  <c r="E1540" i="2"/>
  <c r="E1539" i="2"/>
  <c r="E1538" i="2"/>
  <c r="E1537" i="2"/>
  <c r="E1536" i="2"/>
  <c r="E1535" i="2"/>
  <c r="E1534" i="2"/>
  <c r="E1533" i="2"/>
  <c r="E1532" i="2"/>
  <c r="E1531" i="2"/>
  <c r="E1530" i="2"/>
  <c r="E1529" i="2"/>
  <c r="E1528" i="2"/>
  <c r="E1527" i="2"/>
  <c r="E1526" i="2"/>
  <c r="E1525" i="2"/>
  <c r="E1524" i="2"/>
  <c r="E1523" i="2"/>
  <c r="E1522" i="2"/>
  <c r="E1521" i="2"/>
  <c r="E1520" i="2"/>
  <c r="E1519" i="2"/>
  <c r="E1518" i="2"/>
  <c r="E1517" i="2"/>
  <c r="E1516" i="2"/>
  <c r="E1515" i="2"/>
  <c r="E1514" i="2"/>
  <c r="E1513" i="2"/>
  <c r="E1512" i="2"/>
  <c r="E1511" i="2"/>
  <c r="E1510" i="2"/>
  <c r="E1509" i="2"/>
  <c r="E1508" i="2"/>
  <c r="E1507" i="2"/>
  <c r="E1506" i="2"/>
  <c r="E1505" i="2"/>
  <c r="E1504" i="2"/>
  <c r="E1503" i="2"/>
  <c r="E1502" i="2"/>
  <c r="E1501" i="2"/>
  <c r="E1500" i="2"/>
  <c r="E1499" i="2"/>
  <c r="E1498" i="2"/>
  <c r="E1497" i="2"/>
  <c r="E1496" i="2"/>
  <c r="E1495" i="2"/>
  <c r="E1494" i="2"/>
  <c r="E1493" i="2"/>
  <c r="E1492" i="2"/>
  <c r="E1491" i="2"/>
  <c r="E1490" i="2"/>
  <c r="E1489" i="2"/>
  <c r="E1488" i="2"/>
  <c r="E1487" i="2"/>
  <c r="E1486" i="2"/>
  <c r="E1485" i="2"/>
  <c r="E1484" i="2"/>
  <c r="E1483" i="2"/>
  <c r="E1482" i="2"/>
  <c r="E1481" i="2"/>
  <c r="E1480" i="2"/>
  <c r="E1479" i="2"/>
  <c r="E1478" i="2"/>
  <c r="E1477" i="2"/>
  <c r="E1476" i="2"/>
  <c r="E1475" i="2"/>
  <c r="E1474" i="2"/>
  <c r="E1473" i="2"/>
  <c r="E1472" i="2"/>
  <c r="E1471" i="2"/>
  <c r="E1470" i="2"/>
  <c r="E1469" i="2"/>
  <c r="E1468" i="2"/>
  <c r="E1467" i="2"/>
  <c r="E1466" i="2"/>
  <c r="E1465" i="2"/>
  <c r="E1464" i="2"/>
  <c r="E1463" i="2"/>
  <c r="E1462" i="2"/>
  <c r="E1461" i="2"/>
  <c r="E1460" i="2"/>
  <c r="E1459" i="2"/>
  <c r="E1458" i="2"/>
  <c r="E1457" i="2"/>
  <c r="E1456" i="2"/>
  <c r="E1455" i="2"/>
  <c r="E1454" i="2"/>
  <c r="E1453" i="2"/>
  <c r="E1452" i="2"/>
  <c r="E1451" i="2"/>
  <c r="E1450" i="2"/>
  <c r="E1449" i="2"/>
  <c r="E1448" i="2"/>
  <c r="E1447" i="2"/>
  <c r="E1446" i="2"/>
  <c r="E1445" i="2"/>
  <c r="E1444" i="2"/>
  <c r="E1443" i="2"/>
  <c r="E1442" i="2"/>
  <c r="E1441" i="2"/>
  <c r="E1440" i="2"/>
  <c r="E1439" i="2"/>
  <c r="E1438" i="2"/>
  <c r="E1437" i="2"/>
  <c r="E1436" i="2"/>
  <c r="E1435" i="2"/>
  <c r="E1434" i="2"/>
  <c r="E1433" i="2"/>
  <c r="E1432" i="2"/>
  <c r="E1431" i="2"/>
  <c r="E1430" i="2"/>
  <c r="E1429" i="2"/>
  <c r="E1428" i="2"/>
  <c r="E1427" i="2"/>
  <c r="E1426" i="2"/>
  <c r="E1425" i="2"/>
  <c r="E1424" i="2"/>
  <c r="E1423" i="2"/>
  <c r="E1422" i="2"/>
  <c r="E1421" i="2"/>
  <c r="E1420" i="2"/>
  <c r="E1419" i="2"/>
  <c r="E1418" i="2"/>
  <c r="E1417" i="2"/>
  <c r="E1416" i="2"/>
  <c r="E1415" i="2"/>
  <c r="E1414" i="2"/>
  <c r="E1413" i="2"/>
  <c r="E1412" i="2"/>
  <c r="E1411" i="2"/>
  <c r="E1410" i="2"/>
  <c r="E1409" i="2"/>
  <c r="E1408" i="2"/>
  <c r="E1407" i="2"/>
  <c r="E1406" i="2"/>
  <c r="E1405" i="2"/>
  <c r="E1404" i="2"/>
  <c r="E1403" i="2"/>
  <c r="E1402" i="2"/>
  <c r="E1401" i="2"/>
  <c r="E1400" i="2"/>
  <c r="E1399" i="2"/>
  <c r="E1398" i="2"/>
  <c r="E1397" i="2"/>
  <c r="E1396" i="2"/>
  <c r="E1395" i="2"/>
  <c r="E1394" i="2"/>
  <c r="E1393" i="2"/>
  <c r="E1392" i="2"/>
  <c r="E1391" i="2"/>
  <c r="E1390" i="2"/>
  <c r="E1389" i="2"/>
  <c r="E1388" i="2"/>
  <c r="E1387" i="2"/>
  <c r="E1386" i="2"/>
  <c r="E1385" i="2"/>
  <c r="E1384" i="2"/>
  <c r="E1383" i="2"/>
  <c r="E1382" i="2"/>
  <c r="E1381" i="2"/>
  <c r="E1380" i="2"/>
  <c r="E1379" i="2"/>
  <c r="E1378" i="2"/>
  <c r="E1377" i="2"/>
  <c r="E1376" i="2"/>
  <c r="E1375" i="2"/>
  <c r="E1374" i="2"/>
  <c r="E1373" i="2"/>
  <c r="E1372" i="2"/>
  <c r="E1371" i="2"/>
  <c r="E1370" i="2"/>
  <c r="E1369" i="2"/>
  <c r="E1368" i="2"/>
  <c r="E1367" i="2"/>
  <c r="E1366" i="2"/>
  <c r="E1365" i="2"/>
  <c r="E1364" i="2"/>
  <c r="E1363" i="2"/>
  <c r="E1362" i="2"/>
  <c r="E1361" i="2"/>
  <c r="E1360" i="2"/>
  <c r="E1359" i="2"/>
  <c r="E1358" i="2"/>
  <c r="E1357" i="2"/>
  <c r="E1356" i="2"/>
  <c r="E1355" i="2"/>
  <c r="E1354" i="2"/>
  <c r="E1353" i="2"/>
  <c r="E1352" i="2"/>
  <c r="E1351" i="2"/>
  <c r="E1350" i="2"/>
  <c r="E1349" i="2"/>
  <c r="E1348" i="2"/>
  <c r="E1347" i="2"/>
  <c r="E1346" i="2"/>
  <c r="E1345" i="2"/>
  <c r="E1344" i="2"/>
  <c r="E1343" i="2"/>
  <c r="E1342" i="2"/>
  <c r="E1341" i="2"/>
  <c r="E1340" i="2"/>
  <c r="E1339" i="2"/>
  <c r="E1338" i="2"/>
  <c r="E1337" i="2"/>
  <c r="E1336" i="2"/>
  <c r="E1335" i="2"/>
  <c r="E1334" i="2"/>
  <c r="E1333" i="2"/>
  <c r="E1332" i="2"/>
  <c r="E1331" i="2"/>
  <c r="E1330" i="2"/>
  <c r="E1329" i="2"/>
  <c r="E1328" i="2"/>
  <c r="E1327" i="2"/>
  <c r="E1326" i="2"/>
  <c r="E1325" i="2"/>
  <c r="E1324" i="2"/>
  <c r="E1323" i="2"/>
  <c r="E1322" i="2"/>
  <c r="E1321" i="2"/>
  <c r="E1320" i="2"/>
  <c r="E1319" i="2"/>
  <c r="E1318" i="2"/>
  <c r="E1317" i="2"/>
  <c r="E1316" i="2"/>
  <c r="E1315" i="2"/>
  <c r="E1314" i="2"/>
  <c r="E1313" i="2"/>
  <c r="E1312" i="2"/>
  <c r="E1311" i="2"/>
  <c r="E1310" i="2"/>
  <c r="E1309" i="2"/>
  <c r="E1308" i="2"/>
  <c r="E1307" i="2"/>
  <c r="E1306" i="2"/>
  <c r="E1305" i="2"/>
  <c r="E1304" i="2"/>
  <c r="E1303" i="2"/>
  <c r="E1302" i="2"/>
  <c r="E1301" i="2"/>
  <c r="E1300" i="2"/>
  <c r="E1299" i="2"/>
  <c r="E1298" i="2"/>
  <c r="E1297" i="2"/>
  <c r="E1296" i="2"/>
  <c r="E1295" i="2"/>
  <c r="E1294" i="2"/>
  <c r="E1293" i="2"/>
  <c r="E1292" i="2"/>
  <c r="E1291" i="2"/>
  <c r="E1290" i="2"/>
  <c r="E1289" i="2"/>
  <c r="E1288" i="2"/>
  <c r="E1287" i="2"/>
  <c r="E1286" i="2"/>
  <c r="E1285" i="2"/>
  <c r="E1284" i="2"/>
  <c r="E1283" i="2"/>
  <c r="E1282" i="2"/>
  <c r="E1281" i="2"/>
  <c r="E1280" i="2"/>
  <c r="E1279" i="2"/>
  <c r="E1278" i="2"/>
  <c r="E1277" i="2"/>
  <c r="E1276" i="2"/>
  <c r="E1275" i="2"/>
  <c r="E1274" i="2"/>
  <c r="E1273" i="2"/>
  <c r="E1272" i="2"/>
  <c r="E1271" i="2"/>
  <c r="E1270" i="2"/>
  <c r="E1269" i="2"/>
  <c r="E1268" i="2"/>
  <c r="E1267" i="2"/>
  <c r="E1266" i="2"/>
  <c r="E1265" i="2"/>
  <c r="E1264" i="2"/>
  <c r="E1263" i="2"/>
  <c r="E1262" i="2"/>
  <c r="E1261" i="2"/>
  <c r="E1260" i="2"/>
  <c r="E1259" i="2"/>
  <c r="E1258" i="2"/>
  <c r="E1257" i="2"/>
  <c r="E1256" i="2"/>
  <c r="E1255" i="2"/>
  <c r="E1254" i="2"/>
  <c r="E1253" i="2"/>
  <c r="E1252" i="2"/>
  <c r="E1251" i="2"/>
  <c r="E1250" i="2"/>
  <c r="E1249" i="2"/>
  <c r="E1248" i="2"/>
  <c r="E1247" i="2"/>
  <c r="E1246" i="2"/>
  <c r="E1245" i="2"/>
  <c r="E1244" i="2"/>
  <c r="E1243" i="2"/>
  <c r="E1242" i="2"/>
  <c r="E1241" i="2"/>
  <c r="E1240" i="2"/>
  <c r="E1239" i="2"/>
  <c r="E1238" i="2"/>
  <c r="E1237" i="2"/>
  <c r="E1236" i="2"/>
  <c r="E1235" i="2"/>
  <c r="E1234" i="2"/>
  <c r="E1233" i="2"/>
  <c r="E1232" i="2"/>
  <c r="E1231" i="2"/>
  <c r="E1230" i="2"/>
  <c r="E1229" i="2"/>
  <c r="E1228" i="2"/>
  <c r="E1227" i="2"/>
  <c r="E1226" i="2"/>
  <c r="E1225" i="2"/>
  <c r="E1224" i="2"/>
  <c r="E1223" i="2"/>
  <c r="E1222" i="2"/>
  <c r="E1221" i="2"/>
  <c r="E1220" i="2"/>
  <c r="E1219" i="2"/>
  <c r="E1218" i="2"/>
  <c r="E1217" i="2"/>
  <c r="E1216" i="2"/>
  <c r="E1215" i="2"/>
  <c r="E1214" i="2"/>
  <c r="E1213" i="2"/>
  <c r="E1212" i="2"/>
  <c r="E1211" i="2"/>
  <c r="E1210" i="2"/>
  <c r="E1209" i="2"/>
  <c r="E1208" i="2"/>
  <c r="E1207" i="2"/>
  <c r="E1206" i="2"/>
  <c r="E1205" i="2"/>
  <c r="E1204" i="2"/>
  <c r="E1203" i="2"/>
  <c r="E1202" i="2"/>
  <c r="E1201" i="2"/>
  <c r="E1200" i="2"/>
  <c r="E1199" i="2"/>
  <c r="E1198" i="2"/>
  <c r="E1197" i="2"/>
  <c r="E1196" i="2"/>
  <c r="E1195" i="2"/>
  <c r="E1194" i="2"/>
  <c r="E1193" i="2"/>
  <c r="E1192" i="2"/>
  <c r="E1191" i="2"/>
  <c r="E1190" i="2"/>
  <c r="E1189" i="2"/>
  <c r="E1188" i="2"/>
  <c r="E1187" i="2"/>
  <c r="E1186" i="2"/>
  <c r="E1185" i="2"/>
  <c r="E1184" i="2"/>
  <c r="E1183" i="2"/>
  <c r="E1182" i="2"/>
  <c r="E1181" i="2"/>
  <c r="E1180" i="2"/>
  <c r="E1179" i="2"/>
  <c r="E1178" i="2"/>
  <c r="E1177" i="2"/>
  <c r="E1176" i="2"/>
  <c r="E1175" i="2"/>
  <c r="E1174" i="2"/>
  <c r="E1173" i="2"/>
  <c r="E1172" i="2"/>
  <c r="E1171" i="2"/>
  <c r="E1170" i="2"/>
  <c r="E1169" i="2"/>
  <c r="E1168" i="2"/>
  <c r="E1167" i="2"/>
  <c r="E1166" i="2"/>
  <c r="E1165" i="2"/>
  <c r="E1164" i="2"/>
  <c r="E1163" i="2"/>
  <c r="E1162" i="2"/>
  <c r="E1161" i="2"/>
  <c r="E1160" i="2"/>
  <c r="E1159" i="2"/>
  <c r="E1158" i="2"/>
  <c r="E1157" i="2"/>
  <c r="E1156" i="2"/>
  <c r="E1155" i="2"/>
  <c r="E1154" i="2"/>
  <c r="E1153" i="2"/>
  <c r="E1152" i="2"/>
  <c r="E1151" i="2"/>
  <c r="E1150" i="2"/>
  <c r="E1149" i="2"/>
  <c r="E1148" i="2"/>
  <c r="E1147" i="2"/>
  <c r="E1146" i="2"/>
  <c r="E1145" i="2"/>
  <c r="E1144" i="2"/>
  <c r="E1143" i="2"/>
  <c r="E1142" i="2"/>
  <c r="E1141" i="2"/>
  <c r="E1140" i="2"/>
  <c r="E1139" i="2"/>
  <c r="E1138" i="2"/>
  <c r="E1137" i="2"/>
  <c r="E1136" i="2"/>
  <c r="E1135" i="2"/>
  <c r="E1134" i="2"/>
  <c r="E1133" i="2"/>
  <c r="E1132" i="2"/>
  <c r="E1131" i="2"/>
  <c r="E1130" i="2"/>
  <c r="E1129" i="2"/>
  <c r="E1128" i="2"/>
  <c r="E1127" i="2"/>
  <c r="E1126" i="2"/>
  <c r="E1125" i="2"/>
  <c r="E1124" i="2"/>
  <c r="E1123" i="2"/>
  <c r="E1122" i="2"/>
  <c r="E1121" i="2"/>
  <c r="E1120" i="2"/>
  <c r="E1119" i="2"/>
  <c r="E1118" i="2"/>
  <c r="E1117" i="2"/>
  <c r="E1116" i="2"/>
  <c r="E1115" i="2"/>
  <c r="E1114" i="2"/>
  <c r="E1113" i="2"/>
  <c r="E1112" i="2"/>
  <c r="E1111" i="2"/>
  <c r="E1110" i="2"/>
  <c r="E1109" i="2"/>
  <c r="E1108" i="2"/>
  <c r="E1107" i="2"/>
  <c r="E1106" i="2"/>
  <c r="E1105" i="2"/>
  <c r="E1104" i="2"/>
  <c r="E1103" i="2"/>
  <c r="E1102" i="2"/>
  <c r="E1101" i="2"/>
  <c r="E1100" i="2"/>
  <c r="E1099" i="2"/>
  <c r="E1098" i="2"/>
  <c r="E1097" i="2"/>
  <c r="E1096" i="2"/>
  <c r="E1095" i="2"/>
  <c r="E1094" i="2"/>
  <c r="E1093" i="2"/>
  <c r="E1092" i="2"/>
  <c r="E1091" i="2"/>
  <c r="E1090" i="2"/>
  <c r="E1089" i="2"/>
  <c r="E1088" i="2"/>
  <c r="E1087" i="2"/>
  <c r="E1086" i="2"/>
  <c r="E1085" i="2"/>
  <c r="E1084" i="2"/>
  <c r="E1083" i="2"/>
  <c r="E1082" i="2"/>
  <c r="E1081" i="2"/>
  <c r="E1080" i="2"/>
  <c r="E1079" i="2"/>
  <c r="E1078" i="2"/>
  <c r="E1077" i="2"/>
  <c r="E1076" i="2"/>
  <c r="E1075" i="2"/>
  <c r="E1074" i="2"/>
  <c r="E1073" i="2"/>
  <c r="E1072" i="2"/>
  <c r="E1071" i="2"/>
  <c r="E1070" i="2"/>
  <c r="E1069" i="2"/>
  <c r="E1068" i="2"/>
  <c r="E1067" i="2"/>
  <c r="E1066" i="2"/>
  <c r="E1065" i="2"/>
  <c r="E1064" i="2"/>
  <c r="E1063" i="2"/>
  <c r="E1062" i="2"/>
  <c r="E1061" i="2"/>
  <c r="E1060" i="2"/>
  <c r="E1059" i="2"/>
  <c r="E1058" i="2"/>
  <c r="E1057" i="2"/>
  <c r="E1056" i="2"/>
  <c r="E1055" i="2"/>
  <c r="E1054" i="2"/>
  <c r="E1053" i="2"/>
  <c r="E1052" i="2"/>
  <c r="E1051" i="2"/>
  <c r="E1050" i="2"/>
  <c r="E1049" i="2"/>
  <c r="E1048" i="2"/>
  <c r="E1047" i="2"/>
  <c r="E1046" i="2"/>
  <c r="E1045" i="2"/>
  <c r="E1044" i="2"/>
  <c r="E1043" i="2"/>
  <c r="E1042" i="2"/>
  <c r="E1041" i="2"/>
  <c r="E1040" i="2"/>
  <c r="E1039" i="2"/>
  <c r="E1038" i="2"/>
  <c r="E1037" i="2"/>
  <c r="E1036" i="2"/>
  <c r="E1035" i="2"/>
  <c r="E1034" i="2"/>
  <c r="E1033" i="2"/>
  <c r="E1032" i="2"/>
  <c r="E1031" i="2"/>
  <c r="E1030" i="2"/>
  <c r="E1029" i="2"/>
  <c r="E1028" i="2"/>
  <c r="E1027" i="2"/>
  <c r="E1026" i="2"/>
  <c r="E1025" i="2"/>
  <c r="E1024" i="2"/>
  <c r="E1023" i="2"/>
  <c r="E1022" i="2"/>
  <c r="E1021" i="2"/>
  <c r="E1020" i="2"/>
  <c r="E1019" i="2"/>
  <c r="E1018" i="2"/>
  <c r="E1017" i="2"/>
  <c r="E1016" i="2"/>
  <c r="E1015" i="2"/>
  <c r="E1014" i="2"/>
  <c r="E1013" i="2"/>
  <c r="E1012" i="2"/>
  <c r="E1011" i="2"/>
  <c r="E1010" i="2"/>
  <c r="E1009" i="2"/>
  <c r="E1008" i="2"/>
  <c r="E1007" i="2"/>
  <c r="E1006" i="2"/>
  <c r="E1005" i="2"/>
  <c r="E1004" i="2"/>
  <c r="E1003" i="2"/>
  <c r="E1002" i="2"/>
  <c r="E1001" i="2"/>
  <c r="E1000" i="2"/>
  <c r="E999" i="2"/>
  <c r="E998" i="2"/>
  <c r="E997" i="2"/>
  <c r="E996" i="2"/>
  <c r="E995" i="2"/>
  <c r="E994" i="2"/>
  <c r="E993" i="2"/>
  <c r="E992" i="2"/>
  <c r="E991" i="2"/>
  <c r="E990" i="2"/>
  <c r="E989" i="2"/>
  <c r="E988" i="2"/>
  <c r="E987" i="2"/>
  <c r="E986" i="2"/>
  <c r="E985" i="2"/>
  <c r="E984" i="2"/>
  <c r="E983" i="2"/>
  <c r="E982" i="2"/>
  <c r="E981" i="2"/>
  <c r="E980" i="2"/>
  <c r="E979" i="2"/>
  <c r="E978" i="2"/>
  <c r="E977" i="2"/>
  <c r="E976" i="2"/>
  <c r="E975" i="2"/>
  <c r="E974" i="2"/>
  <c r="E973" i="2"/>
  <c r="E972" i="2"/>
  <c r="E971" i="2"/>
  <c r="E970" i="2"/>
  <c r="E969" i="2"/>
  <c r="E968" i="2"/>
  <c r="E967" i="2"/>
  <c r="E966" i="2"/>
  <c r="E965" i="2"/>
  <c r="E964" i="2"/>
  <c r="E963" i="2"/>
  <c r="E962" i="2"/>
  <c r="E961" i="2"/>
  <c r="E960" i="2"/>
  <c r="E959" i="2"/>
  <c r="E958" i="2"/>
  <c r="E957" i="2"/>
  <c r="E956" i="2"/>
  <c r="E955" i="2"/>
  <c r="E954" i="2"/>
  <c r="E953" i="2"/>
  <c r="E952" i="2"/>
  <c r="E951" i="2"/>
  <c r="E950" i="2"/>
  <c r="E949" i="2"/>
  <c r="E948" i="2"/>
  <c r="E947" i="2"/>
  <c r="E946" i="2"/>
  <c r="E945" i="2"/>
  <c r="E944" i="2"/>
  <c r="E943" i="2"/>
  <c r="E942" i="2"/>
  <c r="E941" i="2"/>
  <c r="E940" i="2"/>
  <c r="E939" i="2"/>
  <c r="E938" i="2"/>
  <c r="E937" i="2"/>
  <c r="E936" i="2"/>
  <c r="E935" i="2"/>
  <c r="E934" i="2"/>
  <c r="E933" i="2"/>
  <c r="E932" i="2"/>
  <c r="E931" i="2"/>
  <c r="E930" i="2"/>
  <c r="E929" i="2"/>
  <c r="E928" i="2"/>
  <c r="E927" i="2"/>
  <c r="E926" i="2"/>
  <c r="E925" i="2"/>
  <c r="E924" i="2"/>
  <c r="E923" i="2"/>
  <c r="E922" i="2"/>
  <c r="E921" i="2"/>
  <c r="E920" i="2"/>
  <c r="E919" i="2"/>
  <c r="E918" i="2"/>
  <c r="E917" i="2"/>
  <c r="E916" i="2"/>
  <c r="E915" i="2"/>
  <c r="E914" i="2"/>
  <c r="E913" i="2"/>
  <c r="E912" i="2"/>
  <c r="E911" i="2"/>
  <c r="E910" i="2"/>
  <c r="E909" i="2"/>
  <c r="E908" i="2"/>
  <c r="E907" i="2"/>
  <c r="E906" i="2"/>
  <c r="E905" i="2"/>
  <c r="E904" i="2"/>
  <c r="E903" i="2"/>
  <c r="E902" i="2"/>
  <c r="E901" i="2"/>
  <c r="E900" i="2"/>
  <c r="E899" i="2"/>
  <c r="E898" i="2"/>
  <c r="E897" i="2"/>
  <c r="E896" i="2"/>
  <c r="E895" i="2"/>
  <c r="E894" i="2"/>
  <c r="E893" i="2"/>
  <c r="E892" i="2"/>
  <c r="E891" i="2"/>
  <c r="E890" i="2"/>
  <c r="E889" i="2"/>
  <c r="E888" i="2"/>
  <c r="E887" i="2"/>
  <c r="E886" i="2"/>
  <c r="E885" i="2"/>
  <c r="E884" i="2"/>
  <c r="E883" i="2"/>
  <c r="E882" i="2"/>
  <c r="E881" i="2"/>
  <c r="E880" i="2"/>
  <c r="E879" i="2"/>
  <c r="E878" i="2"/>
  <c r="E877" i="2"/>
  <c r="E876" i="2"/>
  <c r="E875" i="2"/>
  <c r="E874" i="2"/>
  <c r="E873" i="2"/>
  <c r="E872" i="2"/>
  <c r="E871" i="2"/>
  <c r="E870" i="2"/>
  <c r="E869" i="2"/>
  <c r="E868" i="2"/>
  <c r="E867" i="2"/>
  <c r="E866" i="2"/>
  <c r="E865" i="2"/>
  <c r="E864" i="2"/>
  <c r="E863" i="2"/>
  <c r="E862" i="2"/>
  <c r="E861" i="2"/>
  <c r="E860" i="2"/>
  <c r="E859" i="2"/>
  <c r="E858" i="2"/>
  <c r="E857" i="2"/>
  <c r="E856" i="2"/>
  <c r="E855" i="2"/>
  <c r="E854" i="2"/>
  <c r="E853" i="2"/>
  <c r="E852" i="2"/>
  <c r="E851" i="2"/>
  <c r="E850" i="2"/>
  <c r="E849" i="2"/>
  <c r="E848" i="2"/>
  <c r="E847" i="2"/>
  <c r="E846" i="2"/>
  <c r="E845" i="2"/>
  <c r="E844" i="2"/>
  <c r="E843" i="2"/>
  <c r="E842" i="2"/>
  <c r="E841" i="2"/>
  <c r="E840" i="2"/>
  <c r="E839" i="2"/>
  <c r="E838" i="2"/>
  <c r="E837" i="2"/>
  <c r="E836" i="2"/>
  <c r="E835" i="2"/>
  <c r="E834" i="2"/>
  <c r="E833" i="2"/>
  <c r="E832" i="2"/>
  <c r="E831" i="2"/>
  <c r="E830" i="2"/>
  <c r="E829" i="2"/>
  <c r="E828" i="2"/>
  <c r="E827" i="2"/>
  <c r="E826" i="2"/>
  <c r="E825" i="2"/>
  <c r="E824" i="2"/>
  <c r="E823" i="2"/>
  <c r="E822" i="2"/>
  <c r="E821" i="2"/>
  <c r="E820" i="2"/>
  <c r="E819" i="2"/>
  <c r="E818" i="2"/>
  <c r="E817" i="2"/>
  <c r="E816" i="2"/>
  <c r="E815" i="2"/>
  <c r="E814" i="2"/>
  <c r="E813" i="2"/>
  <c r="E812" i="2"/>
  <c r="E811" i="2"/>
  <c r="E810" i="2"/>
  <c r="E809" i="2"/>
  <c r="E808" i="2"/>
  <c r="E807" i="2"/>
  <c r="E806" i="2"/>
  <c r="E805" i="2"/>
  <c r="E804" i="2"/>
  <c r="E803" i="2"/>
  <c r="E802" i="2"/>
  <c r="E801" i="2"/>
  <c r="E800" i="2"/>
  <c r="E799" i="2"/>
  <c r="E798" i="2"/>
  <c r="E797" i="2"/>
  <c r="E796" i="2"/>
  <c r="E795" i="2"/>
  <c r="E794" i="2"/>
  <c r="E793" i="2"/>
  <c r="E792" i="2"/>
  <c r="E791" i="2"/>
  <c r="E790" i="2"/>
  <c r="E789" i="2"/>
  <c r="E788" i="2"/>
  <c r="E787" i="2"/>
  <c r="E786" i="2"/>
  <c r="E785" i="2"/>
  <c r="E784" i="2"/>
  <c r="E783" i="2"/>
  <c r="E782" i="2"/>
  <c r="E781" i="2"/>
  <c r="E780" i="2"/>
  <c r="E779" i="2"/>
  <c r="E778" i="2"/>
  <c r="E777" i="2"/>
  <c r="E776" i="2"/>
  <c r="E775" i="2"/>
  <c r="E774" i="2"/>
  <c r="E773" i="2"/>
  <c r="E772" i="2"/>
  <c r="E771" i="2"/>
  <c r="E770" i="2"/>
  <c r="E769" i="2"/>
  <c r="E768" i="2"/>
  <c r="E767" i="2"/>
  <c r="E766" i="2"/>
  <c r="E765" i="2"/>
  <c r="E764" i="2"/>
  <c r="E763" i="2"/>
  <c r="E762" i="2"/>
  <c r="E761" i="2"/>
  <c r="E760" i="2"/>
  <c r="E759" i="2"/>
  <c r="E758" i="2"/>
  <c r="E757" i="2"/>
  <c r="E756" i="2"/>
  <c r="E755" i="2"/>
  <c r="E754" i="2"/>
  <c r="E753" i="2"/>
  <c r="E752" i="2"/>
  <c r="E751" i="2"/>
  <c r="E750" i="2"/>
  <c r="E749" i="2"/>
  <c r="E748" i="2"/>
  <c r="E747" i="2"/>
  <c r="E746" i="2"/>
  <c r="E745" i="2"/>
  <c r="E744" i="2"/>
  <c r="E743" i="2"/>
  <c r="E742" i="2"/>
  <c r="E741" i="2"/>
  <c r="E740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7" i="2"/>
  <c r="E726" i="2"/>
  <c r="E725" i="2"/>
  <c r="E724" i="2"/>
  <c r="E723" i="2"/>
  <c r="E722" i="2"/>
  <c r="E721" i="2"/>
  <c r="E720" i="2"/>
  <c r="E719" i="2"/>
  <c r="E718" i="2"/>
  <c r="E717" i="2"/>
  <c r="E716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E692" i="2"/>
  <c r="E691" i="2"/>
  <c r="E690" i="2"/>
  <c r="E689" i="2"/>
  <c r="E688" i="2"/>
  <c r="E687" i="2"/>
  <c r="E686" i="2"/>
  <c r="E685" i="2"/>
  <c r="E684" i="2"/>
  <c r="E683" i="2"/>
  <c r="E682" i="2"/>
  <c r="E681" i="2"/>
  <c r="E680" i="2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9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<sst xmlns="http://schemas.openxmlformats.org/spreadsheetml/2006/main" count="9372" uniqueCount="6393">
  <si>
    <t>国名</t>
  </si>
  <si>
    <t>公告期</t>
  </si>
  <si>
    <t>発表日</t>
  </si>
  <si>
    <t>商標番号</t>
  </si>
  <si>
    <t>商標名称</t>
  </si>
  <si>
    <t>申請人</t>
  </si>
  <si>
    <t>商品</t>
  </si>
  <si>
    <t>申請日</t>
  </si>
  <si>
    <t>No.</t>
    <phoneticPr fontId="1"/>
  </si>
  <si>
    <t>中国</t>
  </si>
  <si>
    <t>葡萄酒</t>
  </si>
  <si>
    <t>白酒</t>
  </si>
  <si>
    <t>刘淋</t>
  </si>
  <si>
    <t>卢莹</t>
  </si>
  <si>
    <t>酒鬼酒股份有限公司</t>
  </si>
  <si>
    <t>周大福 CHOW TAI FOOK</t>
  </si>
  <si>
    <t>周大福珠宝金行有限公司</t>
  </si>
  <si>
    <t>李芳芳</t>
  </si>
  <si>
    <t>王建启</t>
  </si>
  <si>
    <t>文科</t>
  </si>
  <si>
    <t>王月广</t>
  </si>
  <si>
    <t>永和公司</t>
  </si>
  <si>
    <t>曾建国</t>
  </si>
  <si>
    <t>王利祥</t>
  </si>
  <si>
    <t>王玉峰</t>
  </si>
  <si>
    <t>秦坤</t>
  </si>
  <si>
    <t>王波</t>
  </si>
  <si>
    <t>王秋娜</t>
  </si>
  <si>
    <t>向粤豪</t>
  </si>
  <si>
    <t>百子堂有限公司</t>
  </si>
  <si>
    <t>孟佩煜</t>
  </si>
  <si>
    <t>合肥市九学王教育科技有限公司</t>
  </si>
  <si>
    <t>刘忠明</t>
  </si>
  <si>
    <t>曾凡</t>
  </si>
  <si>
    <t>王笑笑</t>
  </si>
  <si>
    <t>刘云</t>
  </si>
  <si>
    <t>王博</t>
  </si>
  <si>
    <t>云南摩柯兔子品牌管理有限公司</t>
  </si>
  <si>
    <t>徐志勇</t>
  </si>
  <si>
    <t>周淑先</t>
  </si>
  <si>
    <t>高程林</t>
  </si>
  <si>
    <t>胡黄娥</t>
  </si>
  <si>
    <t>王英</t>
  </si>
  <si>
    <t>花之冠</t>
  </si>
  <si>
    <t>郭楠</t>
  </si>
  <si>
    <t>杭州不水就行科技有限公司</t>
  </si>
  <si>
    <t>任海峰</t>
  </si>
  <si>
    <t>姜威</t>
  </si>
  <si>
    <t>洪小梅</t>
  </si>
  <si>
    <t>万根成</t>
  </si>
  <si>
    <t>张伟</t>
  </si>
  <si>
    <t>武正雄</t>
  </si>
  <si>
    <t>酩酒仙有限公司</t>
  </si>
  <si>
    <t>探花郎</t>
  </si>
  <si>
    <r>
      <t>古</t>
    </r>
    <r>
      <rPr>
        <sz val="11"/>
        <color theme="1"/>
        <rFont val="ＭＳ Ｐゴシック"/>
        <family val="3"/>
        <charset val="134"/>
        <scheme val="minor"/>
      </rPr>
      <t>蔺县</t>
    </r>
    <r>
      <rPr>
        <sz val="11"/>
        <color theme="1"/>
        <rFont val="ＭＳ Ｐゴシック"/>
        <family val="3"/>
        <charset val="128"/>
        <scheme val="minor"/>
      </rPr>
      <t>久盛投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</si>
  <si>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利口酒; 蒸煮提取物（利口酒和烈酒）; 威士忌; 果酒（含酒精）; 开胃酒</t>
    </r>
  </si>
  <si>
    <t>老民族</t>
  </si>
  <si>
    <r>
      <t>晁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梅</t>
    </r>
  </si>
  <si>
    <r>
      <t>果酒（含酒精）;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</si>
  <si>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POWERS JOHN'S LANE P</t>
  </si>
  <si>
    <r>
      <t>爱尔兰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</si>
  <si>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t>威士忌</t>
  </si>
  <si>
    <r>
      <t>永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</si>
  <si>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万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</si>
  <si>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</si>
  <si>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诚</t>
  </si>
  <si>
    <r>
      <t>赵</t>
    </r>
    <r>
      <rPr>
        <sz val="11"/>
        <color theme="1"/>
        <rFont val="ＭＳ Ｐゴシック"/>
        <family val="3"/>
        <charset val="128"/>
        <scheme val="minor"/>
      </rPr>
      <t>收旺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</si>
  <si>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伏特加酒; 食用酒精; 威士忌; 葡萄酒; 朗姆酒; 白酒</t>
    </r>
  </si>
  <si>
    <t>老潭酒</t>
  </si>
  <si>
    <r>
      <t>四川古</t>
    </r>
    <r>
      <rPr>
        <sz val="11"/>
        <color theme="1"/>
        <rFont val="ＭＳ Ｐゴシック"/>
        <family val="3"/>
        <charset val="134"/>
        <scheme val="minor"/>
      </rPr>
      <t>蔺</t>
    </r>
    <r>
      <rPr>
        <sz val="11"/>
        <color theme="1"/>
        <rFont val="ＭＳ Ｐゴシック"/>
        <family val="3"/>
        <charset val="128"/>
        <scheme val="minor"/>
      </rPr>
      <t>仙潭酒厂有限公司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</si>
  <si>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</si>
  <si>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御堂醇</t>
  </si>
  <si>
    <r>
      <t>陈</t>
    </r>
    <r>
      <rPr>
        <sz val="11"/>
        <color theme="1"/>
        <rFont val="ＭＳ Ｐゴシック"/>
        <family val="3"/>
        <charset val="128"/>
        <scheme val="minor"/>
      </rPr>
      <t>永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</si>
  <si>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米酒; 黄酒; 薄荷酒;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甜酒; 果酒; 利口酒;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</si>
  <si>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小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</si>
  <si>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酒集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</si>
  <si>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蒸煮提取物（利口酒和烈酒）; 果酒（含酒精）; 葡萄酒; 利口酒;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</si>
  <si>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望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</si>
  <si>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市方</t>
    </r>
    <r>
      <rPr>
        <sz val="11"/>
        <color theme="1"/>
        <rFont val="ＭＳ Ｐゴシック"/>
        <family val="3"/>
        <charset val="134"/>
        <scheme val="minor"/>
      </rPr>
      <t>圆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</si>
  <si>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蒸煮提取物（利口酒和烈酒）; 葡萄酒;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</si>
  <si>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开胃酒; 葡萄酒; 食用酒精;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</si>
  <si>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晋裕汾票号</t>
  </si>
  <si>
    <t>山西杏花村汾酒厂股份有限公司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</si>
  <si>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</si>
  <si>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周大福</t>
  </si>
  <si>
    <t>唐宴</t>
  </si>
  <si>
    <r>
      <t>深圳市怡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通供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</si>
  <si>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果酒; 烈酒; 青稞酒</t>
    </r>
  </si>
  <si>
    <t>真年喜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</si>
  <si>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州情景最藏酒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</si>
  <si>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</si>
  <si>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榆</t>
    </r>
    <r>
      <rPr>
        <sz val="11"/>
        <color theme="1"/>
        <rFont val="ＭＳ Ｐゴシック"/>
        <family val="3"/>
        <charset val="128"/>
        <scheme val="minor"/>
      </rPr>
      <t>州白</t>
    </r>
  </si>
  <si>
    <r>
      <t>王文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</si>
  <si>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 xml:space="preserve">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果酒; 黄酒;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</si>
  <si>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娶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</si>
  <si>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汽酒; 葡萄酒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</si>
  <si>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妃醉酒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</si>
  <si>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沙市</t>
    </r>
    <r>
      <rPr>
        <sz val="11"/>
        <color theme="1"/>
        <rFont val="ＭＳ Ｐゴシック"/>
        <family val="3"/>
        <charset val="134"/>
        <scheme val="minor"/>
      </rPr>
      <t>忆</t>
    </r>
    <r>
      <rPr>
        <sz val="11"/>
        <color theme="1"/>
        <rFont val="ＭＳ Ｐゴシック"/>
        <family val="3"/>
        <charset val="128"/>
        <scheme val="minor"/>
      </rPr>
      <t>嘉旺商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</si>
  <si>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食用酒精; 葡萄酒; 白酒; 果酒; 清酒（日本米酒）</t>
    </r>
  </si>
  <si>
    <t>成世台</t>
  </si>
  <si>
    <r>
      <t>北京荣太和酒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</si>
  <si>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汽酒;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</si>
  <si>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荣和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</si>
  <si>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荣和酒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</si>
  <si>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高粱酒;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</si>
  <si>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大猿</t>
  </si>
  <si>
    <r>
      <t>四川我有酒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</si>
  <si>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果酒（含酒精）; 苦味酒;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葡萄酒</t>
    </r>
  </si>
  <si>
    <r>
      <t>天学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</si>
  <si>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帝酒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</si>
  <si>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汽酒; 食用酒精;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</si>
  <si>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剑</t>
    </r>
    <r>
      <rPr>
        <sz val="11"/>
        <color theme="1"/>
        <rFont val="ＭＳ Ｐゴシック"/>
        <family val="3"/>
        <charset val="128"/>
        <scheme val="minor"/>
      </rPr>
      <t>仙楼</t>
    </r>
  </si>
  <si>
    <r>
      <t>四川省邛</t>
    </r>
    <r>
      <rPr>
        <sz val="11"/>
        <color theme="1"/>
        <rFont val="ＭＳ Ｐゴシック"/>
        <family val="3"/>
        <charset val="134"/>
        <scheme val="minor"/>
      </rPr>
      <t>崃</t>
    </r>
    <r>
      <rPr>
        <sz val="11"/>
        <color theme="1"/>
        <rFont val="ＭＳ Ｐゴシック"/>
        <family val="3"/>
        <charset val="128"/>
        <scheme val="minor"/>
      </rPr>
      <t>市泉池酒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</si>
  <si>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果酒（含酒精）; 清酒（日本米酒）; 蜂蜜酒</t>
    </r>
  </si>
  <si>
    <t>湘君府</t>
  </si>
  <si>
    <r>
      <t>鸡泽县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林百</t>
    </r>
    <r>
      <rPr>
        <sz val="11"/>
        <color theme="1"/>
        <rFont val="ＭＳ Ｐゴシック"/>
        <family val="3"/>
        <charset val="134"/>
        <scheme val="minor"/>
      </rPr>
      <t>货经营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</si>
  <si>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伏特加酒; 白酒; 葡萄酒; 果酒（含酒精）</t>
    </r>
  </si>
  <si>
    <t>好心威源</t>
  </si>
  <si>
    <r>
      <t>茂名市威源酒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</si>
  <si>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</si>
  <si>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赛</t>
    </r>
    <r>
      <rPr>
        <sz val="11"/>
        <color theme="1"/>
        <rFont val="ＭＳ Ｐゴシック"/>
        <family val="3"/>
        <charset val="128"/>
        <scheme val="minor"/>
      </rPr>
      <t>里木湖</t>
    </r>
  </si>
  <si>
    <r>
      <t>无</t>
    </r>
    <r>
      <rPr>
        <sz val="11"/>
        <color theme="1"/>
        <rFont val="ＭＳ Ｐゴシック"/>
        <family val="3"/>
        <charset val="134"/>
        <scheme val="minor"/>
      </rPr>
      <t>锡</t>
    </r>
    <r>
      <rPr>
        <sz val="11"/>
        <color theme="1"/>
        <rFont val="ＭＳ Ｐゴシック"/>
        <family val="3"/>
        <charset val="128"/>
        <scheme val="minor"/>
      </rPr>
      <t>君品酒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</si>
  <si>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伏特加酒;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利口酒; 葡萄酒</t>
    </r>
  </si>
  <si>
    <t>堂堂正正老百姓</t>
  </si>
  <si>
    <r>
      <t>安徽省亳州市古井</t>
    </r>
    <r>
      <rPr>
        <sz val="11"/>
        <color theme="1"/>
        <rFont val="ＭＳ Ｐゴシック"/>
        <family val="3"/>
        <charset val="134"/>
        <scheme val="minor"/>
      </rPr>
      <t>镇闯</t>
    </r>
    <r>
      <rPr>
        <sz val="11"/>
        <color theme="1"/>
        <rFont val="ＭＳ Ｐゴシック"/>
        <family val="3"/>
        <charset val="128"/>
        <scheme val="minor"/>
      </rPr>
      <t>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</si>
  <si>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薄荷酒; 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苹果酒</t>
    </r>
  </si>
  <si>
    <r>
      <t>图</t>
    </r>
    <r>
      <rPr>
        <sz val="11"/>
        <color theme="1"/>
        <rFont val="ＭＳ Ｐゴシック"/>
        <family val="3"/>
        <charset val="128"/>
        <scheme val="minor"/>
      </rPr>
      <t>形</t>
    </r>
  </si>
  <si>
    <r>
      <t>满</t>
    </r>
    <r>
      <rPr>
        <sz val="11"/>
        <color theme="1"/>
        <rFont val="ＭＳ Ｐゴシック"/>
        <family val="3"/>
        <charset val="128"/>
        <scheme val="minor"/>
      </rPr>
      <t>缸香酒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</si>
  <si>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功</t>
    </r>
    <r>
      <rPr>
        <sz val="11"/>
        <color theme="1"/>
        <rFont val="ＭＳ Ｐゴシック"/>
        <family val="3"/>
        <charset val="134"/>
        <scheme val="minor"/>
      </rPr>
      <t>劳</t>
    </r>
  </si>
  <si>
    <r>
      <t>上海那座山商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</si>
  <si>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青稞酒; 黄酒; 葡萄酒; 甜酒; 白酒; 米酒; 果酒（含酒精）; 高粱酒; 梅酒</t>
    </r>
  </si>
  <si>
    <r>
      <t>古</t>
    </r>
    <r>
      <rPr>
        <sz val="11"/>
        <color theme="1"/>
        <rFont val="ＭＳ Ｐゴシック"/>
        <family val="3"/>
        <charset val="134"/>
        <scheme val="minor"/>
      </rPr>
      <t>贝</t>
    </r>
    <r>
      <rPr>
        <sz val="11"/>
        <color theme="1"/>
        <rFont val="ＭＳ Ｐゴシック"/>
        <family val="3"/>
        <charset val="128"/>
        <scheme val="minor"/>
      </rPr>
      <t>春 白板</t>
    </r>
  </si>
  <si>
    <r>
      <t>古</t>
    </r>
    <r>
      <rPr>
        <sz val="11"/>
        <color theme="1"/>
        <rFont val="ＭＳ Ｐゴシック"/>
        <family val="3"/>
        <charset val="134"/>
        <scheme val="minor"/>
      </rPr>
      <t>贝</t>
    </r>
    <r>
      <rPr>
        <sz val="11"/>
        <color theme="1"/>
        <rFont val="ＭＳ Ｐゴシック"/>
        <family val="3"/>
        <charset val="128"/>
        <scheme val="minor"/>
      </rPr>
      <t>春集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</si>
  <si>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苹果酒;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</si>
  <si>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包不同</t>
  </si>
  <si>
    <t>王留英</t>
  </si>
  <si>
    <r>
      <t>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</si>
  <si>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中乾</t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</si>
  <si>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市仕然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易商行（个体工商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</si>
  <si>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</si>
  <si>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御朕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</si>
  <si>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白干酒（中国白酒）; 葡萄酒; 米酒</t>
    </r>
  </si>
  <si>
    <t>响道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</si>
  <si>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苏华</t>
    </r>
    <r>
      <rPr>
        <sz val="11"/>
        <color theme="1"/>
        <rFont val="ＭＳ Ｐゴシック"/>
        <family val="3"/>
        <charset val="128"/>
        <scheme val="minor"/>
      </rPr>
      <t>胤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</si>
  <si>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威士忌; 食用酒精; 果酒（含酒精）;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</si>
  <si>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财</t>
    </r>
    <r>
      <rPr>
        <sz val="11"/>
        <color theme="1"/>
        <rFont val="ＭＳ Ｐゴシック"/>
        <family val="3"/>
        <charset val="128"/>
        <scheme val="minor"/>
      </rPr>
      <t>氏</t>
    </r>
  </si>
  <si>
    <r>
      <t>财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</si>
  <si>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伏特加酒; 清酒;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</si>
  <si>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财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</si>
  <si>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食用酒精;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清酒; 黄酒</t>
    </r>
  </si>
  <si>
    <t>中名</t>
  </si>
  <si>
    <r>
      <t>丰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区抽柔百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</si>
  <si>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>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黄酒; 苹果酒; 米酒; 奶油利口酒; 白酒; 清酒; 葡萄酒</t>
    </r>
  </si>
  <si>
    <r>
      <t>德</t>
    </r>
    <r>
      <rPr>
        <sz val="11"/>
        <color theme="1"/>
        <rFont val="ＭＳ Ｐゴシック"/>
        <family val="3"/>
        <charset val="134"/>
        <scheme val="minor"/>
      </rPr>
      <t>龄</t>
    </r>
    <r>
      <rPr>
        <sz val="11"/>
        <color theme="1"/>
        <rFont val="ＭＳ Ｐゴシック"/>
        <family val="3"/>
        <charset val="128"/>
        <scheme val="minor"/>
      </rPr>
      <t>王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</si>
  <si>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改明</t>
    </r>
  </si>
  <si>
    <r>
      <t>食用酒精;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</t>
    </r>
  </si>
  <si>
    <t>厚承元作</t>
  </si>
  <si>
    <r>
      <t>厚承元作（</t>
    </r>
    <r>
      <rPr>
        <sz val="11"/>
        <color theme="1"/>
        <rFont val="ＭＳ Ｐゴシック"/>
        <family val="3"/>
        <charset val="134"/>
        <scheme val="minor"/>
      </rPr>
      <t>陕</t>
    </r>
    <r>
      <rPr>
        <sz val="11"/>
        <color theme="1"/>
        <rFont val="ＭＳ Ｐゴシック"/>
        <family val="3"/>
        <charset val="128"/>
        <scheme val="minor"/>
      </rPr>
      <t>西）酒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</si>
  <si>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白酒; 米酒; 果酒（含酒精）;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</si>
  <si>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趣十分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</si>
  <si>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趣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</si>
  <si>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米酒; 清酒; 食用酒精; 茶酒;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水果汽酒; 果酒（含酒精）; 梅酒</t>
    </r>
  </si>
  <si>
    <r>
      <t>南京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圣文化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</si>
  <si>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高粱酒;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蒸煮提取物（利口酒和烈酒）;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白干酒（中国白酒）; 白酒; 青稞酒</t>
    </r>
  </si>
  <si>
    <r>
      <t>萧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</si>
  <si>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州溯源酒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</si>
  <si>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</t>
    </r>
  </si>
  <si>
    <r>
      <t>散花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天</t>
    </r>
  </si>
  <si>
    <r>
      <t>中国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州茅台酒厂（集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</si>
  <si>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清酒（日本米酒）;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</si>
  <si>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巽天</t>
  </si>
  <si>
    <r>
      <t>巽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科技（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州）有限公司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</si>
  <si>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</si>
  <si>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荆</t>
    </r>
    <r>
      <rPr>
        <sz val="11"/>
        <color theme="1"/>
        <rFont val="ＭＳ Ｐゴシック"/>
        <family val="3"/>
        <charset val="128"/>
        <scheme val="minor"/>
      </rPr>
      <t>仙山娃</t>
    </r>
  </si>
  <si>
    <r>
      <t>荆门</t>
    </r>
    <r>
      <rPr>
        <sz val="11"/>
        <color theme="1"/>
        <rFont val="ＭＳ Ｐゴシック"/>
        <family val="3"/>
        <charset val="128"/>
        <scheme val="minor"/>
      </rPr>
      <t>市祥宝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</si>
  <si>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葡萄酒; 威士忌; 清酒（日本米酒）;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</si>
  <si>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尚</t>
    </r>
    <r>
      <rPr>
        <sz val="11"/>
        <color theme="1"/>
        <rFont val="ＭＳ Ｐゴシック"/>
        <family val="3"/>
        <charset val="134"/>
        <scheme val="minor"/>
      </rPr>
      <t>贤</t>
    </r>
  </si>
  <si>
    <r>
      <t>何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根</t>
    </r>
  </si>
  <si>
    <r>
      <t>白酒; 葡萄酒; 蜂蜜酒;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青稞酒</t>
    </r>
  </si>
  <si>
    <r>
      <t>灵</t>
    </r>
    <r>
      <rPr>
        <sz val="11"/>
        <color theme="1"/>
        <rFont val="ＭＳ Ｐゴシック"/>
        <family val="3"/>
        <charset val="134"/>
        <scheme val="minor"/>
      </rPr>
      <t>狮</t>
    </r>
    <r>
      <rPr>
        <sz val="11"/>
        <color theme="1"/>
        <rFont val="ＭＳ Ｐゴシック"/>
        <family val="3"/>
        <charset val="128"/>
        <scheme val="minor"/>
      </rPr>
      <t>之魂</t>
    </r>
  </si>
  <si>
    <r>
      <t>达欧酒庄有限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</si>
  <si>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加烈葡萄酒; 葡萄汽酒;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起泡白葡萄酒;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</si>
  <si>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天雄</t>
  </si>
  <si>
    <r>
      <t>梅</t>
    </r>
    <r>
      <rPr>
        <sz val="11"/>
        <color theme="1"/>
        <rFont val="ＭＳ Ｐゴシック"/>
        <family val="3"/>
        <charset val="134"/>
        <scheme val="minor"/>
      </rPr>
      <t>赛</t>
    </r>
    <r>
      <rPr>
        <sz val="11"/>
        <color theme="1"/>
        <rFont val="ＭＳ Ｐゴシック"/>
        <family val="3"/>
        <charset val="128"/>
        <scheme val="minor"/>
      </rPr>
      <t>白酒有限公司</t>
    </r>
  </si>
  <si>
    <r>
      <t xml:space="preserve">利口酒;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青稞酒; 白酒; 葡萄酒; 黄酒</t>
    </r>
  </si>
  <si>
    <t>华舰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</si>
  <si>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州信奈广告有限公司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</si>
  <si>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葡萄酒;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</t>
    </r>
  </si>
  <si>
    <r>
      <t>宾</t>
    </r>
    <r>
      <rPr>
        <sz val="11"/>
        <color theme="1"/>
        <rFont val="ＭＳ Ｐゴシック"/>
        <family val="3"/>
        <charset val="128"/>
        <scheme val="minor"/>
      </rPr>
      <t>礼牌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礼</t>
    </r>
  </si>
  <si>
    <t>中国双喜（控股）股份有限公司</t>
  </si>
  <si>
    <r>
      <t xml:space="preserve">米酒;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葡萄酒;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</t>
    </r>
  </si>
  <si>
    <t>初阳台</t>
  </si>
  <si>
    <r>
      <t>初阳台酒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</si>
  <si>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高粱酒; 黄酒;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五加皮酒（中国混合烈酒）; 白干酒（中国白酒）; 甘蔗汁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朗姆酒;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</t>
    </r>
  </si>
  <si>
    <t>京糊仙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</si>
  <si>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诚远</t>
    </r>
    <r>
      <rPr>
        <sz val="11"/>
        <color theme="1"/>
        <rFont val="ＭＳ Ｐゴシック"/>
        <family val="3"/>
        <charset val="128"/>
        <scheme val="minor"/>
      </rPr>
      <t>园林机械有限公司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</si>
  <si>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食用酒精;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</si>
  <si>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葡邑</t>
  </si>
  <si>
    <r>
      <t>上海葡邑酒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</si>
  <si>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麦芽威士忌; 利口酒; 威士忌; 葡萄酒; 餐后酒（利口酒和烈酒）</t>
    </r>
  </si>
  <si>
    <t>中众</t>
  </si>
  <si>
    <r>
      <t>赛</t>
    </r>
    <r>
      <rPr>
        <sz val="11"/>
        <color theme="1"/>
        <rFont val="ＭＳ Ｐゴシック"/>
        <family val="3"/>
        <charset val="128"/>
        <scheme val="minor"/>
      </rPr>
      <t>丰有限公司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</si>
  <si>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青稞酒; 黄酒; 利口酒; 果酒（含酒精）; 葡萄酒; 米酒</t>
    </r>
  </si>
  <si>
    <t>年代秀</t>
  </si>
  <si>
    <r>
      <t>深圳市九霄酒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</si>
  <si>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薄荷酒; 威士忌;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</t>
    </r>
  </si>
  <si>
    <r>
      <t>广西北流玉峰酒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</si>
  <si>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米酒; 蜂蜜酒; 甜酒; 露酒; 蝮蛇酒;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</t>
    </r>
  </si>
  <si>
    <t>雅裕</t>
  </si>
  <si>
    <t>斯沃克食品有限公司</t>
  </si>
  <si>
    <r>
      <t>果酒（含酒精）; 葡萄酒;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利口酒; 清酒（日本米酒）;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</si>
  <si>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诸</t>
    </r>
    <r>
      <rPr>
        <sz val="11"/>
        <color theme="1"/>
        <rFont val="ＭＳ Ｐゴシック"/>
        <family val="3"/>
        <charset val="128"/>
        <scheme val="minor"/>
      </rPr>
      <t>葛令</t>
    </r>
  </si>
  <si>
    <r>
      <t xml:space="preserve">白酒; 葡萄酒;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米酒; 黄酒; 利口酒;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</si>
  <si>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飞</t>
    </r>
    <r>
      <rPr>
        <sz val="11"/>
        <color theme="1"/>
        <rFont val="ＭＳ Ｐゴシック"/>
        <family val="3"/>
        <charset val="128"/>
        <scheme val="minor"/>
      </rPr>
      <t>黄</t>
    </r>
  </si>
  <si>
    <r>
      <t>惠州市</t>
    </r>
    <r>
      <rPr>
        <sz val="11"/>
        <color theme="1"/>
        <rFont val="ＭＳ Ｐゴシック"/>
        <family val="3"/>
        <charset val="134"/>
        <scheme val="minor"/>
      </rPr>
      <t>华迈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</si>
  <si>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</si>
  <si>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振江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</si>
  <si>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汽酒;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葡萄酒; 清酒（日本米酒）</t>
    </r>
  </si>
  <si>
    <r>
      <t>一品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方</t>
    </r>
  </si>
  <si>
    <r>
      <t>云南云养</t>
    </r>
    <r>
      <rPr>
        <sz val="11"/>
        <color theme="1"/>
        <rFont val="ＭＳ Ｐゴシック"/>
        <family val="3"/>
        <charset val="134"/>
        <scheme val="minor"/>
      </rPr>
      <t>贵酿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</si>
  <si>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威末酒;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杜松子酒; 青稞酒;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露酒; 米酒</t>
    </r>
  </si>
  <si>
    <r>
      <t>里永酒庄有限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</si>
  <si>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酸酒（低等葡萄酒）;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</si>
  <si>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中葡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（北京）国</t>
    </r>
    <r>
      <rPr>
        <sz val="11"/>
        <color theme="1"/>
        <rFont val="ＭＳ Ｐゴシック"/>
        <family val="3"/>
        <charset val="134"/>
        <scheme val="minor"/>
      </rPr>
      <t>际红</t>
    </r>
    <r>
      <rPr>
        <sz val="11"/>
        <color theme="1"/>
        <rFont val="ＭＳ Ｐゴシック"/>
        <family val="3"/>
        <charset val="128"/>
        <scheme val="minor"/>
      </rPr>
      <t>酒小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建</t>
    </r>
    <r>
      <rPr>
        <sz val="11"/>
        <color theme="1"/>
        <rFont val="ＭＳ Ｐゴシック"/>
        <family val="3"/>
        <charset val="134"/>
        <scheme val="minor"/>
      </rPr>
      <t>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</si>
  <si>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米酒;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</si>
  <si>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传</t>
    </r>
    <r>
      <rPr>
        <sz val="11"/>
        <color theme="1"/>
        <rFont val="ＭＳ Ｐゴシック"/>
        <family val="3"/>
        <charset val="128"/>
        <scheme val="minor"/>
      </rPr>
      <t>康</t>
    </r>
  </si>
  <si>
    <r>
      <t>徐根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</si>
  <si>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高粱酒; 白酒</t>
    </r>
  </si>
  <si>
    <r>
      <t xml:space="preserve">酒 </t>
    </r>
    <r>
      <rPr>
        <sz val="11"/>
        <color theme="1"/>
        <rFont val="ＭＳ Ｐゴシック"/>
        <family val="3"/>
        <charset val="134"/>
        <scheme val="minor"/>
      </rPr>
      <t>凤峦叆</t>
    </r>
    <r>
      <rPr>
        <sz val="11"/>
        <color theme="1"/>
        <rFont val="ＭＳ Ｐゴシック"/>
        <family val="3"/>
        <charset val="128"/>
        <scheme val="minor"/>
      </rPr>
      <t>水</t>
    </r>
  </si>
  <si>
    <r>
      <t>辽</t>
    </r>
    <r>
      <rPr>
        <sz val="11"/>
        <color theme="1"/>
        <rFont val="ＭＳ Ｐゴシック"/>
        <family val="3"/>
        <charset val="128"/>
        <scheme val="minor"/>
      </rPr>
      <t>宁吉喆商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</si>
  <si>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露酒; 利口酒; 米酒; 白酒; 葡萄酒; 黄酒</t>
    </r>
  </si>
  <si>
    <t>川窖王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</si>
  <si>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州五通酒</t>
    </r>
    <r>
      <rPr>
        <sz val="11"/>
        <color theme="1"/>
        <rFont val="ＭＳ Ｐゴシック"/>
        <family val="3"/>
        <charset val="134"/>
        <scheme val="minor"/>
      </rPr>
      <t>类销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</si>
  <si>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米酒; 食用酒精; 白酒; 葡萄酒;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</t>
    </r>
  </si>
  <si>
    <r>
      <t>中酒巡（深圳）国</t>
    </r>
    <r>
      <rPr>
        <sz val="11"/>
        <color theme="1"/>
        <rFont val="ＭＳ Ｐゴシック"/>
        <family val="3"/>
        <charset val="134"/>
        <scheme val="minor"/>
      </rPr>
      <t>际进</t>
    </r>
    <r>
      <rPr>
        <sz val="11"/>
        <color theme="1"/>
        <rFont val="ＭＳ Ｐゴシック"/>
        <family val="3"/>
        <charset val="128"/>
        <scheme val="minor"/>
      </rPr>
      <t>出口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</si>
  <si>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甜果酒; 果酒;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加烈葡萄酒; 果酒（含酒精）; 起泡白葡萄酒</t>
    </r>
  </si>
  <si>
    <r>
      <t>大丰收</t>
    </r>
    <r>
      <rPr>
        <sz val="11"/>
        <color theme="1"/>
        <rFont val="ＭＳ Ｐゴシック"/>
        <family val="3"/>
        <charset val="134"/>
        <scheme val="minor"/>
      </rPr>
      <t>时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</si>
  <si>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利永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</si>
  <si>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黄酒;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</si>
  <si>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酒厂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</si>
  <si>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酒厂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</si>
  <si>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高粱酒;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</si>
  <si>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圣点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</si>
  <si>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t>上海圣点品牌管理有限公司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</si>
  <si>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</si>
  <si>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鹤</t>
    </r>
    <r>
      <rPr>
        <sz val="11"/>
        <color theme="1"/>
        <rFont val="ＭＳ Ｐゴシック"/>
        <family val="3"/>
        <charset val="128"/>
        <scheme val="minor"/>
      </rPr>
      <t>天使</t>
    </r>
  </si>
  <si>
    <r>
      <t>美集美嘉(青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)国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</si>
  <si>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杜松子酒;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白酒; 威士忌; 伏特加酒; 朗姆酒;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</si>
  <si>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SHIPAYI KOL 希帕怡</t>
    </r>
    <r>
      <rPr>
        <sz val="11"/>
        <color theme="1"/>
        <rFont val="ＭＳ Ｐゴシック"/>
        <family val="3"/>
        <charset val="134"/>
        <scheme val="minor"/>
      </rPr>
      <t>库乐</t>
    </r>
  </si>
  <si>
    <r>
      <t>艾</t>
    </r>
    <r>
      <rPr>
        <sz val="11"/>
        <color theme="1"/>
        <rFont val="ＭＳ Ｐゴシック"/>
        <family val="3"/>
        <charset val="134"/>
        <scheme val="minor"/>
      </rPr>
      <t>萨</t>
    </r>
    <r>
      <rPr>
        <sz val="11"/>
        <color theme="1"/>
        <rFont val="ＭＳ Ｐゴシック"/>
        <family val="3"/>
        <charset val="128"/>
        <scheme val="minor"/>
      </rPr>
      <t>江·</t>
    </r>
    <r>
      <rPr>
        <sz val="11"/>
        <color theme="1"/>
        <rFont val="ＭＳ Ｐゴシック"/>
        <family val="3"/>
        <charset val="134"/>
        <scheme val="minor"/>
      </rPr>
      <t>乌</t>
    </r>
    <r>
      <rPr>
        <sz val="11"/>
        <color theme="1"/>
        <rFont val="ＭＳ Ｐゴシック"/>
        <family val="3"/>
        <charset val="128"/>
        <scheme val="minor"/>
      </rPr>
      <t>拉依木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</si>
  <si>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米酒; 葡萄酒; 朗姆酒; 开胃酒</t>
    </r>
  </si>
  <si>
    <t>WILD FIELD</t>
  </si>
  <si>
    <t>深圳市亭竹健康管理有限公司</t>
  </si>
  <si>
    <t>果酒（含酒精）</t>
  </si>
  <si>
    <r>
      <t>天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川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</si>
  <si>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合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</si>
  <si>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露酒; 果酒; 高粱酒</t>
    </r>
  </si>
  <si>
    <r>
      <t>上海我店网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</si>
  <si>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薄荷酒; 开胃酒; 威士忌; 葡萄酒; 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</si>
  <si>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BE CAPY</t>
  </si>
  <si>
    <r>
      <t>内蒙古蒙牛乳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）股份有限公司</t>
    </r>
  </si>
  <si>
    <r>
      <t>果酒（含酒精）;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咖啡利口酒;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含奶油利口酒;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梅酒;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</si>
  <si>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>ONLY I HAVE 希美</t>
    </r>
    <r>
      <rPr>
        <sz val="11"/>
        <color theme="1"/>
        <rFont val="ＭＳ Ｐゴシック"/>
        <family val="3"/>
        <charset val="134"/>
        <scheme val="minor"/>
      </rPr>
      <t>树</t>
    </r>
  </si>
  <si>
    <t>三木（广州）生物科技有限公司</t>
  </si>
  <si>
    <r>
      <t xml:space="preserve">茴香酒（利口酒）; 薄荷酒; 食用酒精;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蜂蜜酒;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</si>
  <si>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舜庄王子酒</t>
  </si>
  <si>
    <t>刘治国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</si>
  <si>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食用酒精; 白酒;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黄酒; 白干酒（中国白酒）</t>
    </r>
  </si>
  <si>
    <t>幸福悦梅</t>
  </si>
  <si>
    <r>
      <t>四川省佳冠酒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</si>
  <si>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白酒; 葡萄酒; 利口酒; 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</si>
  <si>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t>幸福云梅</t>
  </si>
  <si>
    <r>
      <t xml:space="preserve">葡萄酒; 利口酒;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梅酒;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果酒（含酒精）;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</si>
  <si>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有露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</si>
  <si>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瓶子星球酒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</si>
  <si>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高粱酒;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</si>
  <si>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r>
      <t>轻</t>
    </r>
    <r>
      <rPr>
        <sz val="11"/>
        <color theme="1"/>
        <rFont val="ＭＳ Ｐゴシック"/>
        <family val="3"/>
        <charset val="128"/>
        <scheme val="minor"/>
      </rPr>
      <t>口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</si>
  <si>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</si>
  <si>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小</t>
    </r>
    <r>
      <rPr>
        <sz val="11"/>
        <color theme="1"/>
        <rFont val="ＭＳ Ｐゴシック"/>
        <family val="3"/>
        <charset val="134"/>
        <scheme val="minor"/>
      </rPr>
      <t>约</t>
    </r>
    <r>
      <rPr>
        <sz val="11"/>
        <color theme="1"/>
        <rFont val="ＭＳ Ｐゴシック"/>
        <family val="3"/>
        <charset val="128"/>
        <scheme val="minor"/>
      </rPr>
      <t>在冬季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</si>
  <si>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高粱酒</t>
    </r>
  </si>
  <si>
    <r>
      <t>清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馆</t>
    </r>
  </si>
  <si>
    <r>
      <t xml:space="preserve">米酒;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</si>
  <si>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思考</t>
    </r>
    <r>
      <rPr>
        <sz val="11"/>
        <color theme="1"/>
        <rFont val="ＭＳ Ｐゴシック"/>
        <family val="3"/>
        <charset val="134"/>
        <scheme val="minor"/>
      </rPr>
      <t>时间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</si>
  <si>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高粱酒;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</si>
  <si>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r>
      <t xml:space="preserve">CONTACT 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系</t>
    </r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</si>
  <si>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高粱酒; 葡萄酒; 白酒</t>
    </r>
  </si>
  <si>
    <r>
      <t>西</t>
    </r>
    <r>
      <rPr>
        <sz val="11"/>
        <color theme="1"/>
        <rFont val="ＭＳ Ｐゴシック"/>
        <family val="3"/>
        <charset val="134"/>
        <scheme val="minor"/>
      </rPr>
      <t>桥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</si>
  <si>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高粱酒;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葡萄酒</t>
    </r>
  </si>
  <si>
    <r>
      <t>渝江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</si>
  <si>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威士忌;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</si>
  <si>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召</t>
    </r>
    <r>
      <rPr>
        <sz val="11"/>
        <color theme="1"/>
        <rFont val="ＭＳ Ｐゴシック"/>
        <family val="3"/>
        <charset val="134"/>
        <scheme val="minor"/>
      </rPr>
      <t>唤</t>
    </r>
    <r>
      <rPr>
        <sz val="11"/>
        <color theme="1"/>
        <rFont val="ＭＳ Ｐゴシック"/>
        <family val="3"/>
        <charset val="128"/>
        <scheme val="minor"/>
      </rPr>
      <t>之</t>
    </r>
    <r>
      <rPr>
        <sz val="11"/>
        <color theme="1"/>
        <rFont val="ＭＳ Ｐゴシック"/>
        <family val="3"/>
        <charset val="134"/>
        <scheme val="minor"/>
      </rPr>
      <t>饮</t>
    </r>
  </si>
  <si>
    <r>
      <t xml:space="preserve">白酒;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</si>
  <si>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清富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</si>
  <si>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高粱酒; 果酒（含酒精）; 葡萄酒; 威士忌; 白酒</t>
    </r>
  </si>
  <si>
    <t>天生自由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</si>
  <si>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</si>
  <si>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陶石泉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</si>
  <si>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高粱酒; 葡萄酒; 威士忌</t>
    </r>
  </si>
  <si>
    <r>
      <t>小</t>
    </r>
    <r>
      <rPr>
        <sz val="11"/>
        <color theme="1"/>
        <rFont val="ＭＳ Ｐゴシック"/>
        <family val="3"/>
        <charset val="134"/>
        <scheme val="minor"/>
      </rPr>
      <t>闲</t>
    </r>
    <r>
      <rPr>
        <sz val="11"/>
        <color theme="1"/>
        <rFont val="ＭＳ Ｐゴシック"/>
        <family val="3"/>
        <charset val="128"/>
        <scheme val="minor"/>
      </rPr>
      <t>小趣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</si>
  <si>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米酒; 果酒（含酒精）;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</si>
  <si>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倒TOU小LI李</t>
  </si>
  <si>
    <t>李浩</t>
  </si>
  <si>
    <r>
      <t xml:space="preserve">葡萄酒; 米酒; 高粱酒; 黄酒; 清酒;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</si>
  <si>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t>松都白干</t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</si>
  <si>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江松都酒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</si>
  <si>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食用酒精;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米酒; 清酒; 松叶酒</t>
    </r>
  </si>
  <si>
    <r>
      <t>广州裕泰盛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色食品科技有限公司</t>
    </r>
  </si>
  <si>
    <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含酒精的气泡水; 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</si>
  <si>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鹏</t>
    </r>
    <r>
      <rPr>
        <sz val="11"/>
        <color theme="1"/>
        <rFont val="ＭＳ Ｐゴシック"/>
        <family val="3"/>
        <charset val="128"/>
        <scheme val="minor"/>
      </rPr>
      <t>山青云</t>
    </r>
  </si>
  <si>
    <r>
      <t>平南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大</t>
    </r>
    <r>
      <rPr>
        <sz val="11"/>
        <color theme="1"/>
        <rFont val="ＭＳ Ｐゴシック"/>
        <family val="3"/>
        <charset val="134"/>
        <scheme val="minor"/>
      </rPr>
      <t>鹏镇</t>
    </r>
    <r>
      <rPr>
        <sz val="11"/>
        <color theme="1"/>
        <rFont val="ＭＳ Ｐゴシック"/>
        <family val="3"/>
        <charset val="128"/>
        <scheme val="minor"/>
      </rPr>
      <t>高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村股份</t>
    </r>
    <r>
      <rPr>
        <sz val="11"/>
        <color theme="1"/>
        <rFont val="ＭＳ Ｐゴシック"/>
        <family val="3"/>
        <charset val="134"/>
        <scheme val="minor"/>
      </rPr>
      <t>经济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</si>
  <si>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黄酒; 利口酒</t>
    </r>
  </si>
  <si>
    <r>
      <t>浩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奇小</t>
    </r>
    <r>
      <rPr>
        <sz val="11"/>
        <color theme="1"/>
        <rFont val="ＭＳ Ｐゴシック"/>
        <family val="3"/>
        <charset val="134"/>
        <scheme val="minor"/>
      </rPr>
      <t>烧</t>
    </r>
  </si>
  <si>
    <r>
      <t>北京立盛源二</t>
    </r>
    <r>
      <rPr>
        <sz val="11"/>
        <color theme="1"/>
        <rFont val="ＭＳ Ｐゴシック"/>
        <family val="3"/>
        <charset val="134"/>
        <scheme val="minor"/>
      </rPr>
      <t>锅头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</si>
  <si>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</t>
    </r>
  </si>
  <si>
    <t>JOSHY WINE</t>
  </si>
  <si>
    <r>
      <t>四川梵悦城文化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</si>
  <si>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>餐后酒（利口酒和烈酒）;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酸酒（低等葡萄酒）;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</si>
  <si>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潘玉麟</t>
  </si>
  <si>
    <r>
      <t>杭州邦泰餐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</si>
  <si>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</si>
  <si>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鹿</t>
    </r>
    <r>
      <rPr>
        <sz val="11"/>
        <color theme="1"/>
        <rFont val="ＭＳ Ｐゴシック"/>
        <family val="3"/>
        <charset val="134"/>
        <scheme val="minor"/>
      </rPr>
      <t>轩阁</t>
    </r>
  </si>
  <si>
    <r>
      <t>刘一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</si>
  <si>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薄荷酒; 葡萄酒; 食用酒精; 果酒（含酒精）;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</si>
  <si>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春舂舂</t>
  </si>
  <si>
    <t>云南傣爽食品有限公司</t>
  </si>
  <si>
    <t>葡萄酒; 米酒; 白酒; 果酒（含酒精）; 黄酒</t>
  </si>
  <si>
    <r>
      <t>简</t>
    </r>
    <r>
      <rPr>
        <sz val="11"/>
        <color theme="1"/>
        <rFont val="ＭＳ Ｐゴシック"/>
        <family val="3"/>
        <charset val="128"/>
        <scheme val="minor"/>
      </rPr>
      <t>美康</t>
    </r>
  </si>
  <si>
    <r>
      <t>赣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简</t>
    </r>
    <r>
      <rPr>
        <sz val="11"/>
        <color theme="1"/>
        <rFont val="ＭＳ Ｐゴシック"/>
        <family val="3"/>
        <charset val="128"/>
        <scheme val="minor"/>
      </rPr>
      <t>美康运</t>
    </r>
    <r>
      <rPr>
        <sz val="11"/>
        <color theme="1"/>
        <rFont val="ＭＳ Ｐゴシック"/>
        <family val="3"/>
        <charset val="134"/>
        <scheme val="minor"/>
      </rPr>
      <t>动</t>
    </r>
    <r>
      <rPr>
        <sz val="11"/>
        <color theme="1"/>
        <rFont val="ＭＳ Ｐゴシック"/>
        <family val="3"/>
        <charset val="128"/>
        <scheme val="minor"/>
      </rPr>
      <t>用品有限公司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</si>
  <si>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威士忌;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</si>
  <si>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横八科技（北京）有限公司</t>
  </si>
  <si>
    <r>
      <t xml:space="preserve">食用酒精; 白酒; 清酒（日本米酒）; 黄酒; 日式甜米酒;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</t>
    </r>
  </si>
  <si>
    <r>
      <t>京千里二</t>
    </r>
    <r>
      <rPr>
        <sz val="11"/>
        <color theme="1"/>
        <rFont val="ＭＳ Ｐゴシック"/>
        <family val="3"/>
        <charset val="134"/>
        <scheme val="minor"/>
      </rPr>
      <t>锅头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</si>
  <si>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冬青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</si>
  <si>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威士忌;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</si>
  <si>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HANNAY WINE</t>
  </si>
  <si>
    <r>
      <t>广州高雅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</si>
  <si>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米酒; 开胃酒</t>
    </r>
  </si>
  <si>
    <t>筱丹米酒</t>
  </si>
  <si>
    <t>徐丹</t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</si>
  <si>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清酒（日本米酒）;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格利酒（朝</t>
    </r>
    <r>
      <rPr>
        <sz val="11"/>
        <color theme="1"/>
        <rFont val="ＭＳ Ｐゴシック"/>
        <family val="3"/>
        <charset val="134"/>
        <scheme val="minor"/>
      </rPr>
      <t>鲜传统</t>
    </r>
    <r>
      <rPr>
        <sz val="11"/>
        <color theme="1"/>
        <rFont val="ＭＳ Ｐゴシック"/>
        <family val="3"/>
        <charset val="128"/>
        <scheme val="minor"/>
      </rPr>
      <t>米酒）</t>
    </r>
  </si>
  <si>
    <t>黔曰</t>
  </si>
  <si>
    <r>
      <t>张</t>
    </r>
    <r>
      <rPr>
        <sz val="11"/>
        <color theme="1"/>
        <rFont val="ＭＳ Ｐゴシック"/>
        <family val="3"/>
        <charset val="128"/>
        <scheme val="minor"/>
      </rPr>
      <t>可可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</si>
  <si>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开胃酒; 果酒（含酒精）; 烈酒;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黄酒</t>
    </r>
  </si>
  <si>
    <r>
      <t>铭</t>
    </r>
    <r>
      <rPr>
        <sz val="11"/>
        <color theme="1"/>
        <rFont val="ＭＳ Ｐゴシック"/>
        <family val="3"/>
        <charset val="128"/>
        <scheme val="minor"/>
      </rPr>
      <t>科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</si>
  <si>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市永川区</t>
    </r>
    <r>
      <rPr>
        <sz val="11"/>
        <color theme="1"/>
        <rFont val="ＭＳ Ｐゴシック"/>
        <family val="3"/>
        <charset val="134"/>
        <scheme val="minor"/>
      </rPr>
      <t>铭</t>
    </r>
    <r>
      <rPr>
        <sz val="11"/>
        <color theme="1"/>
        <rFont val="ＭＳ Ｐゴシック"/>
        <family val="3"/>
        <charset val="128"/>
        <scheme val="minor"/>
      </rPr>
      <t>科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机服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股份合作社</t>
    </r>
  </si>
  <si>
    <r>
      <t xml:space="preserve">甜酒;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</t>
    </r>
  </si>
  <si>
    <t>LLH</t>
  </si>
  <si>
    <r>
      <t>宁夏粒粒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</si>
  <si>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枸杞酒; 果酒</t>
    </r>
  </si>
  <si>
    <r>
      <t>骛</t>
    </r>
    <r>
      <rPr>
        <sz val="11"/>
        <color theme="1"/>
        <rFont val="ＭＳ Ｐゴシック"/>
        <family val="3"/>
        <charset val="128"/>
        <scheme val="minor"/>
      </rPr>
      <t>稻者 RICE STRIVER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</si>
  <si>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骛</t>
    </r>
    <r>
      <rPr>
        <sz val="11"/>
        <color theme="1"/>
        <rFont val="ＭＳ Ｐゴシック"/>
        <family val="3"/>
        <charset val="128"/>
        <scheme val="minor"/>
      </rPr>
      <t>稻者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</si>
  <si>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葡萄酒; 高粱酒; 果酒（含酒精）</t>
    </r>
  </si>
  <si>
    <t>寿极草</t>
  </si>
  <si>
    <r>
      <t>京都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寿堂品牌管理（石家庄）合伙企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（有限合伙）</t>
    </r>
  </si>
  <si>
    <r>
      <t>伏特加酒; 黄酒;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清酒; 威士忌;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青稞酒</t>
    </r>
  </si>
  <si>
    <t>幺零公社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</si>
  <si>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西地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跳</t>
    </r>
    <r>
      <rPr>
        <sz val="11"/>
        <color theme="1"/>
        <rFont val="ＭＳ Ｐゴシック"/>
        <family val="3"/>
        <charset val="134"/>
        <scheme val="minor"/>
      </rPr>
      <t>跃电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</si>
  <si>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食用酒精;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米酒; 果酒（含酒精）; 伏特加酒; 黄酒</t>
    </r>
  </si>
  <si>
    <r>
      <t>宜</t>
    </r>
    <r>
      <rPr>
        <sz val="11"/>
        <color theme="1"/>
        <rFont val="ＭＳ Ｐゴシック"/>
        <family val="3"/>
        <charset val="134"/>
        <scheme val="minor"/>
      </rPr>
      <t>畅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</si>
  <si>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清文</t>
    </r>
  </si>
  <si>
    <r>
      <t>白酒; 青稞酒;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</si>
  <si>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丹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高粱</t>
    </r>
  </si>
  <si>
    <r>
      <t>亚</t>
    </r>
    <r>
      <rPr>
        <sz val="11"/>
        <color theme="1"/>
        <rFont val="ＭＳ Ｐゴシック"/>
        <family val="3"/>
        <charset val="128"/>
        <scheme val="minor"/>
      </rPr>
      <t>洲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酒（厦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</si>
  <si>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 xml:space="preserve">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高粱酒;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</si>
  <si>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r>
      <t>荆</t>
    </r>
    <r>
      <rPr>
        <sz val="11"/>
        <color theme="1"/>
        <rFont val="ＭＳ Ｐゴシック"/>
        <family val="3"/>
        <charset val="128"/>
        <scheme val="minor"/>
      </rPr>
      <t>生</t>
    </r>
    <r>
      <rPr>
        <sz val="11"/>
        <color theme="1"/>
        <rFont val="ＭＳ Ｐゴシック"/>
        <family val="3"/>
        <charset val="134"/>
        <scheme val="minor"/>
      </rPr>
      <t>荆</t>
    </r>
    <r>
      <rPr>
        <sz val="11"/>
        <color theme="1"/>
        <rFont val="ＭＳ Ｐゴシック"/>
        <family val="3"/>
        <charset val="128"/>
        <scheme val="minor"/>
      </rPr>
      <t>世</t>
    </r>
  </si>
  <si>
    <t>唐勇</t>
  </si>
  <si>
    <t>葡萄酒; 米酒; 黄酒; 白酒; 果酒（含酒精）</t>
  </si>
  <si>
    <r>
      <t>庆</t>
    </r>
    <r>
      <rPr>
        <sz val="11"/>
        <color theme="1"/>
        <rFont val="ＭＳ Ｐゴシック"/>
        <family val="3"/>
        <charset val="128"/>
        <scheme val="minor"/>
      </rPr>
      <t>成恭</t>
    </r>
  </si>
  <si>
    <r>
      <t>宋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</si>
  <si>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>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伏特加酒; 威士忌;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葡萄酒</t>
    </r>
  </si>
  <si>
    <r>
      <t>阿克古哈</t>
    </r>
    <r>
      <rPr>
        <sz val="11"/>
        <color theme="1"/>
        <rFont val="ＭＳ Ｐゴシック"/>
        <family val="3"/>
        <charset val="134"/>
        <scheme val="minor"/>
      </rPr>
      <t>尔</t>
    </r>
  </si>
  <si>
    <r>
      <t>艾孜</t>
    </r>
    <r>
      <rPr>
        <sz val="11"/>
        <color theme="1"/>
        <rFont val="ＭＳ Ｐゴシック"/>
        <family val="3"/>
        <charset val="134"/>
        <scheme val="minor"/>
      </rPr>
      <t>则</t>
    </r>
    <r>
      <rPr>
        <sz val="11"/>
        <color theme="1"/>
        <rFont val="ＭＳ Ｐゴシック"/>
        <family val="3"/>
        <charset val="128"/>
        <scheme val="minor"/>
      </rPr>
      <t>·塞麦提</t>
    </r>
  </si>
  <si>
    <r>
      <t>苹果酒; 五加皮酒（中国混合烈酒）;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餐后酒（利口酒和烈酒）;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甜果酒</t>
    </r>
  </si>
  <si>
    <r>
      <t>润华</t>
    </r>
    <r>
      <rPr>
        <sz val="11"/>
        <color theme="1"/>
        <rFont val="ＭＳ Ｐゴシック"/>
        <family val="3"/>
        <charset val="128"/>
        <scheme val="minor"/>
      </rPr>
      <t>心</t>
    </r>
  </si>
  <si>
    <r>
      <t>梅州市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心食品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</si>
  <si>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蜂蜜酒;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</si>
  <si>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t>FABLOOX</t>
  </si>
  <si>
    <r>
      <t>南京馥碧</t>
    </r>
    <r>
      <rPr>
        <sz val="11"/>
        <color theme="1"/>
        <rFont val="ＭＳ Ｐゴシック"/>
        <family val="3"/>
        <charset val="134"/>
        <scheme val="minor"/>
      </rPr>
      <t>诗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</si>
  <si>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利口酒; 清酒（日本米酒）; 苹果酒;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开胃酒</t>
    </r>
  </si>
  <si>
    <t>TARSIUS</t>
  </si>
  <si>
    <r>
      <t>瀛乾邦投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控股（海南）有限公司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</si>
  <si>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</si>
  <si>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三豚米</t>
  </si>
  <si>
    <r>
      <t>三豚米(无</t>
    </r>
    <r>
      <rPr>
        <sz val="11"/>
        <color theme="1"/>
        <rFont val="ＭＳ Ｐゴシック"/>
        <family val="3"/>
        <charset val="134"/>
        <scheme val="minor"/>
      </rPr>
      <t>锡</t>
    </r>
    <r>
      <rPr>
        <sz val="11"/>
        <color theme="1"/>
        <rFont val="ＭＳ Ｐゴシック"/>
        <family val="3"/>
        <charset val="128"/>
        <scheme val="minor"/>
      </rPr>
      <t>)数字科技有限公司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</si>
  <si>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开胃酒; 威士忌; 黄酒</t>
    </r>
  </si>
  <si>
    <t>茗仙茶韵</t>
  </si>
  <si>
    <r>
      <t>福建开心网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</si>
  <si>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佐餐酒; 米酒;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甜酒;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</si>
  <si>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灿</t>
    </r>
    <r>
      <rPr>
        <sz val="11"/>
        <color theme="1"/>
        <rFont val="ＭＳ Ｐゴシック"/>
        <family val="3"/>
        <charset val="128"/>
        <scheme val="minor"/>
      </rPr>
      <t>若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</si>
  <si>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庆腾</t>
    </r>
    <r>
      <rPr>
        <sz val="11"/>
        <color theme="1"/>
        <rFont val="ＭＳ Ｐゴシック"/>
        <family val="3"/>
        <charset val="128"/>
        <scheme val="minor"/>
      </rPr>
      <t>蛟文化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</si>
  <si>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甜果酒; 果酒（含酒精）; 烈酒;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梅酒;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青梅酒; 甜酒</t>
    </r>
  </si>
  <si>
    <r>
      <t>深圳市金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通</t>
    </r>
    <r>
      <rPr>
        <sz val="11"/>
        <color theme="1"/>
        <rFont val="ＭＳ Ｐゴシック"/>
        <family val="3"/>
        <charset val="134"/>
        <scheme val="minor"/>
      </rPr>
      <t>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</si>
  <si>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清酒（日本米酒）;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白酒; 果酒（含酒精）; 葡萄酒; 威士忌</t>
    </r>
  </si>
  <si>
    <t>武聚</t>
  </si>
  <si>
    <r>
      <t>河南豫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晨光科技有限公司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</si>
  <si>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甜酒; 日本波布蛇酒; 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日本松</t>
    </r>
    <r>
      <rPr>
        <sz val="11"/>
        <color theme="1"/>
        <rFont val="ＭＳ Ｐゴシック"/>
        <family val="3"/>
        <charset val="134"/>
        <scheme val="minor"/>
      </rPr>
      <t>针</t>
    </r>
    <r>
      <rPr>
        <sz val="11"/>
        <color theme="1"/>
        <rFont val="ＭＳ Ｐゴシック"/>
        <family val="3"/>
        <charset val="128"/>
        <scheme val="minor"/>
      </rPr>
      <t>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果酒</t>
    </r>
  </si>
  <si>
    <t>主人翁</t>
  </si>
  <si>
    <t>李朝俊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</si>
  <si>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果酒; 米酒; 黄酒; 白酒; 白干酒（中国白酒）; 清酒;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</si>
  <si>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求</t>
    </r>
    <r>
      <rPr>
        <sz val="11"/>
        <color theme="1"/>
        <rFont val="ＭＳ Ｐゴシック"/>
        <family val="3"/>
        <charset val="134"/>
        <scheme val="minor"/>
      </rPr>
      <t>败</t>
    </r>
  </si>
  <si>
    <t>黄金星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</si>
  <si>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</si>
  <si>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MIGHELGEZA 千种葛扎</t>
  </si>
  <si>
    <r>
      <t>图尔荪</t>
    </r>
    <r>
      <rPr>
        <sz val="11"/>
        <color theme="1"/>
        <rFont val="ＭＳ Ｐゴシック"/>
        <family val="3"/>
        <charset val="128"/>
        <scheme val="minor"/>
      </rPr>
      <t>江·巴拉提</t>
    </r>
  </si>
  <si>
    <r>
      <t>薄荷酒;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苹果酒; 茴香酒（利口酒）; 茴芹酒（利口酒）; 开胃酒;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苦味酒</t>
    </r>
  </si>
  <si>
    <r>
      <t>康</t>
    </r>
    <r>
      <rPr>
        <sz val="11"/>
        <color theme="1"/>
        <rFont val="ＭＳ Ｐゴシック"/>
        <family val="3"/>
        <charset val="134"/>
        <scheme val="minor"/>
      </rPr>
      <t>贝</t>
    </r>
    <r>
      <rPr>
        <sz val="11"/>
        <color theme="1"/>
        <rFont val="ＭＳ Ｐゴシック"/>
        <family val="3"/>
        <charset val="128"/>
        <scheme val="minor"/>
      </rPr>
      <t>蒂</t>
    </r>
  </si>
  <si>
    <r>
      <t>福建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灵科技有限公司</t>
    </r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</si>
  <si>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白酒; 果酒（含酒精）;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</t>
    </r>
  </si>
  <si>
    <r>
      <t>深圳市午正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分企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</si>
  <si>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t>米酒; 果酒</t>
  </si>
  <si>
    <t>I GIN</t>
  </si>
  <si>
    <r>
      <t>果酒（含酒精）; 白酒;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杜松子酒;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米酒</t>
    </r>
  </si>
  <si>
    <r>
      <t>北京蜜莱</t>
    </r>
    <r>
      <rPr>
        <sz val="11"/>
        <color theme="1"/>
        <rFont val="ＭＳ Ｐゴシック"/>
        <family val="3"/>
        <charset val="134"/>
        <scheme val="minor"/>
      </rPr>
      <t>坞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</si>
  <si>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</si>
  <si>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念一生</t>
  </si>
  <si>
    <r>
      <t>浙江</t>
    </r>
    <r>
      <rPr>
        <sz val="11"/>
        <color theme="1"/>
        <rFont val="ＭＳ Ｐゴシック"/>
        <family val="3"/>
        <charset val="129"/>
        <scheme val="minor"/>
      </rPr>
      <t>朵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家居股份有限公司</t>
    </r>
  </si>
  <si>
    <r>
      <t>米酒;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</si>
  <si>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t>SZSN</t>
  </si>
  <si>
    <r>
      <t>济</t>
    </r>
    <r>
      <rPr>
        <sz val="11"/>
        <color theme="1"/>
        <rFont val="ＭＳ Ｐゴシック"/>
        <family val="3"/>
        <charset val="128"/>
        <scheme val="minor"/>
      </rPr>
      <t>南自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</si>
  <si>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米酒; 白酒;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黄酒; 甜酒; 朗姆酒; 果酒; 含酒精的气泡水</t>
    </r>
  </si>
  <si>
    <r>
      <t>艾</t>
    </r>
    <r>
      <rPr>
        <sz val="11"/>
        <color theme="1"/>
        <rFont val="ＭＳ Ｐゴシック"/>
        <family val="3"/>
        <charset val="134"/>
        <scheme val="minor"/>
      </rPr>
      <t>泽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</si>
  <si>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春琴</t>
    </r>
  </si>
  <si>
    <t>苦艾酒</t>
  </si>
  <si>
    <r>
      <t>冷</t>
    </r>
    <r>
      <rPr>
        <sz val="11"/>
        <color theme="1"/>
        <rFont val="ＭＳ Ｐゴシック"/>
        <family val="3"/>
        <charset val="134"/>
        <scheme val="minor"/>
      </rPr>
      <t>谦</t>
    </r>
    <r>
      <rPr>
        <sz val="11"/>
        <color theme="1"/>
        <rFont val="ＭＳ Ｐゴシック"/>
        <family val="3"/>
        <charset val="128"/>
        <scheme val="minor"/>
      </rPr>
      <t>仙人</t>
    </r>
  </si>
  <si>
    <r>
      <t>北京周公百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</si>
  <si>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白酒</t>
    </r>
  </si>
  <si>
    <t>搜山造米</t>
  </si>
  <si>
    <r>
      <t>四川搜山造米餐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</si>
  <si>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白酒; 朗姆酒; 果酒（含酒精）; 蜂蜜酒;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食用酒精; 汽酒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</si>
  <si>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珍</t>
    </r>
  </si>
  <si>
    <t>李璐</t>
  </si>
  <si>
    <r>
      <t>高粱酒; 葡萄酒; 米酒; 青稞酒; 露酒;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</t>
    </r>
  </si>
  <si>
    <r>
      <t>优</t>
    </r>
    <r>
      <rPr>
        <sz val="11"/>
        <color theme="1"/>
        <rFont val="ＭＳ Ｐゴシック"/>
        <family val="3"/>
        <charset val="128"/>
        <scheme val="minor"/>
      </rPr>
      <t>者</t>
    </r>
  </si>
  <si>
    <t>万茗堂有限公司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</si>
  <si>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茴香酒（利口酒）;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</si>
  <si>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清梅</t>
    </r>
  </si>
  <si>
    <t>吴雪平</t>
  </si>
  <si>
    <r>
      <t xml:space="preserve">葡萄酒; 麦芽威士忌; 清酒; 白酒; 青梅酒; 露酒; 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梅酒; 汽酒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</si>
  <si>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茴香酒（利口酒）;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</si>
  <si>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京庸二</t>
    </r>
    <r>
      <rPr>
        <sz val="11"/>
        <color theme="1"/>
        <rFont val="ＭＳ Ｐゴシック"/>
        <family val="3"/>
        <charset val="134"/>
        <scheme val="minor"/>
      </rPr>
      <t>锅头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</si>
  <si>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金牛酒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</si>
  <si>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黄酒; 开胃酒;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</si>
  <si>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帕米</t>
    </r>
    <r>
      <rPr>
        <sz val="11"/>
        <color theme="1"/>
        <rFont val="ＭＳ Ｐゴシック"/>
        <family val="3"/>
        <charset val="134"/>
        <scheme val="minor"/>
      </rPr>
      <t>尔</t>
    </r>
  </si>
  <si>
    <t>白生兵</t>
  </si>
  <si>
    <r>
      <t>水果汽酒; 佐餐酒;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米酒; 果酒; 甜酒; 食用酒精</t>
    </r>
  </si>
  <si>
    <t>CCEECE</t>
  </si>
  <si>
    <r>
      <t>宁波市中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欧博</t>
    </r>
    <r>
      <rPr>
        <sz val="11"/>
        <color theme="1"/>
        <rFont val="ＭＳ Ｐゴシック"/>
        <family val="3"/>
        <charset val="134"/>
        <scheme val="minor"/>
      </rPr>
      <t>览</t>
    </r>
    <r>
      <rPr>
        <sz val="11"/>
        <color theme="1"/>
        <rFont val="ＭＳ Ｐゴシック"/>
        <family val="3"/>
        <charset val="128"/>
        <scheme val="minor"/>
      </rPr>
      <t>与合作促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中心（宁波市商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研究中心）</t>
    </r>
  </si>
  <si>
    <r>
      <t>葡萄酒; 黄酒; 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食用酒精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</si>
  <si>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都 酒</t>
    </r>
  </si>
  <si>
    <r>
      <t>邯</t>
    </r>
    <r>
      <rPr>
        <sz val="11"/>
        <color theme="1"/>
        <rFont val="ＭＳ Ｐゴシック"/>
        <family val="3"/>
        <charset val="134"/>
        <scheme val="minor"/>
      </rPr>
      <t>郸</t>
    </r>
    <r>
      <rPr>
        <sz val="11"/>
        <color theme="1"/>
        <rFont val="ＭＳ Ｐゴシック"/>
        <family val="3"/>
        <charset val="128"/>
        <scheme val="minor"/>
      </rPr>
      <t>酒道酒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</si>
  <si>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梨酒;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</si>
  <si>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皇瑰清酒</t>
  </si>
  <si>
    <r>
      <t>西安七立酒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</si>
  <si>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食用酒精;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</si>
  <si>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皇瑰米酒</t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</si>
  <si>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日式甜米酒;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</si>
  <si>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皇瑰米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</si>
  <si>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日式甜米酒;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</si>
  <si>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冰冰有米</t>
  </si>
  <si>
    <t>刘明虎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</si>
  <si>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清酒（日本米酒）; 白酒; 汽酒; 草莓酒;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</si>
  <si>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柏菲堡威士忌</t>
  </si>
  <si>
    <r>
      <t>酒香网（上海）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</si>
  <si>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青稞酒; 黄酒; 高粱酒; 清酒; 威士忌; 汽酒; 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</si>
  <si>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檀台御檀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</si>
  <si>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州檀台酒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</si>
  <si>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汽酒; 蒸煮提取物（利口酒和烈酒）;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葡萄酒; 威士忌; 清酒（日本米酒）;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</si>
  <si>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雾纳</t>
  </si>
  <si>
    <r>
      <t>崇</t>
    </r>
    <r>
      <rPr>
        <sz val="11"/>
        <color theme="1"/>
        <rFont val="ＭＳ Ｐゴシック"/>
        <family val="3"/>
        <charset val="134"/>
        <scheme val="minor"/>
      </rPr>
      <t>义县</t>
    </r>
    <r>
      <rPr>
        <sz val="11"/>
        <color theme="1"/>
        <rFont val="ＭＳ Ｐゴシック"/>
        <family val="3"/>
        <charset val="128"/>
        <scheme val="minor"/>
      </rPr>
      <t>鼎泓酒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</si>
  <si>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白干酒（中国白酒）;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麦芽威士忌</t>
    </r>
  </si>
  <si>
    <r>
      <t>农</t>
    </r>
    <r>
      <rPr>
        <sz val="11"/>
        <color theme="1"/>
        <rFont val="ＭＳ Ｐゴシック"/>
        <family val="3"/>
        <charset val="128"/>
        <scheme val="minor"/>
      </rPr>
      <t>谷晟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</si>
  <si>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湖北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谷晟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</si>
  <si>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青稞酒; 葡萄酒; 茴芹酒（利口酒）;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</si>
  <si>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份</t>
  </si>
  <si>
    <r>
      <t>白酒;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</si>
  <si>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麦芽威士忌;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白酒</t>
    </r>
  </si>
  <si>
    <t>叶桂号天士</t>
  </si>
  <si>
    <r>
      <t>国医康科技集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</si>
  <si>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黄酒; 葡萄酒; 白酒; 米酒;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</si>
  <si>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诸</t>
    </r>
    <r>
      <rPr>
        <sz val="11"/>
        <color theme="1"/>
        <rFont val="ＭＳ Ｐゴシック"/>
        <family val="3"/>
        <charset val="128"/>
        <scheme val="minor"/>
      </rPr>
      <t>葛道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</si>
  <si>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青稞酒; 白酒; 高粱酒; 黄酒; 米酒; 葡萄酒</t>
    </r>
  </si>
  <si>
    <t>帕傲</t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</si>
  <si>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代</t>
    </r>
    <r>
      <rPr>
        <sz val="11"/>
        <color theme="1"/>
        <rFont val="ＭＳ Ｐゴシック"/>
        <family val="3"/>
        <charset val="134"/>
        <scheme val="minor"/>
      </rPr>
      <t>觉</t>
    </r>
    <r>
      <rPr>
        <sz val="11"/>
        <color theme="1"/>
        <rFont val="ＭＳ Ｐゴシック"/>
        <family val="3"/>
        <charset val="128"/>
        <scheme val="minor"/>
      </rPr>
      <t>醒文化科技有限公司</t>
    </r>
  </si>
  <si>
    <r>
      <t>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餐后酒（利口酒和烈酒）;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薄荷酒; 茴芹酒（利口酒）; 茴香酒（利口酒）;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</si>
  <si>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哒哒</t>
    </r>
    <r>
      <rPr>
        <sz val="11"/>
        <color theme="1"/>
        <rFont val="ＭＳ Ｐゴシック"/>
        <family val="3"/>
        <charset val="128"/>
        <scheme val="minor"/>
      </rPr>
      <t>品</t>
    </r>
  </si>
  <si>
    <t>胡雪梅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</si>
  <si>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苹果酒; 蜂蜜酒; 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酸酒（低等葡萄酒）</t>
    </r>
  </si>
  <si>
    <r>
      <t>艾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希</t>
    </r>
    <r>
      <rPr>
        <sz val="11"/>
        <color theme="1"/>
        <rFont val="ＭＳ Ｐゴシック"/>
        <family val="3"/>
        <charset val="134"/>
        <scheme val="minor"/>
      </rPr>
      <t>尔</t>
    </r>
  </si>
  <si>
    <r>
      <t>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茴芹酒（利口酒）; 茴香酒（利口酒）;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</si>
  <si>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普莱</t>
    </r>
    <r>
      <rPr>
        <sz val="11"/>
        <color theme="1"/>
        <rFont val="ＭＳ Ｐゴシック"/>
        <family val="3"/>
        <charset val="134"/>
        <scheme val="minor"/>
      </rPr>
      <t>尔</t>
    </r>
  </si>
  <si>
    <r>
      <t>餐后酒（利口酒和烈酒）; 利口酒; 果酒（含酒精）; 茴香酒（利口酒）;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薄荷酒; 茴芹酒（利口酒）;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</si>
  <si>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草</t>
    </r>
    <r>
      <rPr>
        <sz val="11"/>
        <color theme="1"/>
        <rFont val="ＭＳ Ｐゴシック"/>
        <family val="3"/>
        <charset val="134"/>
        <scheme val="minor"/>
      </rPr>
      <t>头铺</t>
    </r>
    <r>
      <rPr>
        <sz val="11"/>
        <color theme="1"/>
        <rFont val="ＭＳ Ｐゴシック"/>
        <family val="3"/>
        <charset val="128"/>
        <scheme val="minor"/>
      </rPr>
      <t>子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</si>
  <si>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政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</si>
  <si>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 xml:space="preserve">米酒; 果酒;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汽酒; 露酒;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</si>
  <si>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上中尚</t>
  </si>
  <si>
    <r>
      <t>濮阳市和</t>
    </r>
    <r>
      <rPr>
        <sz val="11"/>
        <color theme="1"/>
        <rFont val="ＭＳ Ｐゴシック"/>
        <family val="3"/>
        <charset val="134"/>
        <scheme val="minor"/>
      </rPr>
      <t>缘轩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</si>
  <si>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葡萄酒</t>
    </r>
  </si>
  <si>
    <r>
      <t>光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老周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</si>
  <si>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鸟</t>
    </r>
    <r>
      <rPr>
        <sz val="11"/>
        <color theme="1"/>
        <rFont val="ＭＳ Ｐゴシック"/>
        <family val="3"/>
        <charset val="128"/>
        <scheme val="minor"/>
      </rPr>
      <t>人</t>
    </r>
    <r>
      <rPr>
        <sz val="11"/>
        <color theme="1"/>
        <rFont val="ＭＳ Ｐゴシック"/>
        <family val="3"/>
        <charset val="134"/>
        <scheme val="minor"/>
      </rPr>
      <t>艺术</t>
    </r>
    <r>
      <rPr>
        <sz val="11"/>
        <color theme="1"/>
        <rFont val="ＭＳ Ｐゴシック"/>
        <family val="3"/>
        <charset val="128"/>
        <scheme val="minor"/>
      </rPr>
      <t>推广有限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</si>
  <si>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苦味酒; 白酒;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清酒（日本米酒）;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青稞酒;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薄荷酒;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茴芹酒（利口酒）;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</t>
    </r>
  </si>
  <si>
    <t>伊魂</t>
  </si>
  <si>
    <r>
      <t>安徽九五至尊酒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</si>
  <si>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食用酒精; 开胃酒; 黄酒;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白酒</t>
    </r>
  </si>
  <si>
    <t>旺之礼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</si>
  <si>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宛香都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</si>
  <si>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黄酒</t>
    </r>
  </si>
  <si>
    <t>睢溪</t>
  </si>
  <si>
    <r>
      <t>安徽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喝酒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</si>
  <si>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白酒;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露酒; 果酒（含酒精）;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</si>
  <si>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仁</t>
    </r>
    <r>
      <rPr>
        <sz val="11"/>
        <color theme="1"/>
        <rFont val="ＭＳ Ｐゴシック"/>
        <family val="3"/>
        <charset val="134"/>
        <scheme val="minor"/>
      </rPr>
      <t>济</t>
    </r>
  </si>
  <si>
    <r>
      <t>成都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大</t>
    </r>
    <r>
      <rPr>
        <sz val="11"/>
        <color theme="1"/>
        <rFont val="ＭＳ Ｐゴシック"/>
        <family val="3"/>
        <charset val="134"/>
        <scheme val="minor"/>
      </rPr>
      <t>伟业</t>
    </r>
    <r>
      <rPr>
        <sz val="11"/>
        <color theme="1"/>
        <rFont val="ＭＳ Ｐゴシック"/>
        <family val="3"/>
        <charset val="128"/>
        <scheme val="minor"/>
      </rPr>
      <t>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</si>
  <si>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亿</t>
    </r>
    <r>
      <rPr>
        <sz val="11"/>
        <color theme="1"/>
        <rFont val="ＭＳ Ｐゴシック"/>
        <family val="3"/>
        <charset val="128"/>
        <scheme val="minor"/>
      </rPr>
      <t>通养元酒</t>
    </r>
  </si>
  <si>
    <r>
      <t>广州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通食品机械</t>
    </r>
    <r>
      <rPr>
        <sz val="11"/>
        <color theme="1"/>
        <rFont val="ＭＳ Ｐゴシック"/>
        <family val="3"/>
        <charset val="134"/>
        <scheme val="minor"/>
      </rPr>
      <t>设备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</si>
  <si>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蜂蜜酒;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</si>
  <si>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壹佳壹供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（</t>
    </r>
    <r>
      <rPr>
        <sz val="11"/>
        <color theme="1"/>
        <rFont val="ＭＳ Ｐゴシック"/>
        <family val="3"/>
        <charset val="134"/>
        <scheme val="minor"/>
      </rPr>
      <t>陕</t>
    </r>
    <r>
      <rPr>
        <sz val="11"/>
        <color theme="1"/>
        <rFont val="ＭＳ Ｐゴシック"/>
        <family val="3"/>
        <charset val="128"/>
        <scheme val="minor"/>
      </rPr>
      <t>西）股份有限公司</t>
    </r>
  </si>
  <si>
    <r>
      <t>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甜酒; 苹果酒;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白干酒（中国白酒）; 葡萄酒</t>
    </r>
  </si>
  <si>
    <r>
      <t>飞飞掼</t>
    </r>
    <r>
      <rPr>
        <sz val="11"/>
        <color theme="1"/>
        <rFont val="ＭＳ Ｐゴシック"/>
        <family val="3"/>
        <charset val="128"/>
        <scheme val="minor"/>
      </rPr>
      <t>蛋</t>
    </r>
  </si>
  <si>
    <r>
      <t>中青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食同源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养指</t>
    </r>
    <r>
      <rPr>
        <sz val="11"/>
        <color theme="1"/>
        <rFont val="ＭＳ Ｐゴシック"/>
        <family val="3"/>
        <charset val="134"/>
        <scheme val="minor"/>
      </rPr>
      <t>导</t>
    </r>
    <r>
      <rPr>
        <sz val="11"/>
        <color theme="1"/>
        <rFont val="ＭＳ Ｐゴシック"/>
        <family val="3"/>
        <charset val="128"/>
        <scheme val="minor"/>
      </rPr>
      <t>中心(海口)有限公司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</si>
  <si>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黄酒;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</t>
    </r>
  </si>
  <si>
    <t>存厚坊</t>
  </si>
  <si>
    <t>王亮</t>
  </si>
  <si>
    <r>
      <t xml:space="preserve">白干酒（中国白酒）;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葡萄酒</t>
    </r>
  </si>
  <si>
    <t>TOPOKKI</t>
  </si>
  <si>
    <r>
      <t>杭州向北</t>
    </r>
    <r>
      <rPr>
        <sz val="11"/>
        <color theme="1"/>
        <rFont val="ＭＳ Ｐゴシック"/>
        <family val="3"/>
        <charset val="134"/>
        <scheme val="minor"/>
      </rPr>
      <t>设计</t>
    </r>
    <r>
      <rPr>
        <sz val="11"/>
        <color theme="1"/>
        <rFont val="ＭＳ Ｐゴシック"/>
        <family val="3"/>
        <charset val="128"/>
        <scheme val="minor"/>
      </rPr>
      <t>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</si>
  <si>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</si>
  <si>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存厚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家</t>
    </r>
  </si>
  <si>
    <r>
      <t>开胃酒;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青稞酒;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</t>
    </r>
  </si>
  <si>
    <r>
      <t>维</t>
    </r>
    <r>
      <rPr>
        <sz val="11"/>
        <color theme="1"/>
        <rFont val="ＭＳ Ｐゴシック"/>
        <family val="3"/>
        <charset val="128"/>
        <scheme val="minor"/>
      </rPr>
      <t>可尼</t>
    </r>
  </si>
  <si>
    <r>
      <t>北京青昀集</t>
    </r>
    <r>
      <rPr>
        <sz val="11"/>
        <color theme="1"/>
        <rFont val="ＭＳ Ｐゴシック"/>
        <family val="3"/>
        <charset val="134"/>
        <scheme val="minor"/>
      </rPr>
      <t>荟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</si>
  <si>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佐餐酒; 蜂蜜酒; 薄荷酒; 葡萄酒; 白酒; 甜果酒; 米酒</t>
    </r>
  </si>
  <si>
    <r>
      <t>家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大</t>
    </r>
  </si>
  <si>
    <r>
      <t>广州市家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大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</si>
  <si>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</si>
  <si>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大世面</t>
  </si>
  <si>
    <r>
      <t xml:space="preserve">葡萄酒; 果酒（含酒精）;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</si>
  <si>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鄱湖晨</t>
    </r>
    <r>
      <rPr>
        <sz val="11"/>
        <color theme="1"/>
        <rFont val="ＭＳ Ｐゴシック"/>
        <family val="3"/>
        <charset val="134"/>
        <scheme val="minor"/>
      </rPr>
      <t>晖</t>
    </r>
    <r>
      <rPr>
        <sz val="11"/>
        <color theme="1"/>
        <rFont val="ＭＳ Ｐゴシック"/>
        <family val="3"/>
        <charset val="128"/>
        <scheme val="minor"/>
      </rPr>
      <t>敢酒</t>
    </r>
  </si>
  <si>
    <r>
      <t>九江市晨</t>
    </r>
    <r>
      <rPr>
        <sz val="11"/>
        <color theme="1"/>
        <rFont val="ＭＳ Ｐゴシック"/>
        <family val="3"/>
        <charset val="134"/>
        <scheme val="minor"/>
      </rPr>
      <t>晖农业发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</si>
  <si>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开胃酒; 米酒; 杜松子酒; 葡萄酒; 蜂蜜酒</t>
    </r>
  </si>
  <si>
    <r>
      <t>温</t>
    </r>
    <r>
      <rPr>
        <sz val="11"/>
        <color theme="1"/>
        <rFont val="ＭＳ Ｐゴシック"/>
        <family val="3"/>
        <charset val="134"/>
        <scheme val="minor"/>
      </rPr>
      <t>汤</t>
    </r>
    <r>
      <rPr>
        <sz val="11"/>
        <color theme="1"/>
        <rFont val="ＭＳ Ｐゴシック"/>
        <family val="3"/>
        <charset val="128"/>
        <scheme val="minor"/>
      </rPr>
      <t>佬</t>
    </r>
  </si>
  <si>
    <r>
      <t>江西温</t>
    </r>
    <r>
      <rPr>
        <sz val="11"/>
        <color theme="1"/>
        <rFont val="ＭＳ Ｐゴシック"/>
        <family val="3"/>
        <charset val="134"/>
        <scheme val="minor"/>
      </rPr>
      <t>汤</t>
    </r>
    <r>
      <rPr>
        <sz val="11"/>
        <color theme="1"/>
        <rFont val="ＭＳ Ｐゴシック"/>
        <family val="3"/>
        <charset val="128"/>
        <scheme val="minor"/>
      </rPr>
      <t>佬食品有限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</si>
  <si>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白酒; 葡萄酒; 黄酒;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</si>
  <si>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健秘芳</t>
  </si>
  <si>
    <r>
      <t>邓</t>
    </r>
    <r>
      <rPr>
        <sz val="11"/>
        <color theme="1"/>
        <rFont val="ＭＳ Ｐゴシック"/>
        <family val="3"/>
        <charset val="128"/>
        <scheme val="minor"/>
      </rPr>
      <t>超</t>
    </r>
  </si>
  <si>
    <t>白酒; 黄酒; 清酒; 果酒; 威士忌; 草本型利口酒; 米酒; 甜酒; 汽酒; 葡萄酒</t>
  </si>
  <si>
    <t>杏廷酒家</t>
  </si>
  <si>
    <r>
      <t>山西醉享清花酒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</si>
  <si>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烈酒; 葡萄酒; 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</si>
  <si>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新疆塞外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</si>
  <si>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果酒; 朗姆酒;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苹果酒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</si>
  <si>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朗姆酒; 米酒; 苹果酒</t>
    </r>
  </si>
  <si>
    <t>醫宗元御</t>
  </si>
  <si>
    <r>
      <t>潍</t>
    </r>
    <r>
      <rPr>
        <sz val="11"/>
        <color theme="1"/>
        <rFont val="ＭＳ Ｐゴシック"/>
        <family val="3"/>
        <charset val="128"/>
        <scheme val="minor"/>
      </rPr>
      <t>坊元御故里健康科技有限公司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</si>
  <si>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</si>
  <si>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QNXH</t>
  </si>
  <si>
    <r>
      <t>山西千年杏花酒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</si>
  <si>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露酒;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</t>
    </r>
  </si>
  <si>
    <t>油城墟</t>
  </si>
  <si>
    <r>
      <t>茂名市茂南区金塘</t>
    </r>
    <r>
      <rPr>
        <sz val="11"/>
        <color theme="1"/>
        <rFont val="ＭＳ Ｐゴシック"/>
        <family val="3"/>
        <charset val="134"/>
        <scheme val="minor"/>
      </rPr>
      <t>镇经济联</t>
    </r>
    <r>
      <rPr>
        <sz val="11"/>
        <color theme="1"/>
        <rFont val="ＭＳ Ｐゴシック"/>
        <family val="3"/>
        <charset val="128"/>
        <scheme val="minor"/>
      </rPr>
      <t>合</t>
    </r>
    <r>
      <rPr>
        <sz val="11"/>
        <color theme="1"/>
        <rFont val="ＭＳ Ｐゴシック"/>
        <family val="3"/>
        <charset val="134"/>
        <scheme val="minor"/>
      </rPr>
      <t>总</t>
    </r>
    <r>
      <rPr>
        <sz val="11"/>
        <color theme="1"/>
        <rFont val="ＭＳ Ｐゴシック"/>
        <family val="3"/>
        <charset val="128"/>
        <scheme val="minor"/>
      </rPr>
      <t>社</t>
    </r>
  </si>
  <si>
    <r>
      <t>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威士忌; 蜂蜜酒;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</si>
  <si>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吉福祥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</si>
  <si>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盛国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</si>
  <si>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苦味酒</t>
    </r>
  </si>
  <si>
    <t>见补</t>
  </si>
  <si>
    <r>
      <t>季炳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</si>
  <si>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葡萄酒;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烈酒; 甜酒; 蜂蜜酒; 米酒</t>
    </r>
  </si>
  <si>
    <r>
      <t>前冢子</t>
    </r>
    <r>
      <rPr>
        <sz val="11"/>
        <color theme="1"/>
        <rFont val="ＭＳ Ｐゴシック"/>
        <family val="3"/>
        <charset val="134"/>
        <scheme val="minor"/>
      </rPr>
      <t>头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</si>
  <si>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小孔成像影</t>
    </r>
    <r>
      <rPr>
        <sz val="11"/>
        <color theme="1"/>
        <rFont val="ＭＳ Ｐゴシック"/>
        <family val="3"/>
        <charset val="134"/>
        <scheme val="minor"/>
      </rPr>
      <t>视</t>
    </r>
    <r>
      <rPr>
        <sz val="11"/>
        <color theme="1"/>
        <rFont val="ＭＳ Ｐゴシック"/>
        <family val="3"/>
        <charset val="128"/>
        <scheme val="minor"/>
      </rPr>
      <t>文化有限公司</t>
    </r>
  </si>
  <si>
    <r>
      <t xml:space="preserve">食用酒精;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汽酒; 黄酒; 起泡白葡萄酒;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果酒（含酒精）</t>
    </r>
  </si>
  <si>
    <t>WKKK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</si>
  <si>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和</t>
    </r>
    <r>
      <rPr>
        <sz val="11"/>
        <color theme="1"/>
        <rFont val="ＭＳ Ｐゴシック"/>
        <family val="3"/>
        <charset val="134"/>
        <scheme val="minor"/>
      </rPr>
      <t>殡仪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</si>
  <si>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甜酒; 米酒; 烈酒;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白干酒（中国白酒）;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</si>
  <si>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世酒中菜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</si>
  <si>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东车</t>
    </r>
    <r>
      <rPr>
        <sz val="11"/>
        <color theme="1"/>
        <rFont val="ＭＳ Ｐゴシック"/>
        <family val="3"/>
        <charset val="128"/>
        <scheme val="minor"/>
      </rPr>
      <t>海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</si>
  <si>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烈酒; 白酒; 烈性干酒; 白干酒（中国白酒）;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</si>
  <si>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世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台韶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</si>
  <si>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州世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</si>
  <si>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白酒; 烈酒;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</si>
  <si>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微月亮</t>
  </si>
  <si>
    <r>
      <t>北京微月亮企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</si>
  <si>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果酒;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葡萄酒; 青稞酒</t>
    </r>
  </si>
  <si>
    <t>杏岩坊清花</t>
  </si>
  <si>
    <r>
      <t>汾阳市德厚衍酒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</si>
  <si>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黄酒; 食用酒精; 杜松子酒;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蒸煮提取物（利口酒和烈酒）; 开胃酒;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</si>
  <si>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水淹七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</si>
  <si>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湖北零柒幺零商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</si>
  <si>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甜酒; 高粱酒; 白酒; 汽酒;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苦艾酒;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米酒; 黄酒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</si>
  <si>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财</t>
    </r>
    <r>
      <rPr>
        <sz val="11"/>
        <color theme="1"/>
        <rFont val="ＭＳ Ｐゴシック"/>
        <family val="3"/>
        <charset val="128"/>
        <scheme val="minor"/>
      </rPr>
      <t>之道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</si>
  <si>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黄酒;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</t>
    </r>
  </si>
  <si>
    <t>金川原</t>
  </si>
  <si>
    <r>
      <t>张</t>
    </r>
    <r>
      <rPr>
        <sz val="11"/>
        <color theme="1"/>
        <rFont val="ＭＳ Ｐゴシック"/>
        <family val="3"/>
        <charset val="128"/>
        <scheme val="minor"/>
      </rPr>
      <t>玉山</t>
    </r>
  </si>
  <si>
    <r>
      <t>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白酒; 威士忌</t>
    </r>
  </si>
  <si>
    <t>京淳</t>
  </si>
  <si>
    <t>刘霄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</si>
  <si>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威士忌; 果酒（含酒精）; 伏特加酒</t>
    </r>
  </si>
  <si>
    <r>
      <t>朗姿医</t>
    </r>
    <r>
      <rPr>
        <sz val="11"/>
        <color theme="1"/>
        <rFont val="ＭＳ Ｐゴシック"/>
        <family val="3"/>
        <charset val="134"/>
        <scheme val="minor"/>
      </rPr>
      <t>疗</t>
    </r>
  </si>
  <si>
    <r>
      <t>朗姿医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</si>
  <si>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青稞酒;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</si>
  <si>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初</t>
    </r>
  </si>
  <si>
    <t>叶景能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</si>
  <si>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米酒; 白酒; 高粱酒; 威士忌; 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</t>
    </r>
  </si>
  <si>
    <r>
      <t>超</t>
    </r>
    <r>
      <rPr>
        <sz val="11"/>
        <color theme="1"/>
        <rFont val="ＭＳ Ｐゴシック"/>
        <family val="3"/>
        <charset val="134"/>
        <scheme val="minor"/>
      </rPr>
      <t>级</t>
    </r>
    <r>
      <rPr>
        <sz val="11"/>
        <color theme="1"/>
        <rFont val="ＭＳ Ｐゴシック"/>
        <family val="3"/>
        <charset val="128"/>
        <scheme val="minor"/>
      </rPr>
      <t>幸运七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</si>
  <si>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豪杰酒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</si>
  <si>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白干酒（中国白酒）;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</si>
  <si>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大象囤</t>
  </si>
  <si>
    <r>
      <t>开化荣昌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</si>
  <si>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威士忌; 果酒（含酒精）; 米酒; 甜酒; 黄酒; 葡萄酒;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</t>
    </r>
  </si>
  <si>
    <t>朗姿美学</t>
  </si>
  <si>
    <r>
      <t>威士忌; 清酒（日本米酒）;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</si>
  <si>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壹柿</t>
    </r>
    <r>
      <rPr>
        <sz val="11"/>
        <color theme="1"/>
        <rFont val="ＭＳ Ｐゴシック"/>
        <family val="3"/>
        <charset val="134"/>
        <scheme val="minor"/>
      </rPr>
      <t>纪</t>
    </r>
  </si>
  <si>
    <r>
      <t>浙江</t>
    </r>
    <r>
      <rPr>
        <sz val="11"/>
        <color theme="1"/>
        <rFont val="ＭＳ Ｐゴシック"/>
        <family val="3"/>
        <charset val="134"/>
        <scheme val="minor"/>
      </rPr>
      <t>领鲜</t>
    </r>
    <r>
      <rPr>
        <sz val="11"/>
        <color theme="1"/>
        <rFont val="ＭＳ Ｐゴシック"/>
        <family val="3"/>
        <charset val="128"/>
        <scheme val="minor"/>
      </rPr>
      <t>果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</si>
  <si>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餐后酒（利口酒和烈酒）;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</si>
  <si>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轻</t>
    </r>
    <r>
      <rPr>
        <sz val="11"/>
        <color theme="1"/>
        <rFont val="ＭＳ Ｐゴシック"/>
        <family val="3"/>
        <charset val="128"/>
        <scheme val="minor"/>
      </rPr>
      <t>稞大人</t>
    </r>
  </si>
  <si>
    <r>
      <t>甘孜州冠象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</si>
  <si>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伏特加酒; 青稞酒;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朗姆酒;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</si>
  <si>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r>
      <t>广州柒末餐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</si>
  <si>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清酒（日本米酒）; 含酒精的气泡水;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</si>
  <si>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瑞祥台 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</si>
  <si>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世藏品酒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</si>
  <si>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米酒</t>
    </r>
  </si>
  <si>
    <t>心意小酒</t>
  </si>
  <si>
    <r>
      <t>张</t>
    </r>
    <r>
      <rPr>
        <sz val="11"/>
        <color theme="1"/>
        <rFont val="ＭＳ Ｐゴシック"/>
        <family val="3"/>
        <charset val="128"/>
        <scheme val="minor"/>
      </rPr>
      <t>雅娟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</si>
  <si>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</si>
  <si>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茶小抛</t>
  </si>
  <si>
    <r>
      <t>惠州市唯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</si>
  <si>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食用酒精; 威士忌;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</si>
  <si>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敬友台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</si>
  <si>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市敬友台酒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</si>
  <si>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青稞酒; 葡萄酒; 食用酒精;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露酒; 果酒（含酒精）</t>
    </r>
  </si>
  <si>
    <t>泓众</t>
  </si>
  <si>
    <r>
      <t>开阳</t>
    </r>
    <r>
      <rPr>
        <sz val="11"/>
        <color theme="1"/>
        <rFont val="ＭＳ Ｐゴシック"/>
        <family val="3"/>
        <charset val="134"/>
        <scheme val="minor"/>
      </rPr>
      <t>县腾</t>
    </r>
    <r>
      <rPr>
        <sz val="11"/>
        <color theme="1"/>
        <rFont val="ＭＳ Ｐゴシック"/>
        <family val="3"/>
        <charset val="128"/>
        <scheme val="minor"/>
      </rPr>
      <t>达工</t>
    </r>
    <r>
      <rPr>
        <sz val="11"/>
        <color theme="1"/>
        <rFont val="ＭＳ Ｐゴシック"/>
        <family val="3"/>
        <charset val="134"/>
        <scheme val="minor"/>
      </rPr>
      <t>农贸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</si>
  <si>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果酒; 伏特加酒; 黄酒;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威士忌</t>
    </r>
  </si>
  <si>
    <r>
      <t>HI FUNNNNNY 世界潮玩</t>
    </r>
    <r>
      <rPr>
        <sz val="11"/>
        <color theme="1"/>
        <rFont val="ＭＳ Ｐゴシック"/>
        <family val="3"/>
        <charset val="134"/>
        <scheme val="minor"/>
      </rPr>
      <t>动</t>
    </r>
    <r>
      <rPr>
        <sz val="11"/>
        <color theme="1"/>
        <rFont val="ＭＳ Ｐゴシック"/>
        <family val="3"/>
        <charset val="128"/>
        <scheme val="minor"/>
      </rPr>
      <t>漫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周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</si>
  <si>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莞市物岸玩文化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</si>
  <si>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伏特加酒; 青稞酒; 白酒; 朗姆酒; 清酒（日本米酒）;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</si>
  <si>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御</t>
    </r>
    <r>
      <rPr>
        <sz val="11"/>
        <color theme="1"/>
        <rFont val="ＭＳ Ｐゴシック"/>
        <family val="3"/>
        <charset val="134"/>
        <scheme val="minor"/>
      </rPr>
      <t>苁</t>
    </r>
    <r>
      <rPr>
        <sz val="11"/>
        <color theme="1"/>
        <rFont val="ＭＳ Ｐゴシック"/>
        <family val="3"/>
        <charset val="128"/>
        <scheme val="minor"/>
      </rPr>
      <t>隆蓉堂</t>
    </r>
  </si>
  <si>
    <t>安徽御隆堂食品有限公司</t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</si>
  <si>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葡萄酒;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</t>
    </r>
  </si>
  <si>
    <r>
      <t xml:space="preserve">霞臻园 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精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</si>
  <si>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宁夏云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酒庄有限公司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</si>
  <si>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果酒; 果酒（含酒精）; 白葡萄酒; 酸酒（低等葡萄酒）;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加烈葡萄酒;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</si>
  <si>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道朗高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</si>
  <si>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东亲</t>
    </r>
    <r>
      <rPr>
        <sz val="11"/>
        <color theme="1"/>
        <rFont val="ＭＳ Ｐゴシック"/>
        <family val="3"/>
        <charset val="128"/>
        <scheme val="minor"/>
      </rPr>
      <t>大地投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</si>
  <si>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蒸煮提取物（利口酒和烈酒）;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清酒; 葡萄酒</t>
    </r>
  </si>
  <si>
    <r>
      <t>衡昌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坊天道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</si>
  <si>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衡昌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</si>
  <si>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 xml:space="preserve">白酒;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白干酒（中国白酒）;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利口酒;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青梅酒</t>
    </r>
  </si>
  <si>
    <t>泓众 酒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</si>
  <si>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黄酒; 白酒;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果酒</t>
    </r>
  </si>
  <si>
    <r>
      <t>遵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傅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</si>
  <si>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州遵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傅酒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</si>
  <si>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</si>
  <si>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 xml:space="preserve">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</si>
  <si>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王秉安珍藏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</si>
  <si>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州黔樽坊酒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</si>
  <si>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白酒</t>
    </r>
  </si>
  <si>
    <t>潜夫台</t>
  </si>
  <si>
    <r>
      <t>甘</t>
    </r>
    <r>
      <rPr>
        <sz val="11"/>
        <color theme="1"/>
        <rFont val="ＭＳ Ｐゴシック"/>
        <family val="3"/>
        <charset val="134"/>
        <scheme val="minor"/>
      </rPr>
      <t>肃</t>
    </r>
    <r>
      <rPr>
        <sz val="11"/>
        <color theme="1"/>
        <rFont val="ＭＳ Ｐゴシック"/>
        <family val="3"/>
        <charset val="128"/>
        <scheme val="minor"/>
      </rPr>
      <t>新一代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</si>
  <si>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</t>
    </r>
  </si>
  <si>
    <r>
      <t>王秉安酒</t>
    </r>
    <r>
      <rPr>
        <sz val="11"/>
        <color theme="1"/>
        <rFont val="ＭＳ Ｐゴシック"/>
        <family val="3"/>
        <charset val="134"/>
        <scheme val="minor"/>
      </rPr>
      <t>馆</t>
    </r>
  </si>
  <si>
    <r>
      <t xml:space="preserve">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白酒; 果酒</t>
    </r>
  </si>
  <si>
    <t>王秉安世家</t>
  </si>
  <si>
    <r>
      <t>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</si>
  <si>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南佐古国</t>
  </si>
  <si>
    <r>
      <t>庆</t>
    </r>
    <r>
      <rPr>
        <sz val="11"/>
        <color theme="1"/>
        <rFont val="ＭＳ Ｐゴシック"/>
        <family val="3"/>
        <charset val="128"/>
        <scheme val="minor"/>
      </rPr>
      <t>阳岐黄知蜂健康科技有限公司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</si>
  <si>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苹果酒; 蜂蜜酒; 酸酒（低等葡萄酒）; 汽酒;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</si>
  <si>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酒号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 xml:space="preserve"> 9</t>
    </r>
  </si>
  <si>
    <r>
      <t>郭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宝</t>
    </r>
  </si>
  <si>
    <r>
      <t xml:space="preserve">开胃酒;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清酒（日本米酒）</t>
    </r>
  </si>
  <si>
    <t>独酷 561</t>
  </si>
  <si>
    <r>
      <t>玛纳</t>
    </r>
    <r>
      <rPr>
        <sz val="11"/>
        <color theme="1"/>
        <rFont val="ＭＳ Ｐゴシック"/>
        <family val="3"/>
        <charset val="128"/>
        <scheme val="minor"/>
      </rPr>
      <t>斯香海国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酒庄有限公司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</si>
  <si>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酸酒（低等葡萄酒）;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</si>
  <si>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滋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未来 千年</t>
    </r>
    <r>
      <rPr>
        <sz val="11"/>
        <color theme="1"/>
        <rFont val="ＭＳ Ｐゴシック"/>
        <family val="3"/>
        <charset val="134"/>
        <scheme val="minor"/>
      </rPr>
      <t>钰润</t>
    </r>
  </si>
  <si>
    <r>
      <t>英德市立民生</t>
    </r>
    <r>
      <rPr>
        <sz val="11"/>
        <color theme="1"/>
        <rFont val="ＭＳ Ｐゴシック"/>
        <family val="3"/>
        <charset val="134"/>
        <scheme val="minor"/>
      </rPr>
      <t>态农业发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</si>
  <si>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米酒; 葡萄酒; 黄酒; 蜂蜜酒; 薄荷酒;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</t>
    </r>
  </si>
  <si>
    <t>COLLERY</t>
  </si>
  <si>
    <t>科勒里</t>
  </si>
  <si>
    <r>
      <t>力</t>
    </r>
    <r>
      <rPr>
        <sz val="11"/>
        <color theme="1"/>
        <rFont val="ＭＳ Ｐゴシック"/>
        <family val="3"/>
        <charset val="134"/>
        <scheme val="minor"/>
      </rPr>
      <t>军</t>
    </r>
    <r>
      <rPr>
        <sz val="11"/>
        <color theme="1"/>
        <rFont val="ＭＳ Ｐゴシック"/>
        <family val="3"/>
        <charset val="128"/>
        <scheme val="minor"/>
      </rPr>
      <t>力</t>
    </r>
  </si>
  <si>
    <r>
      <t>河北力</t>
    </r>
    <r>
      <rPr>
        <sz val="11"/>
        <color theme="1"/>
        <rFont val="ＭＳ Ｐゴシック"/>
        <family val="3"/>
        <charset val="134"/>
        <scheme val="minor"/>
      </rPr>
      <t>军</t>
    </r>
    <r>
      <rPr>
        <sz val="11"/>
        <color theme="1"/>
        <rFont val="ＭＳ Ｐゴシック"/>
        <family val="3"/>
        <charset val="128"/>
        <scheme val="minor"/>
      </rPr>
      <t>力家具制造有限公司</t>
    </r>
  </si>
  <si>
    <r>
      <t>开胃酒;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苹果酒; 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</si>
  <si>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一鼎奇力</t>
  </si>
  <si>
    <r>
      <t>浙江吉聚堂医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</si>
  <si>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米酒; 黄酒; 露酒; 刺五加酒;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葡萄酒</t>
    </r>
  </si>
  <si>
    <t>泰肥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</si>
  <si>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一鼎香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</si>
  <si>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 xml:space="preserve">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果酒; 米酒;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清酒; 葡萄酒</t>
    </r>
  </si>
  <si>
    <t>新主楼 NEW MAIN BUILDING</t>
  </si>
  <si>
    <r>
      <t>宿州市</t>
    </r>
    <r>
      <rPr>
        <sz val="11"/>
        <color theme="1"/>
        <rFont val="ＭＳ Ｐゴシック"/>
        <family val="3"/>
        <charset val="134"/>
        <scheme val="minor"/>
      </rPr>
      <t>诗</t>
    </r>
    <r>
      <rPr>
        <sz val="11"/>
        <color theme="1"/>
        <rFont val="ＭＳ Ｐゴシック"/>
        <family val="3"/>
        <charset val="128"/>
        <scheme val="minor"/>
      </rPr>
      <t>和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方生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</si>
  <si>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青梅酒;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</si>
  <si>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桃花潭</t>
  </si>
  <si>
    <r>
      <t>安徽桃花潭酒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</si>
  <si>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</si>
  <si>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泉黄金</t>
  </si>
  <si>
    <t>黄鑫</t>
  </si>
  <si>
    <t>黄酒; 甜酒; 果酒; 汽酒; 草本型利口酒; 白酒; 葡萄酒; 清酒; 米酒; 威士忌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</si>
  <si>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</si>
  <si>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t>黄小荔</t>
  </si>
  <si>
    <r>
      <t>深圳市黄田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</si>
  <si>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含酒精的气泡水; 白酒; 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</si>
  <si>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御</t>
    </r>
    <r>
      <rPr>
        <sz val="11"/>
        <color theme="1"/>
        <rFont val="ＭＳ Ｐゴシック"/>
        <family val="3"/>
        <charset val="129"/>
        <scheme val="minor"/>
      </rPr>
      <t>酕</t>
    </r>
  </si>
  <si>
    <t>李文文</t>
  </si>
  <si>
    <r>
      <t xml:space="preserve">白酒; 白干酒（中国白酒）;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清酒; 露酒; 烈酒</t>
    </r>
  </si>
  <si>
    <r>
      <t>密</t>
    </r>
    <r>
      <rPr>
        <sz val="11"/>
        <color theme="1"/>
        <rFont val="ＭＳ Ｐゴシック"/>
        <family val="3"/>
        <charset val="134"/>
        <scheme val="minor"/>
      </rPr>
      <t>补</t>
    </r>
    <r>
      <rPr>
        <sz val="11"/>
        <color theme="1"/>
        <rFont val="ＭＳ Ｐゴシック"/>
        <family val="3"/>
        <charset val="128"/>
        <scheme val="minor"/>
      </rPr>
      <t>堂</t>
    </r>
  </si>
  <si>
    <r>
      <t>黄</t>
    </r>
    <r>
      <rPr>
        <sz val="11"/>
        <color theme="1"/>
        <rFont val="ＭＳ Ｐゴシック"/>
        <family val="3"/>
        <charset val="129"/>
        <scheme val="minor"/>
      </rPr>
      <t>榆</t>
    </r>
    <r>
      <rPr>
        <sz val="11"/>
        <color theme="1"/>
        <rFont val="ＭＳ Ｐゴシック"/>
        <family val="3"/>
        <charset val="134"/>
        <scheme val="minor"/>
      </rPr>
      <t>轩</t>
    </r>
  </si>
  <si>
    <t>米酒; 清酒; 白酒; 果酒; 汽酒; 黄酒; 威士忌; 甜酒; 草本型利口酒; 葡萄酒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</si>
  <si>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州茅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</si>
  <si>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露酒; 白酒;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苹果酒; 米酒</t>
    </r>
  </si>
  <si>
    <t>婻</t>
  </si>
  <si>
    <r>
      <t>昌南新区</t>
    </r>
    <r>
      <rPr>
        <sz val="11"/>
        <color theme="1"/>
        <rFont val="ＭＳ Ｐゴシック"/>
        <family val="3"/>
        <charset val="134"/>
        <scheme val="minor"/>
      </rPr>
      <t>凯泽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</si>
  <si>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</t>
    </r>
  </si>
  <si>
    <t>天青瓷</t>
  </si>
  <si>
    <t>山西青花国酒厂股份有限公司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</si>
  <si>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开胃酒;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</si>
  <si>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GENTILIS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</si>
  <si>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贞</t>
    </r>
    <r>
      <rPr>
        <sz val="11"/>
        <color theme="1"/>
        <rFont val="ＭＳ Ｐゴシック"/>
        <family val="3"/>
        <charset val="128"/>
        <scheme val="minor"/>
      </rPr>
      <t>提利斯酒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</si>
  <si>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</t>
    </r>
  </si>
  <si>
    <r>
      <t>蜗</t>
    </r>
    <r>
      <rPr>
        <sz val="11"/>
        <color theme="1"/>
        <rFont val="ＭＳ Ｐゴシック"/>
        <family val="3"/>
        <charset val="128"/>
        <scheme val="minor"/>
      </rPr>
      <t>牛蜜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</si>
  <si>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州富健隆健康科技有限公司</t>
    </r>
  </si>
  <si>
    <r>
      <t xml:space="preserve">果酒（含酒精）; 威士忌; 天然汽酒; 利口酒; 果酒; 甜酒; 梅酒;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</t>
    </r>
  </si>
  <si>
    <r>
      <t>肃柠</t>
    </r>
    <r>
      <rPr>
        <sz val="11"/>
        <color theme="1"/>
        <rFont val="ＭＳ Ｐゴシック"/>
        <family val="3"/>
        <charset val="128"/>
        <scheme val="minor"/>
      </rPr>
      <t>情状元酒</t>
    </r>
  </si>
  <si>
    <t>王琪</t>
  </si>
  <si>
    <r>
      <t>白酒; 白干酒（中国白酒）; 青稞酒; 黄酒; 甜酒; 开胃酒;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</si>
  <si>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中晋商</t>
  </si>
  <si>
    <r>
      <t>赵晓</t>
    </r>
    <r>
      <rPr>
        <sz val="11"/>
        <color theme="1"/>
        <rFont val="ＭＳ Ｐゴシック"/>
        <family val="3"/>
        <charset val="128"/>
        <scheme val="minor"/>
      </rPr>
      <t>芳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</si>
  <si>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米酒;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</si>
  <si>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r>
      <t>仙</t>
    </r>
    <r>
      <rPr>
        <sz val="11"/>
        <color theme="1"/>
        <rFont val="ＭＳ Ｐゴシック"/>
        <family val="3"/>
        <charset val="129"/>
        <scheme val="minor"/>
      </rPr>
      <t>崌</t>
    </r>
    <r>
      <rPr>
        <sz val="11"/>
        <color theme="1"/>
        <rFont val="ＭＳ Ｐゴシック"/>
        <family val="3"/>
        <charset val="128"/>
        <scheme val="minor"/>
      </rPr>
      <t>山</t>
    </r>
  </si>
  <si>
    <t>尹秋得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</si>
  <si>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酸酒（低等葡萄酒）;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</si>
  <si>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存余年</t>
  </si>
  <si>
    <r>
      <t>黄茂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</si>
  <si>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 xml:space="preserve">食用酒精;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露酒; 白酒; 白干酒（中国白酒）; 高粱酒;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</si>
  <si>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之</t>
    </r>
    <r>
      <rPr>
        <sz val="11"/>
        <color theme="1"/>
        <rFont val="ＭＳ Ｐゴシック"/>
        <family val="3"/>
        <charset val="134"/>
        <scheme val="minor"/>
      </rPr>
      <t>卢</t>
    </r>
  </si>
  <si>
    <r>
      <t>新疆鑫瑞恒新材料科技有限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</si>
  <si>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蒸煮提取物（利口酒和烈酒）; 米酒;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酸酒（低等葡萄酒）; 食用酒精; 果酒; 开胃酒</t>
    </r>
  </si>
  <si>
    <r>
      <t>博欧酒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</si>
  <si>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杭州博欧茗悦商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</si>
  <si>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高粱酒; 伏特加酒; 米酒; 食用酒精; 果酒（含酒精）;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</si>
  <si>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优</t>
    </r>
    <r>
      <rPr>
        <sz val="11"/>
        <color theme="1"/>
        <rFont val="ＭＳ Ｐゴシック"/>
        <family val="3"/>
        <charset val="128"/>
        <scheme val="minor"/>
      </rPr>
      <t>百高</t>
    </r>
  </si>
  <si>
    <r>
      <t>四川中</t>
    </r>
    <r>
      <rPr>
        <sz val="11"/>
        <color theme="1"/>
        <rFont val="ＭＳ Ｐゴシック"/>
        <family val="3"/>
        <charset val="134"/>
        <scheme val="minor"/>
      </rPr>
      <t>储</t>
    </r>
    <r>
      <rPr>
        <sz val="11"/>
        <color theme="1"/>
        <rFont val="ＭＳ Ｐゴシック"/>
        <family val="3"/>
        <charset val="128"/>
        <scheme val="minor"/>
      </rPr>
      <t>福森商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</si>
  <si>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威士忌;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果酒; 清酒</t>
    </r>
  </si>
  <si>
    <t>豕原</t>
  </si>
  <si>
    <r>
      <t>北京中悦久品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</si>
  <si>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威士忌; 烈酒; 白干酒（中国白酒）;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水果汽酒; 白酒; 葡萄酒;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</si>
  <si>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州雪</t>
    </r>
  </si>
  <si>
    <r>
      <t>石家庄</t>
    </r>
    <r>
      <rPr>
        <sz val="11"/>
        <color theme="1"/>
        <rFont val="ＭＳ Ｐゴシック"/>
        <family val="3"/>
        <charset val="134"/>
        <scheme val="minor"/>
      </rPr>
      <t>赵</t>
    </r>
    <r>
      <rPr>
        <sz val="11"/>
        <color theme="1"/>
        <rFont val="ＭＳ Ｐゴシック"/>
        <family val="3"/>
        <charset val="128"/>
        <scheme val="minor"/>
      </rPr>
      <t>州食品有限公司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</si>
  <si>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</si>
  <si>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甜瓜哥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薯妹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</si>
  <si>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锋伟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</si>
  <si>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烈性干酒;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</si>
  <si>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王牛牛</t>
  </si>
  <si>
    <r>
      <t>冯</t>
    </r>
    <r>
      <rPr>
        <sz val="11"/>
        <color theme="1"/>
        <rFont val="ＭＳ Ｐゴシック"/>
        <family val="3"/>
        <charset val="128"/>
        <scheme val="minor"/>
      </rPr>
      <t>超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</si>
  <si>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威士忌; 米酒;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白酒</t>
    </r>
  </si>
  <si>
    <t>滴之神往</t>
  </si>
  <si>
    <r>
      <t>再</t>
    </r>
    <r>
      <rPr>
        <sz val="11"/>
        <color theme="1"/>
        <rFont val="ＭＳ Ｐゴシック"/>
        <family val="3"/>
        <charset val="134"/>
        <scheme val="minor"/>
      </rPr>
      <t>买</t>
    </r>
    <r>
      <rPr>
        <sz val="11"/>
        <color theme="1"/>
        <rFont val="ＭＳ Ｐゴシック"/>
        <family val="3"/>
        <charset val="128"/>
        <scheme val="minor"/>
      </rPr>
      <t>一件（上海）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</si>
  <si>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威士忌</t>
    </r>
  </si>
  <si>
    <r>
      <t>镜</t>
    </r>
    <r>
      <rPr>
        <sz val="11"/>
        <color theme="1"/>
        <rFont val="ＭＳ Ｐゴシック"/>
        <family val="3"/>
        <charset val="128"/>
        <scheme val="minor"/>
      </rPr>
      <t>泊小</t>
    </r>
    <r>
      <rPr>
        <sz val="11"/>
        <color theme="1"/>
        <rFont val="ＭＳ Ｐゴシック"/>
        <family val="3"/>
        <charset val="134"/>
        <scheme val="minor"/>
      </rPr>
      <t>镇</t>
    </r>
  </si>
  <si>
    <r>
      <t>牡丹江市圣当年酒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</si>
  <si>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米酒; 清酒（日本米酒）; 葡萄酒; 白酒</t>
    </r>
  </si>
  <si>
    <t>金斗丰</t>
  </si>
  <si>
    <r>
      <t>四川金斗丰装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工程有限公司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</si>
  <si>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威士忌;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</si>
  <si>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燕国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34"/>
        <scheme val="minor"/>
      </rPr>
      <t>浆</t>
    </r>
  </si>
  <si>
    <r>
      <t>燕国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酒（青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</si>
  <si>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白酒; 黄酒;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白葡萄酒; 果酒（含酒精）</t>
    </r>
  </si>
  <si>
    <r>
      <t>洛阳</t>
    </r>
    <r>
      <rPr>
        <sz val="11"/>
        <color theme="1"/>
        <rFont val="ＭＳ Ｐゴシック"/>
        <family val="3"/>
        <charset val="134"/>
        <scheme val="minor"/>
      </rPr>
      <t>领</t>
    </r>
    <r>
      <rPr>
        <sz val="11"/>
        <color theme="1"/>
        <rFont val="ＭＳ Ｐゴシック"/>
        <family val="3"/>
        <charset val="128"/>
        <scheme val="minor"/>
      </rPr>
      <t>岸商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</si>
  <si>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青稞酒; 清酒（日本米酒）;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</si>
  <si>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享</t>
    </r>
    <r>
      <rPr>
        <sz val="11"/>
        <color theme="1"/>
        <rFont val="ＭＳ Ｐゴシック"/>
        <family val="3"/>
        <charset val="134"/>
        <scheme val="minor"/>
      </rPr>
      <t>谕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</si>
  <si>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露酒; 黄酒; 汽酒; 威士忌; 伏特加酒; 白酒; 葡萄酒; 米酒; 果酒; 梅酒;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</si>
  <si>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CHANG'AN MEMORY</t>
  </si>
  <si>
    <r>
      <t>宁夏合能兆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能源有限公司</t>
    </r>
  </si>
  <si>
    <r>
      <t>青稞酒; 果酒（含酒精）; 酸酒（低等葡萄酒）; 餐后酒（利口酒和烈酒）; 开胃酒;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</si>
  <si>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地球村酒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 xml:space="preserve"> GLOBAL VILLAGE LIQUOR INDUSTRY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</si>
  <si>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德福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</si>
  <si>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食用酒精;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</si>
  <si>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PYCCKNN CTNNB</t>
  </si>
  <si>
    <r>
      <t>瓦西里（北京）商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</si>
  <si>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利口酒; 蜂蜜酒;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</t>
    </r>
  </si>
  <si>
    <r>
      <t>槐</t>
    </r>
    <r>
      <rPr>
        <sz val="11"/>
        <color theme="1"/>
        <rFont val="ＭＳ Ｐゴシック"/>
        <family val="3"/>
        <charset val="134"/>
        <scheme val="minor"/>
      </rPr>
      <t>树营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</si>
  <si>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厂</t>
    </r>
  </si>
  <si>
    <r>
      <t>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梅酒; 白酒; 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</t>
    </r>
  </si>
  <si>
    <t>御太盅</t>
  </si>
  <si>
    <r>
      <t>陈</t>
    </r>
    <r>
      <rPr>
        <sz val="11"/>
        <color theme="1"/>
        <rFont val="ＭＳ Ｐゴシック"/>
        <family val="3"/>
        <charset val="128"/>
        <scheme val="minor"/>
      </rPr>
      <t>如运</t>
    </r>
  </si>
  <si>
    <r>
      <t>葡萄酒; 蜂蜜酒;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餐后酒（利口酒和烈酒）; 米酒; 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</si>
  <si>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r>
      <t>忆</t>
    </r>
    <r>
      <rPr>
        <sz val="11"/>
        <color theme="1"/>
        <rFont val="ＭＳ Ｐゴシック"/>
        <family val="3"/>
        <charset val="128"/>
        <scheme val="minor"/>
      </rPr>
      <t>展</t>
    </r>
  </si>
  <si>
    <r>
      <t>濮阳市天丰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</si>
  <si>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餐后酒（利口酒和烈酒）; 黄酒; 食用酒精; 柑香酒; 葡萄酒; 汽酒; 白酒; 青稞酒; 苹果酒</t>
    </r>
  </si>
  <si>
    <t>把示君</t>
  </si>
  <si>
    <r>
      <t>大方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泰意宏商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</si>
  <si>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露酒;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苹果酒; 米酒; 白酒; 餐后酒（利口酒和烈酒）</t>
    </r>
  </si>
  <si>
    <r>
      <t>绪</t>
    </r>
    <r>
      <rPr>
        <sz val="11"/>
        <color theme="1"/>
        <rFont val="ＭＳ Ｐゴシック"/>
        <family val="3"/>
        <charset val="128"/>
        <scheme val="minor"/>
      </rPr>
      <t>台王家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</si>
  <si>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州奥格威广告有限公司</t>
    </r>
  </si>
  <si>
    <r>
      <t>苹果酒;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果酒（含酒精）; 露酒;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</si>
  <si>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GUOMAOSHAOFANG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</si>
  <si>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州国茅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</si>
  <si>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威士忌; 利口酒; 米酒;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</si>
  <si>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CHACHICK</t>
  </si>
  <si>
    <r>
      <t>北京吉祥茶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</si>
  <si>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黄酒; 葡萄酒;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薄荷酒; 开胃酒</t>
    </r>
  </si>
  <si>
    <r>
      <t>黔</t>
    </r>
    <r>
      <rPr>
        <sz val="11"/>
        <color theme="1"/>
        <rFont val="ＭＳ Ｐゴシック"/>
        <family val="3"/>
        <charset val="134"/>
        <scheme val="minor"/>
      </rPr>
      <t>闹闹</t>
    </r>
  </si>
  <si>
    <t>樊正文</t>
  </si>
  <si>
    <r>
      <t>白酒; 清酒（日本米酒）;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葡萄酒; 米酒</t>
    </r>
  </si>
  <si>
    <t>拾沙</t>
  </si>
  <si>
    <r>
      <t>张</t>
    </r>
    <r>
      <rPr>
        <sz val="11"/>
        <color theme="1"/>
        <rFont val="ＭＳ Ｐゴシック"/>
        <family val="3"/>
        <charset val="128"/>
        <scheme val="minor"/>
      </rPr>
      <t>倩</t>
    </r>
  </si>
  <si>
    <r>
      <t>葡萄酒; 果酒（含酒精）; 伏特加酒; 黄酒;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白干酒（中国白酒）</t>
    </r>
  </si>
  <si>
    <r>
      <t>槐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堡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</si>
  <si>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白酒; 梅酒; 甜酒;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</si>
  <si>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TORMENTA</t>
  </si>
  <si>
    <r>
      <t>米格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托雷斯葡萄酒</t>
    </r>
    <r>
      <rPr>
        <sz val="11"/>
        <color theme="1"/>
        <rFont val="ＭＳ Ｐゴシック"/>
        <family val="3"/>
        <charset val="134"/>
        <scheme val="minor"/>
      </rPr>
      <t>协</t>
    </r>
    <r>
      <rPr>
        <sz val="11"/>
        <color theme="1"/>
        <rFont val="ＭＳ Ｐゴシック"/>
        <family val="3"/>
        <charset val="128"/>
        <scheme val="minor"/>
      </rPr>
      <t>会公司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</si>
  <si>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汽酒;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</si>
  <si>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AIANS 埃</t>
    </r>
    <r>
      <rPr>
        <sz val="11"/>
        <color theme="1"/>
        <rFont val="ＭＳ Ｐゴシック"/>
        <family val="3"/>
        <charset val="134"/>
        <scheme val="minor"/>
      </rPr>
      <t>伦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</si>
  <si>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唯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美（北京）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</si>
  <si>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露酒;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食用酒精; 白酒; 威士忌;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</si>
  <si>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小微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液</t>
    </r>
  </si>
  <si>
    <r>
      <t>安徽省明海</t>
    </r>
    <r>
      <rPr>
        <sz val="11"/>
        <color theme="1"/>
        <rFont val="ＭＳ Ｐゴシック"/>
        <family val="3"/>
        <charset val="134"/>
        <scheme val="minor"/>
      </rPr>
      <t>项</t>
    </r>
    <r>
      <rPr>
        <sz val="11"/>
        <color theme="1"/>
        <rFont val="ＭＳ Ｐゴシック"/>
        <family val="3"/>
        <charset val="128"/>
        <scheme val="minor"/>
      </rPr>
      <t>目管理有限公司</t>
    </r>
  </si>
  <si>
    <r>
      <t xml:space="preserve">威士忌; 白酒; 开胃酒; 黄酒; 米酒;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蒸煮提取物（利口酒和烈酒）</t>
    </r>
  </si>
  <si>
    <r>
      <t>湖南五重堂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</si>
  <si>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烈酒;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</si>
  <si>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元窖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</si>
  <si>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香酒酒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</si>
  <si>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</si>
  <si>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庄酒友会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</si>
  <si>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</si>
  <si>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食用酒精;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甜果酒;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</si>
  <si>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品</t>
    </r>
    <r>
      <rPr>
        <sz val="11"/>
        <color theme="1"/>
        <rFont val="ＭＳ Ｐゴシック"/>
        <family val="3"/>
        <charset val="134"/>
        <scheme val="minor"/>
      </rPr>
      <t>汖</t>
    </r>
    <r>
      <rPr>
        <sz val="11"/>
        <color theme="1"/>
        <rFont val="ＭＳ Ｐゴシック"/>
        <family val="3"/>
        <charset val="128"/>
        <scheme val="minor"/>
      </rPr>
      <t>小果 PINPINXG</t>
    </r>
  </si>
  <si>
    <r>
      <t>安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南春茶果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</si>
  <si>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白酒;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</si>
  <si>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徽社</t>
  </si>
  <si>
    <r>
      <t>太和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多</t>
    </r>
    <r>
      <rPr>
        <sz val="11"/>
        <color theme="1"/>
        <rFont val="ＭＳ Ｐゴシック"/>
        <family val="3"/>
        <charset val="134"/>
        <scheme val="minor"/>
      </rPr>
      <t>铂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社有限公司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</si>
  <si>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</si>
  <si>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名公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</si>
  <si>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州名公酒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</si>
  <si>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清酒; 青稞酒; 米酒; 黄酒</t>
    </r>
  </si>
  <si>
    <t>臻大帝</t>
  </si>
  <si>
    <r>
      <t>北京厨大</t>
    </r>
    <r>
      <rPr>
        <sz val="11"/>
        <color theme="1"/>
        <rFont val="ＭＳ Ｐゴシック"/>
        <family val="3"/>
        <charset val="134"/>
        <scheme val="minor"/>
      </rPr>
      <t>妈</t>
    </r>
    <r>
      <rPr>
        <sz val="11"/>
        <color theme="1"/>
        <rFont val="ＭＳ Ｐゴシック"/>
        <family val="3"/>
        <charset val="128"/>
        <scheme val="minor"/>
      </rPr>
      <t>食品集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</si>
  <si>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白干酒（中国白酒）; 日本梅子酒;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卡沙</t>
    </r>
    <r>
      <rPr>
        <sz val="11"/>
        <color theme="1"/>
        <rFont val="ＭＳ Ｐゴシック"/>
        <family val="3"/>
        <charset val="134"/>
        <scheme val="minor"/>
      </rPr>
      <t>萨</t>
    </r>
    <r>
      <rPr>
        <sz val="11"/>
        <color theme="1"/>
        <rFont val="ＭＳ Ｐゴシック"/>
        <family val="3"/>
        <charset val="128"/>
        <scheme val="minor"/>
      </rPr>
      <t>酒; 青梅酒; 松叶酒;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</si>
  <si>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t>以琳宇</t>
  </si>
  <si>
    <t>刘叶欣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</si>
  <si>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清酒; 高粱酒; 朗姆酒;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</si>
  <si>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孤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五月槐</t>
    </r>
  </si>
  <si>
    <t>刘春文</t>
  </si>
  <si>
    <r>
      <t xml:space="preserve">黄酒; 葡萄酒;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甘蔗制烈酒;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</si>
  <si>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双峰</t>
    </r>
    <r>
      <rPr>
        <sz val="11"/>
        <color theme="1"/>
        <rFont val="ＭＳ Ｐゴシック"/>
        <family val="3"/>
        <charset val="134"/>
        <scheme val="minor"/>
      </rPr>
      <t>驼</t>
    </r>
  </si>
  <si>
    <t>广州奇工建材有限公司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</si>
  <si>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</si>
  <si>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酒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邦</t>
    </r>
  </si>
  <si>
    <r>
      <t>深圳市酒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邦商</t>
    </r>
    <r>
      <rPr>
        <sz val="11"/>
        <color theme="1"/>
        <rFont val="ＭＳ Ｐゴシック"/>
        <family val="3"/>
        <charset val="134"/>
        <scheme val="minor"/>
      </rPr>
      <t>业连锁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</si>
  <si>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黄酒; 甜果酒; 白酒; 酸酒（低等葡萄酒）; 青稞酒; 清酒（日本米酒）;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朗姆酒</t>
    </r>
  </si>
  <si>
    <t>澹州一滴香</t>
  </si>
  <si>
    <r>
      <t>杭州恒达酒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</si>
  <si>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白酒;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蒸煮提取物（利口酒和烈酒）; 米酒; 烈酒</t>
    </r>
  </si>
  <si>
    <t>索道宏途</t>
  </si>
  <si>
    <r>
      <t>周征</t>
    </r>
    <r>
      <rPr>
        <sz val="11"/>
        <color theme="1"/>
        <rFont val="ＭＳ Ｐゴシック"/>
        <family val="3"/>
        <charset val="129"/>
        <scheme val="minor"/>
      </rPr>
      <t>翱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</si>
  <si>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</si>
  <si>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XQINGN</t>
  </si>
  <si>
    <r>
      <t>湖南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青年文化</t>
    </r>
    <r>
      <rPr>
        <sz val="11"/>
        <color theme="1"/>
        <rFont val="ＭＳ Ｐゴシック"/>
        <family val="3"/>
        <charset val="134"/>
        <scheme val="minor"/>
      </rPr>
      <t>艺术</t>
    </r>
    <r>
      <rPr>
        <sz val="11"/>
        <color theme="1"/>
        <rFont val="ＭＳ Ｐゴシック"/>
        <family val="3"/>
        <charset val="128"/>
        <scheme val="minor"/>
      </rPr>
      <t>研究院（个人独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</si>
  <si>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 xml:space="preserve">清酒（日本米酒）; 果酒（含酒精）; 黄酒; 食用酒精; 青稞酒; 开胃酒; 白酒;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</si>
  <si>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南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</si>
  <si>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>吴宇</t>
    </r>
    <r>
      <rPr>
        <sz val="11"/>
        <color theme="1"/>
        <rFont val="ＭＳ Ｐゴシック"/>
        <family val="3"/>
        <charset val="134"/>
        <scheme val="minor"/>
      </rPr>
      <t>轩</t>
    </r>
  </si>
  <si>
    <r>
      <t>白酒; 清酒（日本米酒）;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</si>
  <si>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四正丹</t>
    </r>
    <r>
      <rPr>
        <sz val="11"/>
        <color theme="1"/>
        <rFont val="ＭＳ Ｐゴシック"/>
        <family val="3"/>
        <charset val="134"/>
        <scheme val="minor"/>
      </rPr>
      <t>诚</t>
    </r>
  </si>
  <si>
    <r>
      <t>北京宇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麦</t>
    </r>
    <r>
      <rPr>
        <sz val="11"/>
        <color theme="1"/>
        <rFont val="ＭＳ Ｐゴシック"/>
        <family val="3"/>
        <charset val="134"/>
        <scheme val="minor"/>
      </rPr>
      <t>饭</t>
    </r>
    <r>
      <rPr>
        <sz val="11"/>
        <color theme="1"/>
        <rFont val="ＭＳ Ｐゴシック"/>
        <family val="3"/>
        <charset val="128"/>
        <scheme val="minor"/>
      </rPr>
      <t>石</t>
    </r>
    <r>
      <rPr>
        <sz val="11"/>
        <color theme="1"/>
        <rFont val="ＭＳ Ｐゴシック"/>
        <family val="3"/>
        <charset val="134"/>
        <scheme val="minor"/>
      </rPr>
      <t>矿</t>
    </r>
    <r>
      <rPr>
        <sz val="11"/>
        <color theme="1"/>
        <rFont val="ＭＳ Ｐゴシック"/>
        <family val="3"/>
        <charset val="128"/>
        <scheme val="minor"/>
      </rPr>
      <t>泉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</si>
  <si>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食用酒精;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</si>
  <si>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丙丁干</t>
  </si>
  <si>
    <t>深圳市隍球科技有限公司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</si>
  <si>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</si>
  <si>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煊</t>
    </r>
  </si>
  <si>
    <t>段霖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</si>
  <si>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开胃酒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</si>
  <si>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颂</t>
    </r>
    <r>
      <rPr>
        <sz val="11"/>
        <color theme="1"/>
        <rFont val="ＭＳ Ｐゴシック"/>
        <family val="3"/>
        <charset val="128"/>
        <scheme val="minor"/>
      </rPr>
      <t>宴酒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</si>
  <si>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果酒; 烈酒; 果酒（含酒精）;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</si>
  <si>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t>群芳 醉群芳</t>
  </si>
  <si>
    <r>
      <t>张</t>
    </r>
    <r>
      <rPr>
        <sz val="11"/>
        <color theme="1"/>
        <rFont val="ＭＳ Ｐゴシック"/>
        <family val="3"/>
        <charset val="128"/>
        <scheme val="minor"/>
      </rPr>
      <t>忠存</t>
    </r>
  </si>
  <si>
    <r>
      <t>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果酒（含酒精）; 苦味酒</t>
    </r>
  </si>
  <si>
    <r>
      <t>兴</t>
    </r>
    <r>
      <rPr>
        <sz val="11"/>
        <color theme="1"/>
        <rFont val="ＭＳ Ｐゴシック"/>
        <family val="3"/>
        <charset val="128"/>
        <scheme val="minor"/>
      </rPr>
      <t>盛生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</si>
  <si>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西九</t>
    </r>
    <r>
      <rPr>
        <sz val="11"/>
        <color theme="1"/>
        <rFont val="ＭＳ Ｐゴシック"/>
        <family val="3"/>
        <charset val="134"/>
        <scheme val="minor"/>
      </rPr>
      <t>腾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</si>
  <si>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威士忌; 黄酒; 葡萄酒; 米酒; 果酒（含酒精）</t>
    </r>
  </si>
  <si>
    <t>猫与蝶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</si>
  <si>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米酒; 高粱酒;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</si>
  <si>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WYNNS THE ORIGINAL</t>
  </si>
  <si>
    <r>
      <t>罗</t>
    </r>
    <r>
      <rPr>
        <sz val="11"/>
        <color theme="1"/>
        <rFont val="ＭＳ Ｐゴシック"/>
        <family val="3"/>
        <charset val="128"/>
        <scheme val="minor"/>
      </rPr>
      <t>思柏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葡萄酒私人有限公司</t>
    </r>
  </si>
  <si>
    <r>
      <t>葡萄汽酒; 起泡白葡萄酒;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餐后酒（利口酒和烈酒）; 加烈葡萄酒;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</si>
  <si>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赣</t>
    </r>
    <r>
      <rPr>
        <sz val="11"/>
        <color theme="1"/>
        <rFont val="ＭＳ Ｐゴシック"/>
        <family val="3"/>
        <charset val="128"/>
        <scheme val="minor"/>
      </rPr>
      <t>鄱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湖</t>
    </r>
  </si>
  <si>
    <t>段平文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</si>
  <si>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果酒（含酒精）; 朗姆酒; 白酒; 威士忌; 黄酒</t>
    </r>
  </si>
  <si>
    <r>
      <t>雾</t>
    </r>
    <r>
      <rPr>
        <sz val="11"/>
        <color theme="1"/>
        <rFont val="ＭＳ Ｐゴシック"/>
        <family val="3"/>
        <charset val="128"/>
        <scheme val="minor"/>
      </rPr>
      <t>露醉</t>
    </r>
  </si>
  <si>
    <r>
      <t>福建熙春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</si>
  <si>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苦味酒;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苹果酒; 清酒（日本米酒）;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</si>
  <si>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鲜时</t>
    </r>
    <r>
      <rPr>
        <sz val="11"/>
        <color theme="1"/>
        <rFont val="ＭＳ Ｐゴシック"/>
        <family val="3"/>
        <charset val="128"/>
        <scheme val="minor"/>
      </rPr>
      <t>集</t>
    </r>
  </si>
  <si>
    <r>
      <t>杭州佳屹</t>
    </r>
    <r>
      <rPr>
        <sz val="11"/>
        <color theme="1"/>
        <rFont val="ＭＳ Ｐゴシック"/>
        <family val="3"/>
        <charset val="134"/>
        <scheme val="minor"/>
      </rPr>
      <t>农产</t>
    </r>
    <r>
      <rPr>
        <sz val="11"/>
        <color theme="1"/>
        <rFont val="ＭＳ Ｐゴシック"/>
        <family val="3"/>
        <charset val="128"/>
        <scheme val="minor"/>
      </rPr>
      <t>品开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</si>
  <si>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葡萄酒;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</si>
  <si>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义</t>
    </r>
    <r>
      <rPr>
        <sz val="11"/>
        <color theme="1"/>
        <rFont val="ＭＳ Ｐゴシック"/>
        <family val="3"/>
        <charset val="128"/>
        <scheme val="minor"/>
      </rPr>
      <t xml:space="preserve"> 晴天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匠</t>
    </r>
  </si>
  <si>
    <r>
      <t>合肥晴天汽</t>
    </r>
    <r>
      <rPr>
        <sz val="11"/>
        <color theme="1"/>
        <rFont val="ＭＳ Ｐゴシック"/>
        <family val="3"/>
        <charset val="134"/>
        <scheme val="minor"/>
      </rPr>
      <t>车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</si>
  <si>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白酒;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</si>
  <si>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脸邮</t>
  </si>
  <si>
    <r>
      <t>上海旗</t>
    </r>
    <r>
      <rPr>
        <sz val="11"/>
        <color theme="1"/>
        <rFont val="ＭＳ Ｐゴシック"/>
        <family val="3"/>
        <charset val="134"/>
        <scheme val="minor"/>
      </rPr>
      <t>邮</t>
    </r>
    <r>
      <rPr>
        <sz val="11"/>
        <color theme="1"/>
        <rFont val="ＭＳ Ｐゴシック"/>
        <family val="3"/>
        <charset val="128"/>
        <scheme val="minor"/>
      </rPr>
      <t>啤酒有限公司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</si>
  <si>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蜂蜜酒;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白干酒; 黄酒; 白酒; 果酒; 葡萄酒</t>
    </r>
  </si>
  <si>
    <r>
      <t>杏福光</t>
    </r>
    <r>
      <rPr>
        <sz val="11"/>
        <color theme="1"/>
        <rFont val="ＭＳ Ｐゴシック"/>
        <family val="3"/>
        <charset val="134"/>
        <scheme val="minor"/>
      </rPr>
      <t>辉</t>
    </r>
  </si>
  <si>
    <t>林香娜</t>
  </si>
  <si>
    <r>
      <t xml:space="preserve">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高粱酒; 白酒; 烈酒; 葡萄酒; 果酒（含酒精）; 米酒</t>
    </r>
  </si>
  <si>
    <t>QIOELREY</t>
  </si>
  <si>
    <r>
      <t>中海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（上海）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</si>
  <si>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葡萄酒; 果酒（含酒精）; 朗姆酒;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薄荷酒</t>
    </r>
  </si>
  <si>
    <t>FRUIT ENGINEER</t>
  </si>
  <si>
    <t>广州嘉沃水果食品有限公司</t>
  </si>
  <si>
    <r>
      <t>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茴香酒（利口酒）;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</si>
  <si>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r>
      <t>铂</t>
    </r>
    <r>
      <rPr>
        <sz val="11"/>
        <color theme="1"/>
        <rFont val="ＭＳ Ｐゴシック"/>
        <family val="3"/>
        <charset val="128"/>
        <scheme val="minor"/>
      </rPr>
      <t>瑞繁舍</t>
    </r>
  </si>
  <si>
    <r>
      <t>巢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我（常州）技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</si>
  <si>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含酒精的气泡水; 黄酒;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汽酒;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</si>
  <si>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一拉羞</t>
  </si>
  <si>
    <r>
      <t>云南一拉羞酒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</si>
  <si>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青稞酒; 开胃酒; 果酒（含酒精）;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</si>
  <si>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欧阳</t>
    </r>
    <r>
      <rPr>
        <sz val="11"/>
        <color theme="1"/>
        <rFont val="ＭＳ Ｐゴシック"/>
        <family val="3"/>
        <charset val="134"/>
        <scheme val="minor"/>
      </rPr>
      <t>询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</si>
  <si>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沙欧阳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</si>
  <si>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汽酒;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</si>
  <si>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MABARILON 麦巴</t>
    </r>
    <r>
      <rPr>
        <sz val="11"/>
        <color theme="1"/>
        <rFont val="ＭＳ Ｐゴシック"/>
        <family val="3"/>
        <charset val="134"/>
        <scheme val="minor"/>
      </rPr>
      <t>伦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</si>
  <si>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君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</si>
  <si>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威士忌; 葡萄酒</t>
    </r>
  </si>
  <si>
    <r>
      <t>美天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影</t>
    </r>
  </si>
  <si>
    <r>
      <t>美天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影医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管理（上海）有限公司</t>
    </r>
  </si>
  <si>
    <r>
      <t xml:space="preserve">白酒; 清酒（日本米酒）; 米酒;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</si>
  <si>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迁来一口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</si>
  <si>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州市江阳区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星慧百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超市（个体工商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</si>
  <si>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白酒; 白干酒（中国白酒）;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甜果酒;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</si>
  <si>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陆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陆</t>
    </r>
  </si>
  <si>
    <r>
      <t>成都市</t>
    </r>
    <r>
      <rPr>
        <sz val="11"/>
        <color theme="1"/>
        <rFont val="ＭＳ Ｐゴシック"/>
        <family val="3"/>
        <charset val="134"/>
        <scheme val="minor"/>
      </rPr>
      <t>陆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陆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</si>
  <si>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青稞酒</t>
    </r>
  </si>
  <si>
    <r>
      <t>漳州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泰区国学文化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</si>
  <si>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白酒; 梨酒;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开胃酒;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</si>
  <si>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任派</t>
  </si>
  <si>
    <r>
      <t>遵</t>
    </r>
    <r>
      <rPr>
        <sz val="11"/>
        <color theme="1"/>
        <rFont val="ＭＳ Ｐゴシック"/>
        <family val="3"/>
        <charset val="134"/>
        <scheme val="minor"/>
      </rPr>
      <t>义诚</t>
    </r>
    <r>
      <rPr>
        <sz val="11"/>
        <color theme="1"/>
        <rFont val="ＭＳ Ｐゴシック"/>
        <family val="3"/>
        <charset val="128"/>
        <scheme val="minor"/>
      </rPr>
      <t>同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牧科技有限公司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</si>
  <si>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果酒; 烈性干酒;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白酒; 白干酒（中国白酒）;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露酒</t>
    </r>
  </si>
  <si>
    <t>BELALTO BY CANDONI</t>
  </si>
  <si>
    <r>
      <t>阿曼多得</t>
    </r>
    <r>
      <rPr>
        <sz val="11"/>
        <color theme="1"/>
        <rFont val="ＭＳ Ｐゴシック"/>
        <family val="3"/>
        <charset val="134"/>
        <scheme val="minor"/>
      </rPr>
      <t>赞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</si>
  <si>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</si>
  <si>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褒信王</t>
  </si>
  <si>
    <r>
      <t>百年巨匠（深圳）投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控股有限公司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</si>
  <si>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开胃酒;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</si>
  <si>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袋 MAESTRO BAGS</t>
    </r>
  </si>
  <si>
    <r>
      <t>安徽太康医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</si>
  <si>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清酒; 米酒; 白酒</t>
    </r>
  </si>
  <si>
    <r>
      <t>铭</t>
    </r>
    <r>
      <rPr>
        <sz val="11"/>
        <color theme="1"/>
        <rFont val="ＭＳ Ｐゴシック"/>
        <family val="3"/>
        <charset val="128"/>
        <scheme val="minor"/>
      </rPr>
      <t>廷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</si>
  <si>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州国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黔茅酒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</si>
  <si>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黄酒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</si>
  <si>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</t>
    </r>
    <r>
      <rPr>
        <sz val="11"/>
        <color theme="1"/>
        <rFont val="ＭＳ Ｐゴシック"/>
        <family val="3"/>
        <charset val="134"/>
        <scheme val="minor"/>
      </rPr>
      <t>颜</t>
    </r>
    <r>
      <rPr>
        <sz val="11"/>
        <color theme="1"/>
        <rFont val="ＭＳ Ｐゴシック"/>
        <family val="3"/>
        <charset val="128"/>
        <scheme val="minor"/>
      </rPr>
      <t>究生</t>
    </r>
  </si>
  <si>
    <t>三只松鼠股份有限公司</t>
  </si>
  <si>
    <r>
      <t>清酒; 青稞酒; 白酒; 果酒; 葡萄酒; 烈酒; 米酒; 利口酒;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</si>
  <si>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t>台源智</t>
  </si>
  <si>
    <r>
      <t>潘</t>
    </r>
    <r>
      <rPr>
        <sz val="11"/>
        <color theme="1"/>
        <rFont val="ＭＳ Ｐゴシック"/>
        <family val="3"/>
        <charset val="134"/>
        <scheme val="minor"/>
      </rPr>
      <t>连兴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</si>
  <si>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白酒; 青稞酒; 食用酒精;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</si>
  <si>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家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彩</t>
    </r>
  </si>
  <si>
    <t>王湘博</t>
  </si>
  <si>
    <r>
      <t>青梅酒; 露酒; 白干酒（中国白酒）;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开胃酒;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清酒</t>
    </r>
  </si>
  <si>
    <t>BEAUTIKARA</t>
  </si>
  <si>
    <t>刘郭******************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</si>
  <si>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</si>
  <si>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巧可果 QOQOGO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</si>
  <si>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威士忌; 烈酒; 清酒; 青稞酒; 果酒; 利口酒; 葡萄酒; 米酒</t>
    </r>
  </si>
  <si>
    <r>
      <t>COACH DRAGONFLY 蜻蜓教</t>
    </r>
    <r>
      <rPr>
        <sz val="11"/>
        <color theme="1"/>
        <rFont val="ＭＳ Ｐゴシック"/>
        <family val="3"/>
        <charset val="134"/>
        <scheme val="minor"/>
      </rPr>
      <t>练</t>
    </r>
  </si>
  <si>
    <r>
      <t>利口酒;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青稞酒; 清酒; 果酒; 葡萄酒; 烈酒; 威士忌; 白酒</t>
    </r>
  </si>
  <si>
    <r>
      <t>三</t>
    </r>
    <r>
      <rPr>
        <sz val="11"/>
        <color theme="1"/>
        <rFont val="ＭＳ Ｐゴシック"/>
        <family val="3"/>
        <charset val="134"/>
        <scheme val="minor"/>
      </rPr>
      <t>隐</t>
    </r>
  </si>
  <si>
    <r>
      <t>德州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凝食品有限公司</t>
    </r>
  </si>
  <si>
    <r>
      <t xml:space="preserve">果酒（含酒精）;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清酒</t>
    </r>
  </si>
  <si>
    <t>琅彩</t>
  </si>
  <si>
    <r>
      <t>福建</t>
    </r>
    <r>
      <rPr>
        <sz val="11"/>
        <color theme="1"/>
        <rFont val="ＭＳ Ｐゴシック"/>
        <family val="3"/>
        <charset val="134"/>
        <scheme val="minor"/>
      </rPr>
      <t>珐</t>
    </r>
    <r>
      <rPr>
        <sz val="11"/>
        <color theme="1"/>
        <rFont val="ＭＳ Ｐゴシック"/>
        <family val="3"/>
        <charset val="128"/>
        <scheme val="minor"/>
      </rPr>
      <t>琅彩文化科技有限公司</t>
    </r>
  </si>
  <si>
    <r>
      <t>葡萄酒; 烈酒; 威士忌;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</si>
  <si>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赤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金戈</t>
    </r>
  </si>
  <si>
    <r>
      <t>俞</t>
    </r>
    <r>
      <rPr>
        <sz val="11"/>
        <color theme="1"/>
        <rFont val="ＭＳ Ｐゴシック"/>
        <family val="3"/>
        <charset val="128"/>
        <scheme val="minor"/>
      </rPr>
      <t>斌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</si>
  <si>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葡萄酒</t>
    </r>
  </si>
  <si>
    <r>
      <t>米本</t>
    </r>
    <r>
      <rPr>
        <sz val="11"/>
        <color theme="1"/>
        <rFont val="ＭＳ Ｐゴシック"/>
        <family val="3"/>
        <charset val="134"/>
        <scheme val="minor"/>
      </rPr>
      <t>烧</t>
    </r>
  </si>
  <si>
    <r>
      <t>浙江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石梁集</t>
    </r>
    <r>
      <rPr>
        <sz val="11"/>
        <color theme="1"/>
        <rFont val="ＭＳ Ｐゴシック"/>
        <family val="3"/>
        <charset val="134"/>
        <scheme val="minor"/>
      </rPr>
      <t>团济</t>
    </r>
    <r>
      <rPr>
        <sz val="11"/>
        <color theme="1"/>
        <rFont val="ＭＳ Ｐゴシック"/>
        <family val="3"/>
        <charset val="128"/>
        <scheme val="minor"/>
      </rPr>
      <t>公家酒坊有限公司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</si>
  <si>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白酒; 汽酒;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</si>
  <si>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主播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</si>
  <si>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苗苗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</si>
  <si>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白酒;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</t>
    </r>
  </si>
  <si>
    <r>
      <t>汇创</t>
    </r>
    <r>
      <rPr>
        <sz val="11"/>
        <color theme="1"/>
        <rFont val="ＭＳ Ｐゴシック"/>
        <family val="3"/>
        <charset val="128"/>
        <scheme val="minor"/>
      </rPr>
      <t>翼</t>
    </r>
  </si>
  <si>
    <t>深圳市桑金斯旅行有限公司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</si>
  <si>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青稞酒;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</si>
  <si>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BEE HOME</t>
  </si>
  <si>
    <r>
      <t>广州市拓璞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器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</si>
  <si>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蜂蜜酒;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</si>
  <si>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代嘉儿 DAI CLAIRE</t>
  </si>
  <si>
    <r>
      <t>代</t>
    </r>
    <r>
      <rPr>
        <sz val="11"/>
        <color theme="1"/>
        <rFont val="ＭＳ Ｐゴシック"/>
        <family val="3"/>
        <charset val="134"/>
        <scheme val="minor"/>
      </rPr>
      <t>贞</t>
    </r>
    <r>
      <rPr>
        <sz val="11"/>
        <color theme="1"/>
        <rFont val="ＭＳ Ｐゴシック"/>
        <family val="3"/>
        <charset val="128"/>
        <scheme val="minor"/>
      </rPr>
      <t>俊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</si>
  <si>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薄荷酒;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</si>
  <si>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江四季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</si>
  <si>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汉玮</t>
    </r>
    <r>
      <rPr>
        <sz val="11"/>
        <color theme="1"/>
        <rFont val="ＭＳ Ｐゴシック"/>
        <family val="3"/>
        <charset val="128"/>
        <scheme val="minor"/>
      </rPr>
      <t>安晨商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</si>
  <si>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</si>
  <si>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仙谷元田</t>
  </si>
  <si>
    <r>
      <t>元阳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昊</t>
    </r>
    <r>
      <rPr>
        <sz val="11"/>
        <color theme="1"/>
        <rFont val="ＭＳ Ｐゴシック"/>
        <family val="3"/>
        <charset val="134"/>
        <scheme val="minor"/>
      </rPr>
      <t>诚农业发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</si>
  <si>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威士忌;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</si>
  <si>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钻</t>
    </r>
    <r>
      <rPr>
        <sz val="11"/>
        <color theme="1"/>
        <rFont val="ＭＳ Ｐゴシック"/>
        <family val="3"/>
        <charset val="128"/>
        <scheme val="minor"/>
      </rPr>
      <t>形</t>
    </r>
  </si>
  <si>
    <r>
      <t>深圳左和右包装</t>
    </r>
    <r>
      <rPr>
        <sz val="11"/>
        <color theme="1"/>
        <rFont val="ＭＳ Ｐゴシック"/>
        <family val="3"/>
        <charset val="134"/>
        <scheme val="minor"/>
      </rPr>
      <t>设计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</si>
  <si>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蜂蜜酒; 黄酒; 米酒;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</si>
  <si>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神醉天下</t>
  </si>
  <si>
    <r>
      <t>楚云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</si>
  <si>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烈酒; 露酒; 黄酒;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米酒; 清酒</t>
    </r>
  </si>
  <si>
    <r>
      <t>铭</t>
    </r>
    <r>
      <rPr>
        <sz val="11"/>
        <color theme="1"/>
        <rFont val="ＭＳ Ｐゴシック"/>
        <family val="3"/>
        <charset val="128"/>
        <scheme val="minor"/>
      </rPr>
      <t>廷 壹号礼酒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</si>
  <si>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米酒; 黄酒;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汽酒;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</si>
  <si>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贰</t>
    </r>
    <r>
      <rPr>
        <sz val="11"/>
        <color theme="1"/>
        <rFont val="ＭＳ Ｐゴシック"/>
        <family val="3"/>
        <charset val="128"/>
        <scheme val="minor"/>
      </rPr>
      <t xml:space="preserve"> 醉三秋</t>
    </r>
  </si>
  <si>
    <r>
      <t>安徽金种子酒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</si>
  <si>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</si>
  <si>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佰草翁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</si>
  <si>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州董酒股份有限公司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</si>
  <si>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餐后酒（利口酒和烈酒）;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开胃酒; 清酒（日本米酒）; 梨酒; 米酒</t>
    </r>
  </si>
  <si>
    <r>
      <t>福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美</t>
    </r>
  </si>
  <si>
    <r>
      <t>邓</t>
    </r>
    <r>
      <rPr>
        <sz val="11"/>
        <color theme="1"/>
        <rFont val="ＭＳ Ｐゴシック"/>
        <family val="3"/>
        <charset val="128"/>
        <scheme val="minor"/>
      </rPr>
      <t>大</t>
    </r>
    <r>
      <rPr>
        <sz val="11"/>
        <color theme="1"/>
        <rFont val="ＭＳ Ｐゴシック"/>
        <family val="3"/>
        <charset val="134"/>
        <scheme val="minor"/>
      </rPr>
      <t>铿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</si>
  <si>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露酒;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</si>
  <si>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GLENCAR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</si>
  <si>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正安食品科技有限公司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</si>
  <si>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果酒（含酒精）</t>
    </r>
  </si>
  <si>
    <t>定岳</t>
  </si>
  <si>
    <r>
      <t>杨贝</t>
    </r>
    <r>
      <rPr>
        <sz val="11"/>
        <color theme="1"/>
        <rFont val="ＭＳ Ｐゴシック"/>
        <family val="3"/>
        <charset val="128"/>
        <scheme val="minor"/>
      </rPr>
      <t>利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</si>
  <si>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高粱酒; 白酒;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威士忌; 米酒</t>
    </r>
  </si>
  <si>
    <t>FAJIU</t>
  </si>
  <si>
    <r>
      <t>利辛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展沟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客再来</t>
    </r>
    <r>
      <rPr>
        <sz val="11"/>
        <color theme="1"/>
        <rFont val="ＭＳ Ｐゴシック"/>
        <family val="3"/>
        <charset val="134"/>
        <scheme val="minor"/>
      </rPr>
      <t>饭馆</t>
    </r>
  </si>
  <si>
    <r>
      <t>葡萄酒;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汽酒</t>
    </r>
  </si>
  <si>
    <r>
      <t>井</t>
    </r>
    <r>
      <rPr>
        <sz val="11"/>
        <color theme="1"/>
        <rFont val="ＭＳ Ｐゴシック"/>
        <family val="3"/>
        <charset val="134"/>
        <scheme val="minor"/>
      </rPr>
      <t>鉴</t>
    </r>
  </si>
  <si>
    <r>
      <t>上海酒悦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品商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</si>
  <si>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黄酒; 葡萄酒;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</si>
  <si>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IF</t>
  </si>
  <si>
    <t>段微微</t>
  </si>
  <si>
    <r>
      <t xml:space="preserve">水果汽酒;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葡萄酒; 果酒;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梅酒</t>
    </r>
  </si>
  <si>
    <t>桂振帮</t>
  </si>
  <si>
    <r>
      <t>桂林豆子文化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</si>
  <si>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威士忌; 黄酒; 果酒; 米酒; 佐餐酒;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</si>
  <si>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瑞达盈</t>
  </si>
  <si>
    <r>
      <t>果酒（含酒精）; 青稞酒; 白酒; 清酒（日本米酒）;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</si>
  <si>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花</t>
    </r>
    <r>
      <rPr>
        <sz val="11"/>
        <color theme="1"/>
        <rFont val="ＭＳ Ｐゴシック"/>
        <family val="3"/>
        <charset val="134"/>
        <scheme val="minor"/>
      </rPr>
      <t>间</t>
    </r>
    <r>
      <rPr>
        <sz val="11"/>
        <color theme="1"/>
        <rFont val="ＭＳ Ｐゴシック"/>
        <family val="3"/>
        <charset val="128"/>
        <scheme val="minor"/>
      </rPr>
      <t>宿</t>
    </r>
  </si>
  <si>
    <r>
      <t>吉林省</t>
    </r>
    <r>
      <rPr>
        <sz val="11"/>
        <color theme="1"/>
        <rFont val="ＭＳ Ｐゴシック"/>
        <family val="3"/>
        <charset val="134"/>
        <scheme val="minor"/>
      </rPr>
      <t>红动饮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</si>
  <si>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清酒; 威士忌; 果酒;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</t>
    </r>
  </si>
  <si>
    <r>
      <t>嘉能嘉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</si>
  <si>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</si>
  <si>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圣拉斐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葡萄酒有限公司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</si>
  <si>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甘蔗制烈酒;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</si>
  <si>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ZHONGYI·SANLIAO</t>
  </si>
  <si>
    <r>
      <t>四川中彝三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</si>
  <si>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伏特加酒; 米酒; 果酒（含酒精）; 开胃酒; 黄酒</t>
    </r>
  </si>
  <si>
    <t>塞上富酩</t>
  </si>
  <si>
    <r>
      <t>宁夏富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酒庄有限公司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</si>
  <si>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白酒; 果酒（含酒精）; 茴香酒（利口酒）;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</si>
  <si>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醉三秋</t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</si>
  <si>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</si>
  <si>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王台</t>
    </r>
  </si>
  <si>
    <r>
      <t>车</t>
    </r>
    <r>
      <rPr>
        <sz val="11"/>
        <color theme="1"/>
        <rFont val="ＭＳ Ｐゴシック"/>
        <family val="3"/>
        <charset val="128"/>
        <scheme val="minor"/>
      </rPr>
      <t>立超</t>
    </r>
  </si>
  <si>
    <r>
      <t>白酒; 青稞酒;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威士忌;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利口酒</t>
    </r>
  </si>
  <si>
    <t>燕子河</t>
  </si>
  <si>
    <r>
      <t>安徽省霍邱</t>
    </r>
    <r>
      <rPr>
        <sz val="11"/>
        <color theme="1"/>
        <rFont val="ＭＳ Ｐゴシック"/>
        <family val="3"/>
        <charset val="134"/>
        <scheme val="minor"/>
      </rPr>
      <t>县临</t>
    </r>
    <r>
      <rPr>
        <sz val="11"/>
        <color theme="1"/>
        <rFont val="ＭＳ Ｐゴシック"/>
        <family val="3"/>
        <charset val="128"/>
        <scheme val="minor"/>
      </rPr>
      <t>水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玉泉酒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</si>
  <si>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利口酒;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白酒; 葡萄酒; 威士忌;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</si>
  <si>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鲜</t>
    </r>
    <r>
      <rPr>
        <sz val="11"/>
        <color theme="1"/>
        <rFont val="ＭＳ Ｐゴシック"/>
        <family val="3"/>
        <charset val="128"/>
        <scheme val="minor"/>
      </rPr>
      <t>来果园</t>
    </r>
  </si>
  <si>
    <r>
      <t>杭州俏范企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</si>
  <si>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</si>
  <si>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哈</t>
    </r>
    <r>
      <rPr>
        <sz val="11"/>
        <color theme="1"/>
        <rFont val="ＭＳ Ｐゴシック"/>
        <family val="3"/>
        <charset val="134"/>
        <scheme val="minor"/>
      </rPr>
      <t>喽</t>
    </r>
    <r>
      <rPr>
        <sz val="11"/>
        <color theme="1"/>
        <rFont val="ＭＳ Ｐゴシック"/>
        <family val="3"/>
        <charset val="128"/>
        <scheme val="minor"/>
      </rPr>
      <t>送酒</t>
    </r>
  </si>
  <si>
    <r>
      <t>铜</t>
    </r>
    <r>
      <rPr>
        <sz val="11"/>
        <color theme="1"/>
        <rFont val="ＭＳ Ｐゴシック"/>
        <family val="3"/>
        <charset val="128"/>
        <scheme val="minor"/>
      </rPr>
      <t>川市正果网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</si>
  <si>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食用酒精; 白酒; 葡萄酒; 利口酒; 高粱酒;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甜酒;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</si>
  <si>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ST.FORDE</t>
  </si>
  <si>
    <r>
      <t>四川港投嘉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</si>
  <si>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露酒; 果酒（含酒精）; 餐后酒（利口酒和烈酒）;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葡萄酒; 清酒（日本米酒）</t>
    </r>
  </si>
  <si>
    <r>
      <t>筒</t>
    </r>
    <r>
      <rPr>
        <sz val="11"/>
        <color theme="1"/>
        <rFont val="ＭＳ Ｐゴシック"/>
        <family val="3"/>
        <charset val="134"/>
        <scheme val="minor"/>
      </rPr>
      <t>牍</t>
    </r>
    <r>
      <rPr>
        <sz val="11"/>
        <color theme="1"/>
        <rFont val="ＭＳ Ｐゴシック"/>
        <family val="3"/>
        <charset val="128"/>
        <scheme val="minor"/>
      </rPr>
      <t>密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</si>
  <si>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德元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</si>
  <si>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果酒（含酒精）</t>
    </r>
  </si>
  <si>
    <r>
      <t>提大</t>
    </r>
    <r>
      <rPr>
        <sz val="11"/>
        <color theme="1"/>
        <rFont val="ＭＳ Ｐゴシック"/>
        <family val="3"/>
        <charset val="134"/>
        <scheme val="minor"/>
      </rPr>
      <t>贰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</si>
  <si>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州知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</si>
  <si>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白酒; 甜酒; 清酒; 汽酒; 黄酒</t>
    </r>
  </si>
  <si>
    <r>
      <t>社科</t>
    </r>
    <r>
      <rPr>
        <sz val="11"/>
        <color theme="1"/>
        <rFont val="ＭＳ Ｐゴシック"/>
        <family val="3"/>
        <charset val="134"/>
        <scheme val="minor"/>
      </rPr>
      <t>赛</t>
    </r>
    <r>
      <rPr>
        <sz val="11"/>
        <color theme="1"/>
        <rFont val="ＭＳ Ｐゴシック"/>
        <family val="3"/>
        <charset val="128"/>
        <scheme val="minor"/>
      </rPr>
      <t>斯</t>
    </r>
  </si>
  <si>
    <r>
      <t>北京社科</t>
    </r>
    <r>
      <rPr>
        <sz val="11"/>
        <color theme="1"/>
        <rFont val="ＭＳ Ｐゴシック"/>
        <family val="3"/>
        <charset val="134"/>
        <scheme val="minor"/>
      </rPr>
      <t>赛</t>
    </r>
    <r>
      <rPr>
        <sz val="11"/>
        <color theme="1"/>
        <rFont val="ＭＳ Ｐゴシック"/>
        <family val="3"/>
        <charset val="128"/>
        <scheme val="minor"/>
      </rPr>
      <t>斯教育科技有限公司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</si>
  <si>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伏特加酒;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</si>
  <si>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r>
      <t>鉴浓</t>
    </r>
    <r>
      <rPr>
        <sz val="11"/>
        <color theme="1"/>
        <rFont val="ＭＳ Ｐゴシック"/>
        <family val="3"/>
        <charset val="128"/>
        <scheme val="minor"/>
      </rPr>
      <t>双</t>
    </r>
    <r>
      <rPr>
        <sz val="11"/>
        <color theme="1"/>
        <rFont val="ＭＳ Ｐゴシック"/>
        <family val="3"/>
        <charset val="134"/>
        <scheme val="minor"/>
      </rPr>
      <t>龄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</si>
  <si>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纯</t>
    </r>
    <r>
      <rPr>
        <sz val="11"/>
        <color theme="1"/>
        <rFont val="ＭＳ Ｐゴシック"/>
        <family val="3"/>
        <charset val="128"/>
        <scheme val="minor"/>
      </rPr>
      <t>粮固</t>
    </r>
    <r>
      <rPr>
        <sz val="11"/>
        <color theme="1"/>
        <rFont val="ＭＳ Ｐゴシック"/>
        <family val="3"/>
        <charset val="134"/>
        <scheme val="minor"/>
      </rPr>
      <t>态酿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</si>
  <si>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果酒; 葡萄酒; 青稞酒;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白酒;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</si>
  <si>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珍煌上品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</si>
  <si>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河洋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</si>
  <si>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白酒; 高粱酒; 烈酒; 米酒</t>
    </r>
  </si>
  <si>
    <r>
      <t>三</t>
    </r>
    <r>
      <rPr>
        <sz val="11"/>
        <color theme="1"/>
        <rFont val="ＭＳ Ｐゴシック"/>
        <family val="3"/>
        <charset val="134"/>
        <scheme val="minor"/>
      </rPr>
      <t>顾</t>
    </r>
    <r>
      <rPr>
        <sz val="11"/>
        <color theme="1"/>
        <rFont val="ＭＳ Ｐゴシック"/>
        <family val="3"/>
        <charset val="128"/>
        <scheme val="minor"/>
      </rPr>
      <t>源</t>
    </r>
  </si>
  <si>
    <r>
      <t>湖北三</t>
    </r>
    <r>
      <rPr>
        <sz val="11"/>
        <color theme="1"/>
        <rFont val="ＭＳ Ｐゴシック"/>
        <family val="3"/>
        <charset val="134"/>
        <scheme val="minor"/>
      </rPr>
      <t>顾</t>
    </r>
    <r>
      <rPr>
        <sz val="11"/>
        <color theme="1"/>
        <rFont val="ＭＳ Ｐゴシック"/>
        <family val="3"/>
        <charset val="128"/>
        <scheme val="minor"/>
      </rPr>
      <t>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</si>
  <si>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高粱酒;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蜂蜜酒; 白酒</t>
    </r>
  </si>
  <si>
    <t>ZUIMAOJIANGJIU</t>
  </si>
  <si>
    <r>
      <t>创</t>
    </r>
    <r>
      <rPr>
        <sz val="11"/>
        <color theme="1"/>
        <rFont val="ＭＳ Ｐゴシック"/>
        <family val="3"/>
        <charset val="128"/>
        <scheme val="minor"/>
      </rPr>
      <t>佳</t>
    </r>
    <r>
      <rPr>
        <sz val="11"/>
        <color theme="1"/>
        <rFont val="ＭＳ Ｐゴシック"/>
        <family val="3"/>
        <charset val="134"/>
        <scheme val="minor"/>
      </rPr>
      <t>绩</t>
    </r>
    <r>
      <rPr>
        <sz val="11"/>
        <color theme="1"/>
        <rFont val="ＭＳ Ｐゴシック"/>
        <family val="3"/>
        <charset val="128"/>
        <scheme val="minor"/>
      </rPr>
      <t>(</t>
    </r>
    <r>
      <rPr>
        <sz val="11"/>
        <color theme="1"/>
        <rFont val="ＭＳ Ｐゴシック"/>
        <family val="3"/>
        <charset val="134"/>
        <scheme val="minor"/>
      </rPr>
      <t>郑</t>
    </r>
    <r>
      <rPr>
        <sz val="11"/>
        <color theme="1"/>
        <rFont val="ＭＳ Ｐゴシック"/>
        <family val="3"/>
        <charset val="128"/>
        <scheme val="minor"/>
      </rPr>
      <t>州)教育咨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</si>
  <si>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威士忌; 汽酒; 白酒; 黄酒</t>
    </r>
  </si>
  <si>
    <r>
      <t>满</t>
    </r>
    <r>
      <rPr>
        <sz val="11"/>
        <color theme="1"/>
        <rFont val="ＭＳ Ｐゴシック"/>
        <family val="3"/>
        <charset val="128"/>
        <scheme val="minor"/>
      </rPr>
      <t>园湘</t>
    </r>
  </si>
  <si>
    <r>
      <t>津市市似玉日用百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中心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</si>
  <si>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青稞酒;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开胃酒</t>
    </r>
  </si>
  <si>
    <t>渡今夕</t>
  </si>
  <si>
    <r>
      <t>刘海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</si>
  <si>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黄酒; 葡萄酒; 白酒; 烈酒; 果酒（含酒精）; 清酒（日本米酒）; 威士忌;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</si>
  <si>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嶂商淇会</t>
  </si>
  <si>
    <r>
      <t>广州商隆酒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</si>
  <si>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烈酒; 甜果酒;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</si>
  <si>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道商美</t>
  </si>
  <si>
    <r>
      <t>道商美网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科技（海南）有限公司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</si>
  <si>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果酒（含酒精）; 米酒</t>
    </r>
  </si>
  <si>
    <t>六六重礼</t>
  </si>
  <si>
    <r>
      <t>温州</t>
    </r>
    <r>
      <rPr>
        <sz val="11"/>
        <color theme="1"/>
        <rFont val="ＭＳ Ｐゴシック"/>
        <family val="3"/>
        <charset val="134"/>
        <scheme val="minor"/>
      </rPr>
      <t>团联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</si>
  <si>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开胃酒; 果酒（含酒精）; 白酒; 米酒;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</si>
  <si>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左公安好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</si>
  <si>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白酒; 黄酒;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</si>
  <si>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WAIZUISU</t>
  </si>
  <si>
    <r>
      <t>仲</t>
    </r>
    <r>
      <rPr>
        <sz val="11"/>
        <color theme="1"/>
        <rFont val="ＭＳ Ｐゴシック"/>
        <family val="3"/>
        <charset val="134"/>
        <scheme val="minor"/>
      </rPr>
      <t>跃</t>
    </r>
  </si>
  <si>
    <r>
      <t>果酒（含酒精）; 白酒; 餐后酒（利口酒和烈酒）; 蜂蜜酒;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</si>
  <si>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VIXIO</t>
  </si>
  <si>
    <r>
      <t>保定市浩森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</si>
  <si>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利口酒;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黄酒; 食用酒精; 白酒</t>
    </r>
  </si>
  <si>
    <t>木又月青醇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</si>
  <si>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市南岸区南山街道佳郡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村</t>
    </r>
    <r>
      <rPr>
        <sz val="11"/>
        <color theme="1"/>
        <rFont val="ＭＳ Ｐゴシック"/>
        <family val="3"/>
        <charset val="134"/>
        <scheme val="minor"/>
      </rPr>
      <t>综</t>
    </r>
    <r>
      <rPr>
        <sz val="11"/>
        <color theme="1"/>
        <rFont val="ＭＳ Ｐゴシック"/>
        <family val="3"/>
        <charset val="128"/>
        <scheme val="minor"/>
      </rPr>
      <t>合服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社有限公司</t>
    </r>
  </si>
  <si>
    <r>
      <t>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黄酒; 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威士忌; 清酒</t>
    </r>
  </si>
  <si>
    <r>
      <t>滇</t>
    </r>
    <r>
      <rPr>
        <sz val="11"/>
        <color theme="1"/>
        <rFont val="ＭＳ Ｐゴシック"/>
        <family val="3"/>
        <charset val="134"/>
        <scheme val="minor"/>
      </rPr>
      <t>钱</t>
    </r>
    <r>
      <rPr>
        <sz val="11"/>
        <color theme="1"/>
        <rFont val="ＭＳ Ｐゴシック"/>
        <family val="3"/>
        <charset val="128"/>
        <scheme val="minor"/>
      </rPr>
      <t>王</t>
    </r>
  </si>
  <si>
    <r>
      <t>宏界文化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意（云南）有限公司</t>
    </r>
  </si>
  <si>
    <r>
      <t>白酒;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</t>
    </r>
  </si>
  <si>
    <r>
      <t>时</t>
    </r>
    <r>
      <rPr>
        <sz val="11"/>
        <color theme="1"/>
        <rFont val="ＭＳ Ｐゴシック"/>
        <family val="3"/>
        <charset val="128"/>
        <scheme val="minor"/>
      </rPr>
      <t>空醉</t>
    </r>
  </si>
  <si>
    <t>邹庆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</si>
  <si>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白干酒（中国白酒）; 米酒; 高粱酒;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</si>
  <si>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t>古壁</t>
  </si>
  <si>
    <r>
      <t xml:space="preserve">葡萄酒; 米酒; 果酒（含酒精）; 清酒（日本米酒）;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</si>
  <si>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日出西</t>
    </r>
    <r>
      <rPr>
        <sz val="11"/>
        <color theme="1"/>
        <rFont val="ＭＳ Ｐゴシック"/>
        <family val="3"/>
        <charset val="134"/>
        <scheme val="minor"/>
      </rPr>
      <t>辽</t>
    </r>
  </si>
  <si>
    <t>包文喜</t>
  </si>
  <si>
    <r>
      <t>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果酒;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青稞酒; 甜酒; 开胃酒;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</si>
  <si>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书</t>
    </r>
    <r>
      <rPr>
        <sz val="11"/>
        <color theme="1"/>
        <rFont val="ＭＳ Ｐゴシック"/>
        <family val="3"/>
        <charset val="128"/>
        <scheme val="minor"/>
      </rPr>
      <t>香侠</t>
    </r>
    <r>
      <rPr>
        <sz val="11"/>
        <color theme="1"/>
        <rFont val="ＭＳ Ｐゴシック"/>
        <family val="3"/>
        <charset val="134"/>
        <scheme val="minor"/>
      </rPr>
      <t>义</t>
    </r>
  </si>
  <si>
    <r>
      <t>上海茅董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</si>
  <si>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白酒; 果酒（含酒精）</t>
    </r>
  </si>
  <si>
    <t>桌道</t>
  </si>
  <si>
    <r>
      <t>遵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桌道酒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</si>
  <si>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威士忌; 米酒</t>
    </r>
  </si>
  <si>
    <r>
      <t>珑</t>
    </r>
    <r>
      <rPr>
        <sz val="11"/>
        <color theme="1"/>
        <rFont val="ＭＳ Ｐゴシック"/>
        <family val="3"/>
        <charset val="128"/>
        <scheme val="minor"/>
      </rPr>
      <t>壹果酒</t>
    </r>
  </si>
  <si>
    <r>
      <t>阜宁</t>
    </r>
    <r>
      <rPr>
        <sz val="11"/>
        <color theme="1"/>
        <rFont val="ＭＳ Ｐゴシック"/>
        <family val="3"/>
        <charset val="134"/>
        <scheme val="minor"/>
      </rPr>
      <t>县珑</t>
    </r>
    <r>
      <rPr>
        <sz val="11"/>
        <color theme="1"/>
        <rFont val="ＭＳ Ｐゴシック"/>
        <family val="3"/>
        <charset val="128"/>
        <scheme val="minor"/>
      </rPr>
      <t>壹果酒有限公司</t>
    </r>
  </si>
  <si>
    <t>JIANGJIUZUIMAO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</si>
  <si>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威士忌; 黄酒</t>
    </r>
  </si>
  <si>
    <t>梁狠狠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</si>
  <si>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芯科技有限公司</t>
    </r>
  </si>
  <si>
    <r>
      <t xml:space="preserve">高粱酒;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青稞酒; 黄酒; 清酒;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威士忌</t>
    </r>
  </si>
  <si>
    <r>
      <t>拾伍</t>
    </r>
    <r>
      <rPr>
        <sz val="11"/>
        <color theme="1"/>
        <rFont val="ＭＳ Ｐゴシック"/>
        <family val="3"/>
        <charset val="134"/>
        <scheme val="minor"/>
      </rPr>
      <t>钻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</si>
  <si>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家</t>
    </r>
    <r>
      <rPr>
        <sz val="11"/>
        <color theme="1"/>
        <rFont val="ＭＳ Ｐゴシック"/>
        <family val="3"/>
        <charset val="134"/>
        <scheme val="minor"/>
      </rPr>
      <t>创库</t>
    </r>
    <r>
      <rPr>
        <sz val="11"/>
        <color theme="1"/>
        <rFont val="ＭＳ Ｐゴシック"/>
        <family val="3"/>
        <charset val="128"/>
        <scheme val="minor"/>
      </rPr>
      <t>（深圳）供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</si>
  <si>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葡萄酒; 白酒;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清酒（日本米酒）</t>
    </r>
  </si>
  <si>
    <r>
      <t xml:space="preserve">LONGYI </t>
    </r>
    <r>
      <rPr>
        <sz val="11"/>
        <color theme="1"/>
        <rFont val="ＭＳ Ｐゴシック"/>
        <family val="3"/>
        <charset val="134"/>
        <scheme val="minor"/>
      </rPr>
      <t>珑</t>
    </r>
    <r>
      <rPr>
        <sz val="11"/>
        <color theme="1"/>
        <rFont val="ＭＳ Ｐゴシック"/>
        <family val="3"/>
        <charset val="128"/>
        <scheme val="minor"/>
      </rPr>
      <t>壹果酒</t>
    </r>
  </si>
  <si>
    <r>
      <t>千</t>
    </r>
    <r>
      <rPr>
        <sz val="11"/>
        <color theme="1"/>
        <rFont val="ＭＳ Ｐゴシック"/>
        <family val="3"/>
        <charset val="134"/>
        <scheme val="minor"/>
      </rPr>
      <t>载</t>
    </r>
    <r>
      <rPr>
        <sz val="11"/>
        <color theme="1"/>
        <rFont val="ＭＳ Ｐゴシック"/>
        <family val="3"/>
        <charset val="128"/>
        <scheme val="minor"/>
      </rPr>
      <t>大运河</t>
    </r>
  </si>
  <si>
    <r>
      <t>沧</t>
    </r>
    <r>
      <rPr>
        <sz val="11"/>
        <color theme="1"/>
        <rFont val="ＭＳ Ｐゴシック"/>
        <family val="3"/>
        <charset val="128"/>
        <scheme val="minor"/>
      </rPr>
      <t>州礼遇</t>
    </r>
    <r>
      <rPr>
        <sz val="11"/>
        <color theme="1"/>
        <rFont val="ＭＳ Ｐゴシック"/>
        <family val="3"/>
        <charset val="134"/>
        <scheme val="minor"/>
      </rPr>
      <t>农产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</si>
  <si>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果酒; 白酒; 葡萄酒; 开胃酒;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</si>
  <si>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钱</t>
    </r>
    <r>
      <rPr>
        <sz val="11"/>
        <color theme="1"/>
        <rFont val="ＭＳ Ｐゴシック"/>
        <family val="3"/>
        <charset val="128"/>
        <scheme val="minor"/>
      </rPr>
      <t>渠</t>
    </r>
  </si>
  <si>
    <t>姑奶奶超市股份有限公司</t>
  </si>
  <si>
    <r>
      <t>清酒; 白酒; 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</si>
  <si>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中宕 中宕酒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</si>
  <si>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中宕（杭州）酒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</si>
  <si>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开胃酒;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果酒; 烈酒;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</si>
  <si>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穗园</t>
  </si>
  <si>
    <r>
      <t>贾</t>
    </r>
    <r>
      <rPr>
        <sz val="11"/>
        <color theme="1"/>
        <rFont val="ＭＳ Ｐゴシック"/>
        <family val="3"/>
        <charset val="128"/>
        <scheme val="minor"/>
      </rPr>
      <t>宁</t>
    </r>
  </si>
  <si>
    <r>
      <t>开胃酒; 威士忌;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</si>
  <si>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瑞</t>
    </r>
    <r>
      <rPr>
        <sz val="11"/>
        <color theme="1"/>
        <rFont val="ＭＳ Ｐゴシック"/>
        <family val="3"/>
        <charset val="134"/>
        <scheme val="minor"/>
      </rPr>
      <t>检测诚</t>
    </r>
  </si>
  <si>
    <r>
      <t>北京中云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检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</si>
  <si>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威士忌;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</t>
    </r>
  </si>
  <si>
    <r>
      <t>小</t>
    </r>
    <r>
      <rPr>
        <sz val="11"/>
        <color theme="1"/>
        <rFont val="ＭＳ Ｐゴシック"/>
        <family val="3"/>
        <charset val="134"/>
        <scheme val="minor"/>
      </rPr>
      <t>隐</t>
    </r>
    <r>
      <rPr>
        <sz val="11"/>
        <color theme="1"/>
        <rFont val="ＭＳ Ｐゴシック"/>
        <family val="3"/>
        <charset val="128"/>
        <scheme val="minor"/>
      </rPr>
      <t>大</t>
    </r>
    <r>
      <rPr>
        <sz val="11"/>
        <color theme="1"/>
        <rFont val="ＭＳ Ｐゴシック"/>
        <family val="3"/>
        <charset val="134"/>
        <scheme val="minor"/>
      </rPr>
      <t>满</t>
    </r>
  </si>
  <si>
    <t>吉航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</si>
  <si>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</si>
  <si>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赤窖天下</t>
  </si>
  <si>
    <r>
      <t>邓</t>
    </r>
    <r>
      <rPr>
        <sz val="11"/>
        <color theme="1"/>
        <rFont val="ＭＳ Ｐゴシック"/>
        <family val="3"/>
        <charset val="128"/>
        <scheme val="minor"/>
      </rPr>
      <t>芬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</si>
  <si>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清酒（日本米酒）;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葡萄酒; 黄酒</t>
    </r>
  </si>
  <si>
    <t>泰草堂</t>
  </si>
  <si>
    <t>黄蛟</t>
  </si>
  <si>
    <r>
      <t>葡萄酒; 白酒;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利口酒; 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</si>
  <si>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蝉羽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</si>
  <si>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白酒; 蒸煮提取物（利口酒和烈酒）; 威士忌; 葡萄酒</t>
    </r>
  </si>
  <si>
    <r>
      <t>发</t>
    </r>
    <r>
      <rPr>
        <sz val="11"/>
        <color theme="1"/>
        <rFont val="ＭＳ Ｐゴシック"/>
        <family val="3"/>
        <charset val="128"/>
        <scheme val="minor"/>
      </rPr>
      <t>藏</t>
    </r>
  </si>
  <si>
    <r>
      <t>西咸新区</t>
    </r>
    <r>
      <rPr>
        <sz val="11"/>
        <color theme="1"/>
        <rFont val="ＭＳ Ｐゴシック"/>
        <family val="3"/>
        <charset val="134"/>
        <scheme val="minor"/>
      </rPr>
      <t>沣东</t>
    </r>
    <r>
      <rPr>
        <sz val="11"/>
        <color theme="1"/>
        <rFont val="ＭＳ Ｐゴシック"/>
        <family val="3"/>
        <charset val="128"/>
        <scheme val="minor"/>
      </rPr>
      <t>新城迪源商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</si>
  <si>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>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</t>
    </r>
  </si>
  <si>
    <r>
      <t>夜</t>
    </r>
    <r>
      <rPr>
        <sz val="11"/>
        <color theme="1"/>
        <rFont val="ＭＳ Ｐゴシック"/>
        <family val="3"/>
        <charset val="134"/>
        <scheme val="minor"/>
      </rPr>
      <t>樱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</si>
  <si>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高粱酒;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</t>
    </r>
  </si>
  <si>
    <t>福陶坊一滴香</t>
  </si>
  <si>
    <r>
      <t>陈</t>
    </r>
    <r>
      <rPr>
        <sz val="11"/>
        <color theme="1"/>
        <rFont val="ＭＳ Ｐゴシック"/>
        <family val="3"/>
        <charset val="128"/>
        <scheme val="minor"/>
      </rPr>
      <t>家文</t>
    </r>
  </si>
  <si>
    <r>
      <t>梨酒; 黄酒;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食用酒精; 葡萄酒</t>
    </r>
  </si>
  <si>
    <r>
      <t>乙名卓</t>
    </r>
    <r>
      <rPr>
        <sz val="11"/>
        <color theme="1"/>
        <rFont val="ＭＳ Ｐゴシック"/>
        <family val="3"/>
        <charset val="134"/>
        <scheme val="minor"/>
      </rPr>
      <t>狮</t>
    </r>
  </si>
  <si>
    <r>
      <t>沧</t>
    </r>
    <r>
      <rPr>
        <sz val="11"/>
        <color theme="1"/>
        <rFont val="ＭＳ Ｐゴシック"/>
        <family val="3"/>
        <charset val="128"/>
        <scheme val="minor"/>
      </rPr>
      <t>州一名商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</si>
  <si>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威士忌; 伏特加酒;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利口酒; 葡萄酒</t>
    </r>
  </si>
  <si>
    <t>唐河王</t>
  </si>
  <si>
    <r>
      <t>吴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芝</t>
    </r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</si>
  <si>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伏特加酒; 果酒（含酒精）; 葡萄酒; 黄酒; 清酒（日本米酒）</t>
    </r>
  </si>
  <si>
    <t>寸心物源</t>
  </si>
  <si>
    <r>
      <t>广州市寸心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</si>
  <si>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</t>
    </r>
  </si>
  <si>
    <r>
      <t>瀚芸定酒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</si>
  <si>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四川瀚芸商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信息咨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</si>
  <si>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薄荷酒; 苦味酒; 白酒; 利口酒; 葡萄酒; 米酒;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</si>
  <si>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沺园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造</t>
    </r>
  </si>
  <si>
    <r>
      <t>西安田园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客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</si>
  <si>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威士忌; 米酒; 食用酒精; 白酒; 黄酒;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果酒（含酒精）</t>
    </r>
  </si>
  <si>
    <t>始圣天泉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</si>
  <si>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天</t>
    </r>
    <r>
      <rPr>
        <sz val="11"/>
        <color theme="1"/>
        <rFont val="ＭＳ Ｐゴシック"/>
        <family val="3"/>
        <charset val="134"/>
        <scheme val="minor"/>
      </rPr>
      <t>宫琼浆</t>
    </r>
    <r>
      <rPr>
        <sz val="11"/>
        <color theme="1"/>
        <rFont val="ＭＳ Ｐゴシック"/>
        <family val="3"/>
        <charset val="128"/>
        <scheme val="minor"/>
      </rPr>
      <t>黑科技有限公司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</si>
  <si>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葡萄酒;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</si>
  <si>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洛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兔</t>
    </r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</si>
  <si>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市合屹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</si>
  <si>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薄荷酒; 茴芹酒（利口酒）;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蒸煮提取物（利口酒和烈酒）; 柑香酒; 苦味酒; 开胃酒;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</si>
  <si>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初空</t>
  </si>
  <si>
    <r>
      <t xml:space="preserve">果酒（含酒精）; 葡萄酒;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</si>
  <si>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胧</t>
    </r>
    <r>
      <rPr>
        <sz val="11"/>
        <color theme="1"/>
        <rFont val="ＭＳ Ｐゴシック"/>
        <family val="3"/>
        <charset val="128"/>
        <scheme val="minor"/>
      </rPr>
      <t>月</t>
    </r>
  </si>
  <si>
    <r>
      <t>果酒（含酒精）;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白酒; 米酒;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利口酒</t>
    </r>
  </si>
  <si>
    <r>
      <t>月</t>
    </r>
    <r>
      <rPr>
        <sz val="11"/>
        <color theme="1"/>
        <rFont val="ＭＳ Ｐゴシック"/>
        <family val="3"/>
        <charset val="134"/>
        <scheme val="minor"/>
      </rPr>
      <t>宫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</si>
  <si>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付</t>
    </r>
    <r>
      <rPr>
        <sz val="11"/>
        <color theme="1"/>
        <rFont val="ＭＳ Ｐゴシック"/>
        <family val="3"/>
        <charset val="134"/>
        <scheme val="minor"/>
      </rPr>
      <t>显</t>
    </r>
    <r>
      <rPr>
        <sz val="11"/>
        <color theme="1"/>
        <rFont val="ＭＳ Ｐゴシック"/>
        <family val="3"/>
        <charset val="128"/>
        <scheme val="minor"/>
      </rPr>
      <t>波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</si>
  <si>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威士忌; 果酒（含酒精）;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白酒;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</si>
  <si>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庞</t>
    </r>
    <r>
      <rPr>
        <sz val="11"/>
        <color theme="1"/>
        <rFont val="ＭＳ Ｐゴシック"/>
        <family val="3"/>
        <charset val="128"/>
        <scheme val="minor"/>
      </rPr>
      <t>泉酒庄 酒</t>
    </r>
  </si>
  <si>
    <r>
      <t>山西</t>
    </r>
    <r>
      <rPr>
        <sz val="11"/>
        <color theme="1"/>
        <rFont val="ＭＳ Ｐゴシック"/>
        <family val="3"/>
        <charset val="134"/>
        <scheme val="minor"/>
      </rPr>
      <t>庞</t>
    </r>
    <r>
      <rPr>
        <sz val="11"/>
        <color theme="1"/>
        <rFont val="ＭＳ Ｐゴシック"/>
        <family val="3"/>
        <charset val="128"/>
        <scheme val="minor"/>
      </rPr>
      <t>泉酒庄有限公司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</si>
  <si>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高粱酒; 蒸煮提取物（利口酒和烈酒）; 食用酒精; 白酒;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白干酒（中国白酒）; 黄酒</t>
    </r>
  </si>
  <si>
    <t>油沙情</t>
  </si>
  <si>
    <r>
      <t>油沙情(重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)生物科技有限公司</t>
    </r>
  </si>
  <si>
    <r>
      <t>饮</t>
    </r>
    <r>
      <rPr>
        <sz val="11"/>
        <color theme="1"/>
        <rFont val="ＭＳ Ｐゴシック"/>
        <family val="3"/>
        <charset val="128"/>
        <scheme val="minor"/>
      </rPr>
      <t>用烈酒; 高粱酒;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苦味酒;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</t>
    </r>
  </si>
  <si>
    <t>裕著</t>
  </si>
  <si>
    <r>
      <t>张</t>
    </r>
    <r>
      <rPr>
        <sz val="11"/>
        <color theme="1"/>
        <rFont val="ＭＳ Ｐゴシック"/>
        <family val="3"/>
        <charset val="128"/>
        <scheme val="minor"/>
      </rPr>
      <t>国涛</t>
    </r>
  </si>
  <si>
    <r>
      <t>利口酒;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果酒;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</si>
  <si>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t>祈年悦山河</t>
  </si>
  <si>
    <t>张军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</si>
  <si>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露酒; 餐后酒（利口酒和烈酒）; 米酒; 白酒; 苹果酒;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</si>
  <si>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秋沚</t>
  </si>
  <si>
    <r>
      <t>莆田市知秋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</si>
  <si>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葡萄酒; 高粱酒;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</si>
  <si>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佗</t>
    </r>
    <r>
      <rPr>
        <sz val="11"/>
        <color theme="1"/>
        <rFont val="ＭＳ Ｐゴシック"/>
        <family val="3"/>
        <charset val="134"/>
        <scheme val="minor"/>
      </rPr>
      <t>济</t>
    </r>
    <r>
      <rPr>
        <sz val="11"/>
        <color theme="1"/>
        <rFont val="ＭＳ Ｐゴシック"/>
        <family val="3"/>
        <charset val="128"/>
        <scheme val="minor"/>
      </rPr>
      <t>方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</si>
  <si>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志宁</t>
    </r>
  </si>
  <si>
    <r>
      <t>黄酒; 葡萄酒; 汽酒; 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清酒;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</si>
  <si>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江西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亮酒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</si>
  <si>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高粱酒;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甜酒; 食用酒精</t>
    </r>
  </si>
  <si>
    <t>李秋映</t>
  </si>
  <si>
    <r>
      <t>常州喜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</si>
  <si>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米酒;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</t>
    </r>
  </si>
  <si>
    <r>
      <t>主</t>
    </r>
    <r>
      <rPr>
        <sz val="11"/>
        <color theme="1"/>
        <rFont val="ＭＳ Ｐゴシック"/>
        <family val="3"/>
        <charset val="134"/>
        <scheme val="minor"/>
      </rPr>
      <t>际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</si>
  <si>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州国惠酒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</si>
  <si>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五加皮酒（中国混合烈酒）;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</si>
  <si>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商始祖馥合香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</si>
  <si>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商始祖酒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</si>
  <si>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食用酒精; 黄酒</t>
    </r>
  </si>
  <si>
    <t>福桂堂孔氏</t>
  </si>
  <si>
    <r>
      <t>文水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福桂堂孔氏文化园有限公司</t>
    </r>
  </si>
  <si>
    <r>
      <t>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</t>
    </r>
  </si>
  <si>
    <r>
      <t xml:space="preserve">果酒（含酒精）;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葡萄酒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</si>
  <si>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蒸煮提取物（利口酒和烈酒）; 利口酒; 威士忌;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食用酒精</t>
    </r>
  </si>
  <si>
    <t>黔邸尊享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</si>
  <si>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市上臣酒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</si>
  <si>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</si>
  <si>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BODEGA MARTIN BERDUGO</t>
  </si>
  <si>
    <r>
      <t>马</t>
    </r>
    <r>
      <rPr>
        <sz val="11"/>
        <color theme="1"/>
        <rFont val="ＭＳ Ｐゴシック"/>
        <family val="3"/>
        <charset val="128"/>
        <scheme val="minor"/>
      </rPr>
      <t>丁</t>
    </r>
    <r>
      <rPr>
        <sz val="11"/>
        <color theme="1"/>
        <rFont val="ＭＳ Ｐゴシック"/>
        <family val="3"/>
        <charset val="134"/>
        <scheme val="minor"/>
      </rPr>
      <t>贝</t>
    </r>
    <r>
      <rPr>
        <sz val="11"/>
        <color theme="1"/>
        <rFont val="ＭＳ Ｐゴシック"/>
        <family val="3"/>
        <charset val="128"/>
        <scheme val="minor"/>
      </rPr>
      <t>杜格公司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</si>
  <si>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含酒精的气泡水; 果酒（含酒精）; 食用酒精; 餐后酒（利口酒和烈酒）;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</si>
  <si>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宜 宜富 宜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 xml:space="preserve"> 宜子</t>
    </r>
    <r>
      <rPr>
        <sz val="11"/>
        <color theme="1"/>
        <rFont val="ＭＳ Ｐゴシック"/>
        <family val="3"/>
        <charset val="134"/>
        <scheme val="minor"/>
      </rPr>
      <t>孙</t>
    </r>
  </si>
  <si>
    <r>
      <t>徐州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画大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园文化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</si>
  <si>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汽酒; 米酒;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蒸煮提取物（利口酒和烈酒）</t>
    </r>
  </si>
  <si>
    <t>果城桑圣</t>
  </si>
  <si>
    <t>屈江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</si>
  <si>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</si>
  <si>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古坊瓷</t>
  </si>
  <si>
    <r>
      <t>赵</t>
    </r>
    <r>
      <rPr>
        <sz val="11"/>
        <color theme="1"/>
        <rFont val="ＭＳ Ｐゴシック"/>
        <family val="3"/>
        <charset val="128"/>
        <scheme val="minor"/>
      </rPr>
      <t>海霞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</si>
  <si>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清酒（日本米酒）; 朗姆酒; 白酒;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</si>
  <si>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九天粱</t>
  </si>
  <si>
    <r>
      <t>衡水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丰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</si>
  <si>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白酒; 米酒</t>
    </r>
  </si>
  <si>
    <t>芙金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</si>
  <si>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州和睦家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</si>
  <si>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五加皮酒（中国混合烈酒）; 青稞酒; 白干酒（中国白酒）;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威士忌</t>
    </r>
  </si>
  <si>
    <t>利客来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</si>
  <si>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利客来集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</si>
  <si>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葡萄酒; 伏特加酒; 蒸煮提取物（利口酒和烈酒）</t>
    </r>
  </si>
  <si>
    <t>云南医学科学院 YUNNAN MEDICAL SCIENCE INSITIUTE</t>
  </si>
  <si>
    <t>云南医学科学院</t>
  </si>
  <si>
    <r>
      <t xml:space="preserve">清酒; 食用酒精;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青稞酒; 伏特加酒;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</si>
  <si>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宏珍熙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</si>
  <si>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宏珍熙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</si>
  <si>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利口酒;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</t>
    </r>
  </si>
  <si>
    <r>
      <t>广州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</si>
  <si>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青稞酒; 伏特加酒; 含酒精蛋奶酒; 黄酒; 利口酒; 朗姆酒;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</si>
  <si>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NORHOR</t>
  </si>
  <si>
    <r>
      <t>浙江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迪福科技有限公司</t>
    </r>
  </si>
  <si>
    <r>
      <t>青稞酒; 食用酒精; 米酒;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葡萄酒; 黄酒</t>
    </r>
  </si>
  <si>
    <t>拉豪雅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</si>
  <si>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米酒; 清酒（日本米酒）;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</si>
  <si>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问</t>
    </r>
    <r>
      <rPr>
        <sz val="11"/>
        <color theme="1"/>
        <rFont val="ＭＳ Ｐゴシック"/>
        <family val="3"/>
        <charset val="128"/>
        <scheme val="minor"/>
      </rPr>
      <t>呈</t>
    </r>
  </si>
  <si>
    <r>
      <t>霍志</t>
    </r>
    <r>
      <rPr>
        <sz val="11"/>
        <color theme="1"/>
        <rFont val="ＭＳ Ｐゴシック"/>
        <family val="3"/>
        <charset val="134"/>
        <scheme val="minor"/>
      </rPr>
      <t>凯</t>
    </r>
  </si>
  <si>
    <r>
      <t>米酒; 果酒（含酒精）; 清酒（日本米酒）; 威士忌; 白酒; 烈酒;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</si>
  <si>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御之</t>
    </r>
    <r>
      <rPr>
        <sz val="11"/>
        <color theme="1"/>
        <rFont val="ＭＳ Ｐゴシック"/>
        <family val="3"/>
        <charset val="134"/>
        <scheme val="minor"/>
      </rPr>
      <t>财</t>
    </r>
  </si>
  <si>
    <r>
      <t>米酒;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高粱酒;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果酒</t>
    </r>
  </si>
  <si>
    <t>冽潭春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</si>
  <si>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善</t>
    </r>
    <r>
      <rPr>
        <sz val="11"/>
        <color theme="1"/>
        <rFont val="ＭＳ Ｐゴシック"/>
        <family val="3"/>
        <charset val="134"/>
        <scheme val="minor"/>
      </rPr>
      <t>设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</si>
  <si>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汽酒; 果酒（含酒精）</t>
    </r>
  </si>
  <si>
    <r>
      <t>崂</t>
    </r>
    <r>
      <rPr>
        <sz val="11"/>
        <color theme="1"/>
        <rFont val="ＭＳ Ｐゴシック"/>
        <family val="3"/>
        <charset val="128"/>
        <scheme val="minor"/>
      </rPr>
      <t>漓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</si>
  <si>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州亨鑫酒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</si>
  <si>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米酒; 餐后酒（利口酒和烈酒）; 葡萄酒; 黄酒</t>
    </r>
  </si>
  <si>
    <t>瑙妃</t>
  </si>
  <si>
    <r>
      <t>白酒;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果酒（含酒精）;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</si>
  <si>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深圳市佳瑶供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</si>
  <si>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含酒精的气泡水;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</si>
  <si>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PAMOMO</t>
  </si>
  <si>
    <r>
      <t>肇</t>
    </r>
    <r>
      <rPr>
        <sz val="11"/>
        <color theme="1"/>
        <rFont val="ＭＳ Ｐゴシック"/>
        <family val="3"/>
        <charset val="134"/>
        <scheme val="minor"/>
      </rPr>
      <t>庆蓝带</t>
    </r>
    <r>
      <rPr>
        <sz val="11"/>
        <color theme="1"/>
        <rFont val="ＭＳ Ｐゴシック"/>
        <family val="3"/>
        <charset val="128"/>
        <scheme val="minor"/>
      </rPr>
      <t>啤酒有限公司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</si>
  <si>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米酒;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</si>
  <si>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利口酒; 蒸煮提取物（利口酒和烈酒）;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食用酒精; 葡萄酒</t>
    </r>
  </si>
  <si>
    <r>
      <t>雨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来</t>
    </r>
  </si>
  <si>
    <t>朱建新</t>
  </si>
  <si>
    <r>
      <t xml:space="preserve">果酒（含酒精）;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</si>
  <si>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一潭美</t>
  </si>
  <si>
    <r>
      <t>杨东</t>
    </r>
    <r>
      <rPr>
        <sz val="11"/>
        <color theme="1"/>
        <rFont val="ＭＳ Ｐゴシック"/>
        <family val="3"/>
        <charset val="128"/>
        <scheme val="minor"/>
      </rPr>
      <t>升******************</t>
    </r>
  </si>
  <si>
    <r>
      <t xml:space="preserve">葡萄酒; 青稞酒; 果酒（含酒精）;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食用酒精</t>
    </r>
  </si>
  <si>
    <r>
      <t>葡萄酒;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</t>
    </r>
  </si>
  <si>
    <t>FANS&amp;UP</t>
  </si>
  <si>
    <r>
      <t>富石集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（海南）有限公司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</si>
  <si>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黄酒; 果酒; 葡萄酒</t>
    </r>
  </si>
  <si>
    <t>廿十六妹</t>
  </si>
  <si>
    <r>
      <t>李</t>
    </r>
    <r>
      <rPr>
        <sz val="11"/>
        <color theme="1"/>
        <rFont val="ＭＳ Ｐゴシック"/>
        <family val="3"/>
        <charset val="134"/>
        <scheme val="minor"/>
      </rPr>
      <t>艳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</si>
  <si>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汽酒;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</si>
  <si>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玉液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运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</si>
  <si>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州百年</t>
    </r>
    <r>
      <rPr>
        <sz val="11"/>
        <color theme="1"/>
        <rFont val="ＭＳ Ｐゴシック"/>
        <family val="3"/>
        <charset val="134"/>
        <scheme val="minor"/>
      </rPr>
      <t>浓</t>
    </r>
    <r>
      <rPr>
        <sz val="11"/>
        <color theme="1"/>
        <rFont val="ＭＳ Ｐゴシック"/>
        <family val="3"/>
        <charset val="128"/>
        <scheme val="minor"/>
      </rPr>
      <t>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</si>
  <si>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</si>
  <si>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t>福祝福</t>
  </si>
  <si>
    <r>
      <t>马兴</t>
    </r>
    <r>
      <rPr>
        <sz val="11"/>
        <color theme="1"/>
        <rFont val="ＭＳ Ｐゴシック"/>
        <family val="3"/>
        <charset val="128"/>
        <scheme val="minor"/>
      </rPr>
      <t>元</t>
    </r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</si>
  <si>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米酒</t>
    </r>
  </si>
  <si>
    <r>
      <t>顺</t>
    </r>
    <r>
      <rPr>
        <sz val="11"/>
        <color theme="1"/>
        <rFont val="ＭＳ Ｐゴシック"/>
        <family val="3"/>
        <charset val="128"/>
        <scheme val="minor"/>
      </rPr>
      <t>喜</t>
    </r>
    <r>
      <rPr>
        <sz val="11"/>
        <color theme="1"/>
        <rFont val="ＭＳ Ｐゴシック"/>
        <family val="3"/>
        <charset val="134"/>
        <scheme val="minor"/>
      </rPr>
      <t>鸟</t>
    </r>
    <r>
      <rPr>
        <sz val="11"/>
        <color theme="1"/>
        <rFont val="ＭＳ Ｐゴシック"/>
        <family val="3"/>
        <charset val="128"/>
        <scheme val="minor"/>
      </rPr>
      <t xml:space="preserve"> SHUNXINIAN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</si>
  <si>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凯龙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</si>
  <si>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</si>
  <si>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桅杆河</t>
  </si>
  <si>
    <r>
      <t>洛莫瑞杜沃索</t>
    </r>
    <r>
      <rPr>
        <sz val="11"/>
        <color theme="1"/>
        <rFont val="ＭＳ Ｐゴシック"/>
        <family val="3"/>
        <charset val="134"/>
        <scheme val="minor"/>
      </rPr>
      <t>简</t>
    </r>
    <r>
      <rPr>
        <sz val="11"/>
        <color theme="1"/>
        <rFont val="ＭＳ Ｐゴシック"/>
        <family val="3"/>
        <charset val="128"/>
        <scheme val="minor"/>
      </rPr>
      <t>易股份公司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</si>
  <si>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</t>
    </r>
  </si>
  <si>
    <t>茌茆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</si>
  <si>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岛鲁</t>
    </r>
    <r>
      <rPr>
        <sz val="11"/>
        <color theme="1"/>
        <rFont val="ＭＳ Ｐゴシック"/>
        <family val="3"/>
        <charset val="128"/>
        <scheme val="minor"/>
      </rPr>
      <t>玉植物油有限公司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</si>
  <si>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葡萄酒; 食用酒精;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</si>
  <si>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舌尖上的金山</t>
  </si>
  <si>
    <r>
      <t>上海松</t>
    </r>
    <r>
      <rPr>
        <sz val="11"/>
        <color theme="1"/>
        <rFont val="ＭＳ Ｐゴシック"/>
        <family val="3"/>
        <charset val="134"/>
        <scheme val="minor"/>
      </rPr>
      <t>驳</t>
    </r>
    <r>
      <rPr>
        <sz val="11"/>
        <color theme="1"/>
        <rFont val="ＭＳ Ｐゴシック"/>
        <family val="3"/>
        <charset val="128"/>
        <scheme val="minor"/>
      </rPr>
      <t>大芳芳文化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</si>
  <si>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t>黄酒; 米酒; 薄荷酒; 葡萄酒; 清酒（日本米酒）; 青稞酒; 果酒（含酒精）; 汽酒; 白酒; 食用酒精</t>
  </si>
  <si>
    <r>
      <t>蒂卡</t>
    </r>
    <r>
      <rPr>
        <sz val="11"/>
        <color theme="1"/>
        <rFont val="ＭＳ Ｐゴシック"/>
        <family val="3"/>
        <charset val="134"/>
        <scheme val="minor"/>
      </rPr>
      <t>伦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</si>
  <si>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程茗</t>
    </r>
  </si>
  <si>
    <r>
      <t xml:space="preserve">果酒; 葡萄酒; 利口酒; 朗姆酒;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蒸煮提取物（利口酒和烈酒）</t>
    </r>
  </si>
  <si>
    <r>
      <t>聚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福 酒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</si>
  <si>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威士忌; 白酒</t>
    </r>
  </si>
  <si>
    <t>臻主角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</si>
  <si>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纵</t>
    </r>
    <r>
      <rPr>
        <sz val="11"/>
        <color theme="1"/>
        <rFont val="ＭＳ Ｐゴシック"/>
        <family val="3"/>
        <charset val="128"/>
        <scheme val="minor"/>
      </rPr>
      <t>横四海酒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</si>
  <si>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</si>
  <si>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宴南</t>
    </r>
    <r>
      <rPr>
        <sz val="11"/>
        <color theme="1"/>
        <rFont val="ＭＳ Ｐゴシック"/>
        <family val="3"/>
        <charset val="134"/>
        <scheme val="minor"/>
      </rPr>
      <t>娇</t>
    </r>
  </si>
  <si>
    <r>
      <t>管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想</t>
    </r>
  </si>
  <si>
    <r>
      <t>果酒（含酒精）;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青稞酒; 黄酒; 白酒</t>
    </r>
  </si>
  <si>
    <r>
      <t>黔明</t>
    </r>
    <r>
      <rPr>
        <sz val="11"/>
        <color theme="1"/>
        <rFont val="ＭＳ Ｐゴシック"/>
        <family val="3"/>
        <charset val="134"/>
        <scheme val="minor"/>
      </rPr>
      <t>诚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</si>
  <si>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州新</t>
    </r>
    <r>
      <rPr>
        <sz val="11"/>
        <color theme="1"/>
        <rFont val="ＭＳ Ｐゴシック"/>
        <family val="3"/>
        <charset val="134"/>
        <scheme val="minor"/>
      </rPr>
      <t>诚酿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</si>
  <si>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</si>
  <si>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t>旧白</t>
  </si>
  <si>
    <r>
      <t xml:space="preserve">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</t>
    </r>
  </si>
  <si>
    <r>
      <t>世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呼白王</t>
    </r>
  </si>
  <si>
    <r>
      <t>内蒙古世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呼白酒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</si>
  <si>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开胃酒;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青稞酒</t>
    </r>
  </si>
  <si>
    <r>
      <t>道天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</si>
  <si>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清酒（日本米酒）;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</si>
  <si>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合意安然</t>
  </si>
  <si>
    <r>
      <t>诸</t>
    </r>
    <r>
      <rPr>
        <sz val="11"/>
        <color theme="1"/>
        <rFont val="ＭＳ Ｐゴシック"/>
        <family val="3"/>
        <charset val="129"/>
        <scheme val="minor"/>
      </rPr>
      <t>暨</t>
    </r>
    <r>
      <rPr>
        <sz val="11"/>
        <color theme="1"/>
        <rFont val="ＭＳ Ｐゴシック"/>
        <family val="3"/>
        <charset val="128"/>
        <scheme val="minor"/>
      </rPr>
      <t>真合意酒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</si>
  <si>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青稞酒; 葡萄酒;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</si>
  <si>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豹子兄弟</t>
  </si>
  <si>
    <r>
      <t>美洲豹</t>
    </r>
    <r>
      <rPr>
        <sz val="11"/>
        <color theme="1"/>
        <rFont val="ＭＳ Ｐゴシック"/>
        <family val="3"/>
        <charset val="134"/>
        <scheme val="minor"/>
      </rPr>
      <t>车</t>
    </r>
    <r>
      <rPr>
        <sz val="11"/>
        <color theme="1"/>
        <rFont val="ＭＳ Ｐゴシック"/>
        <family val="3"/>
        <charset val="128"/>
        <scheme val="minor"/>
      </rPr>
      <t>养</t>
    </r>
    <r>
      <rPr>
        <sz val="11"/>
        <color theme="1"/>
        <rFont val="ＭＳ Ｐゴシック"/>
        <family val="3"/>
        <charset val="134"/>
        <scheme val="minor"/>
      </rPr>
      <t>护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术连锁</t>
    </r>
    <r>
      <rPr>
        <sz val="11"/>
        <color theme="1"/>
        <rFont val="ＭＳ Ｐゴシック"/>
        <family val="3"/>
        <charset val="128"/>
        <scheme val="minor"/>
      </rPr>
      <t>（北京）有限公司</t>
    </r>
  </si>
  <si>
    <r>
      <t>黄酒; 米酒; 朗姆酒; 杜松子酒; 葡萄酒; 白酒; 清酒; 威士忌;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</si>
  <si>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柚字</t>
    </r>
    <r>
      <rPr>
        <sz val="11"/>
        <color theme="1"/>
        <rFont val="ＭＳ Ｐゴシック"/>
        <family val="3"/>
        <charset val="134"/>
        <scheme val="minor"/>
      </rPr>
      <t>辈</t>
    </r>
  </si>
  <si>
    <r>
      <t>柚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酒庄有限公司</t>
    </r>
  </si>
  <si>
    <r>
      <t>露酒;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伏特加酒; 果酒;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</si>
  <si>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麦菲迪</t>
  </si>
  <si>
    <r>
      <t>蒸煮提取物（利口酒和烈酒）; 威士忌;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伏特加酒; 果酒</t>
    </r>
  </si>
  <si>
    <t>麦登堡</t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</si>
  <si>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伏特加酒; 朗姆酒;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利口酒</t>
    </r>
  </si>
  <si>
    <r>
      <t>酿</t>
    </r>
    <r>
      <rPr>
        <sz val="11"/>
        <color theme="1"/>
        <rFont val="ＭＳ Ｐゴシック"/>
        <family val="3"/>
        <charset val="128"/>
        <scheme val="minor"/>
      </rPr>
      <t>臣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</si>
  <si>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学元</t>
    </r>
  </si>
  <si>
    <r>
      <t xml:space="preserve">开胃酒; 清酒（日本米酒）;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黄酒</t>
    </r>
  </si>
  <si>
    <r>
      <t>酣</t>
    </r>
    <r>
      <rPr>
        <sz val="11"/>
        <color theme="1"/>
        <rFont val="ＭＳ Ｐゴシック"/>
        <family val="3"/>
        <charset val="134"/>
        <scheme val="minor"/>
      </rPr>
      <t>时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</si>
  <si>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杰浩</t>
    </r>
  </si>
  <si>
    <r>
      <t xml:space="preserve">葡萄酒; 果酒（含酒精）; 黄酒;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白酒; 威士忌; 清酒（日本米酒）</t>
    </r>
  </si>
  <si>
    <r>
      <t>秦池儒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</si>
  <si>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秦池酒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</si>
  <si>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</t>
    </r>
  </si>
  <si>
    <t>TERMANTHIA IPSE</t>
  </si>
  <si>
    <r>
      <t>酩悦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尼</t>
    </r>
    <r>
      <rPr>
        <sz val="11"/>
        <color theme="1"/>
        <rFont val="ＭＳ Ｐゴシック"/>
        <family val="3"/>
        <charset val="134"/>
        <scheme val="minor"/>
      </rPr>
      <t>诗</t>
    </r>
    <r>
      <rPr>
        <sz val="11"/>
        <color theme="1"/>
        <rFont val="ＭＳ Ｐゴシック"/>
        <family val="3"/>
        <charset val="128"/>
        <scheme val="minor"/>
      </rPr>
      <t>西班牙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</si>
  <si>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苹果酒;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</si>
  <si>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尼呢镹 NINEJOO</t>
  </si>
  <si>
    <r>
      <t>昆明言己文化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</si>
  <si>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黄酒;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</si>
  <si>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绵</t>
    </r>
    <r>
      <rPr>
        <sz val="11"/>
        <color theme="1"/>
        <rFont val="ＭＳ Ｐゴシック"/>
        <family val="3"/>
        <charset val="128"/>
        <scheme val="minor"/>
      </rPr>
      <t>妹妹</t>
    </r>
  </si>
  <si>
    <r>
      <t>四川四</t>
    </r>
    <r>
      <rPr>
        <sz val="11"/>
        <color theme="1"/>
        <rFont val="ＭＳ Ｐゴシック"/>
        <family val="3"/>
        <charset val="134"/>
        <scheme val="minor"/>
      </rPr>
      <t>汇斋</t>
    </r>
    <r>
      <rPr>
        <sz val="11"/>
        <color theme="1"/>
        <rFont val="ＭＳ Ｐゴシック"/>
        <family val="3"/>
        <charset val="128"/>
        <scheme val="minor"/>
      </rPr>
      <t>年画有限公司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</si>
  <si>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</t>
    </r>
  </si>
  <si>
    <r>
      <t>亳州市玖伍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年酒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</si>
  <si>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酸酒（低等葡萄酒）;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茴芹酒（利口酒）;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</si>
  <si>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故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 xml:space="preserve"> 酒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</si>
  <si>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葡萄酒</t>
    </r>
  </si>
  <si>
    <t>必喔</t>
  </si>
  <si>
    <r>
      <t>四川久通源科技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</si>
  <si>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葡萄酒; 白酒; 黄酒; 果酒（含酒精）;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</si>
  <si>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至美智慧物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</si>
  <si>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含酒精的气泡水; 茴芹酒（利口酒）; 米酒; 开胃酒; 葡萄酒; 果酒（含酒精）;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</si>
  <si>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诞</t>
    </r>
    <r>
      <rPr>
        <sz val="11"/>
        <color theme="1"/>
        <rFont val="ＭＳ Ｐゴシック"/>
        <family val="3"/>
        <charset val="128"/>
        <scheme val="minor"/>
      </rPr>
      <t>九州</t>
    </r>
  </si>
  <si>
    <t>蒋佳成</t>
  </si>
  <si>
    <r>
      <t>黄酒; 米酒;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薄荷酒;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</si>
  <si>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黔香</t>
    </r>
    <r>
      <rPr>
        <sz val="11"/>
        <color theme="1"/>
        <rFont val="ＭＳ Ｐゴシック"/>
        <family val="3"/>
        <charset val="134"/>
        <scheme val="minor"/>
      </rPr>
      <t>风</t>
    </r>
  </si>
  <si>
    <t>刘幼如</t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</si>
  <si>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含酒精的苦味开胃酒; 白酒; 甜酒; 果酒（含酒精）;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</si>
  <si>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忆</t>
    </r>
    <r>
      <rPr>
        <sz val="11"/>
        <color theme="1"/>
        <rFont val="ＭＳ Ｐゴシック"/>
        <family val="3"/>
        <charset val="128"/>
        <scheme val="minor"/>
      </rPr>
      <t>梦人</t>
    </r>
  </si>
  <si>
    <t>陈恳</t>
  </si>
  <si>
    <r>
      <t>葡萄酒; 白酒; 清酒;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黄酒; 果酒（含酒精）; 米酒</t>
    </r>
  </si>
  <si>
    <r>
      <t>暨</t>
    </r>
    <r>
      <rPr>
        <sz val="11"/>
        <color theme="1"/>
        <rFont val="ＭＳ Ｐゴシック"/>
        <family val="3"/>
        <charset val="128"/>
        <scheme val="minor"/>
      </rPr>
      <t>谷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</si>
  <si>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9"/>
        <scheme val="minor"/>
      </rPr>
      <t>暨</t>
    </r>
    <r>
      <rPr>
        <sz val="11"/>
        <color theme="1"/>
        <rFont val="ＭＳ Ｐゴシック"/>
        <family val="3"/>
        <charset val="128"/>
        <scheme val="minor"/>
      </rPr>
      <t>谷医学研究院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</si>
  <si>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果酒; 清酒;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蒸煮提取物（利口酒和烈酒）; 米酒</t>
    </r>
  </si>
  <si>
    <t>越吉</t>
  </si>
  <si>
    <r>
      <t>绍兴</t>
    </r>
    <r>
      <rPr>
        <sz val="11"/>
        <color theme="1"/>
        <rFont val="ＭＳ Ｐゴシック"/>
        <family val="3"/>
        <charset val="128"/>
        <scheme val="minor"/>
      </rPr>
      <t>晟酩酒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</si>
  <si>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蜂蜜酒; 开胃酒;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黄酒; 甜果酒;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</si>
  <si>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四洲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</si>
  <si>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宗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</si>
  <si>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葡萄酒; 果酒（含酒精）; 黄酒;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</si>
  <si>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t>庄稼主</t>
  </si>
  <si>
    <r>
      <t>湖南能士商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</si>
  <si>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伏特加酒; 葡萄酒; 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</si>
  <si>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浅小酌</t>
  </si>
  <si>
    <r>
      <t>邢台市意融商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</si>
  <si>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白酒;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含酒精的气泡水; 果酒（含酒精）</t>
    </r>
  </si>
  <si>
    <t>七律康行</t>
  </si>
  <si>
    <r>
      <t>马</t>
    </r>
    <r>
      <rPr>
        <sz val="11"/>
        <color theme="1"/>
        <rFont val="ＭＳ Ｐゴシック"/>
        <family val="3"/>
        <charset val="128"/>
        <scheme val="minor"/>
      </rPr>
      <t>子涵</t>
    </r>
  </si>
  <si>
    <r>
      <t>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</si>
  <si>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茶</t>
    </r>
    <r>
      <rPr>
        <sz val="11"/>
        <color theme="1"/>
        <rFont val="ＭＳ Ｐゴシック"/>
        <family val="3"/>
        <charset val="134"/>
        <scheme val="minor"/>
      </rPr>
      <t>语</t>
    </r>
    <r>
      <rPr>
        <sz val="11"/>
        <color theme="1"/>
        <rFont val="ＭＳ Ｐゴシック"/>
        <family val="3"/>
        <charset val="128"/>
        <scheme val="minor"/>
      </rPr>
      <t>派</t>
    </r>
    <r>
      <rPr>
        <sz val="11"/>
        <color theme="1"/>
        <rFont val="ＭＳ Ｐゴシック"/>
        <family val="3"/>
        <charset val="134"/>
        <scheme val="minor"/>
      </rPr>
      <t>对</t>
    </r>
  </si>
  <si>
    <t>星莱啤酒（周口）有限公司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</si>
  <si>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伏特加酒; 利口酒; 威士忌;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</si>
  <si>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呼白</t>
    </r>
    <r>
      <rPr>
        <sz val="11"/>
        <color theme="1"/>
        <rFont val="ＭＳ Ｐゴシック"/>
        <family val="3"/>
        <charset val="134"/>
        <scheme val="minor"/>
      </rPr>
      <t>绥远</t>
    </r>
    <r>
      <rPr>
        <sz val="11"/>
        <color theme="1"/>
        <rFont val="ＭＳ Ｐゴシック"/>
        <family val="3"/>
        <charset val="128"/>
        <scheme val="minor"/>
      </rPr>
      <t>王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</si>
  <si>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青稞酒; 开胃酒</t>
    </r>
  </si>
  <si>
    <t>六朝大商</t>
  </si>
  <si>
    <r>
      <t>许</t>
    </r>
    <r>
      <rPr>
        <sz val="11"/>
        <color theme="1"/>
        <rFont val="ＭＳ Ｐゴシック"/>
        <family val="3"/>
        <charset val="128"/>
        <scheme val="minor"/>
      </rPr>
      <t>蓓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</si>
  <si>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</si>
  <si>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何</t>
    </r>
    <r>
      <rPr>
        <sz val="11"/>
        <color theme="1"/>
        <rFont val="ＭＳ Ｐゴシック"/>
        <family val="3"/>
        <charset val="134"/>
        <scheme val="minor"/>
      </rPr>
      <t>对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</si>
  <si>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江</t>
    </r>
    <r>
      <rPr>
        <sz val="11"/>
        <color theme="1"/>
        <rFont val="ＭＳ Ｐゴシック"/>
        <family val="3"/>
        <charset val="134"/>
        <scheme val="minor"/>
      </rPr>
      <t>滨</t>
    </r>
  </si>
  <si>
    <r>
      <t>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威士忌; 葡萄酒; 伏特加酒;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</si>
  <si>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t>VEISTON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</si>
  <si>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鑫利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</si>
  <si>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清酒（日本米酒）; 黄酒;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利口酒; 果酒（含酒精）; 白酒; 米酒</t>
    </r>
  </si>
  <si>
    <t>苜浠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</si>
  <si>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门沣乐</t>
    </r>
    <r>
      <rPr>
        <sz val="11"/>
        <color theme="1"/>
        <rFont val="ＭＳ Ｐゴシック"/>
        <family val="3"/>
        <charset val="128"/>
        <scheme val="minor"/>
      </rPr>
      <t>信息咨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</si>
  <si>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伏特加酒; 果酒（含酒精）; 朗姆酒; 白酒</t>
    </r>
  </si>
  <si>
    <t>念念心事</t>
  </si>
  <si>
    <r>
      <t>宋派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造（杭州）有限公司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</si>
  <si>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</si>
  <si>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嫘</t>
    </r>
    <r>
      <rPr>
        <sz val="11"/>
        <color theme="1"/>
        <rFont val="ＭＳ Ｐゴシック"/>
        <family val="3"/>
        <charset val="128"/>
        <scheme val="minor"/>
      </rPr>
      <t>老</t>
    </r>
    <r>
      <rPr>
        <sz val="11"/>
        <color theme="1"/>
        <rFont val="ＭＳ Ｐゴシック"/>
        <family val="3"/>
        <charset val="134"/>
        <scheme val="minor"/>
      </rPr>
      <t>爷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</si>
  <si>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西康富来</t>
    </r>
    <r>
      <rPr>
        <sz val="11"/>
        <color theme="1"/>
        <rFont val="ＭＳ Ｐゴシック"/>
        <family val="3"/>
        <charset val="134"/>
        <scheme val="minor"/>
      </rPr>
      <t>丝绸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</si>
  <si>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清酒（日本米酒）; 威士忌;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果酒（含酒精）; 米酒</t>
    </r>
  </si>
  <si>
    <r>
      <t>震旦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</si>
  <si>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苏鹏进</t>
    </r>
    <r>
      <rPr>
        <sz val="11"/>
        <color theme="1"/>
        <rFont val="ＭＳ Ｐゴシック"/>
        <family val="3"/>
        <charset val="128"/>
        <scheme val="minor"/>
      </rPr>
      <t>出口（烟台）有限公司</t>
    </r>
  </si>
  <si>
    <r>
      <t>葡萄酒; 威士忌; 朗姆酒; 加烈葡萄酒;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利口酒;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</si>
  <si>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台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仙</t>
    </r>
  </si>
  <si>
    <t>席永佶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</si>
  <si>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蜂蜜酒; 白酒;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葡萄酒; 高粱酒</t>
    </r>
  </si>
  <si>
    <t>酒中遇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</si>
  <si>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光里酒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</si>
  <si>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餐后酒（利口酒和烈酒）;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</si>
  <si>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以待</t>
  </si>
  <si>
    <r>
      <t>郭</t>
    </r>
    <r>
      <rPr>
        <sz val="11"/>
        <color theme="1"/>
        <rFont val="ＭＳ Ｐゴシック"/>
        <family val="3"/>
        <charset val="134"/>
        <scheme val="minor"/>
      </rPr>
      <t>执东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</si>
  <si>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露酒; 果酒（含酒精）; 米酒; 甜酒; 蒸煮提取物（利口酒和烈酒）; 白葡萄酒; 白酒; 葡萄酒</t>
    </r>
  </si>
  <si>
    <t>正合安然</t>
  </si>
  <si>
    <r>
      <t xml:space="preserve">果酒（含酒精）; 葡萄酒; 白酒;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威士忌</t>
    </r>
  </si>
  <si>
    <t>崇阳溪漫游道</t>
  </si>
  <si>
    <r>
      <t>南平武夷云谷建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</si>
  <si>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</si>
  <si>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非一</t>
    </r>
    <r>
      <rPr>
        <sz val="11"/>
        <color theme="1"/>
        <rFont val="ＭＳ Ｐゴシック"/>
        <family val="3"/>
        <charset val="134"/>
        <scheme val="minor"/>
      </rPr>
      <t>尘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</si>
  <si>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非一</t>
    </r>
    <r>
      <rPr>
        <sz val="11"/>
        <color theme="1"/>
        <rFont val="ＭＳ Ｐゴシック"/>
        <family val="3"/>
        <charset val="134"/>
        <scheme val="minor"/>
      </rPr>
      <t>尘</t>
    </r>
    <r>
      <rPr>
        <sz val="11"/>
        <color theme="1"/>
        <rFont val="ＭＳ Ｐゴシック"/>
        <family val="3"/>
        <charset val="128"/>
        <scheme val="minor"/>
      </rPr>
      <t>信息科技有限公司</t>
    </r>
  </si>
  <si>
    <r>
      <t>葡萄汽酒; 白酒; 清酒（日本米酒）; 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高粱酒;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</si>
  <si>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苏岚</t>
  </si>
  <si>
    <t>常州申延中食品有限公司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</si>
  <si>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米酒; 苦味酒;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</si>
  <si>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御</t>
    </r>
    <r>
      <rPr>
        <sz val="11"/>
        <color theme="1"/>
        <rFont val="ＭＳ Ｐゴシック"/>
        <family val="3"/>
        <charset val="134"/>
        <scheme val="minor"/>
      </rPr>
      <t>坛</t>
    </r>
    <r>
      <rPr>
        <sz val="11"/>
        <color theme="1"/>
        <rFont val="ＭＳ Ｐゴシック"/>
        <family val="3"/>
        <charset val="128"/>
        <scheme val="minor"/>
      </rPr>
      <t>子</t>
    </r>
  </si>
  <si>
    <t>金邦海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</si>
  <si>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清酒; 白酒; 高粱酒; 米酒;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威士忌</t>
    </r>
  </si>
  <si>
    <t>MUSHROOM GIRL 蘑菇姑娘</t>
  </si>
  <si>
    <r>
      <t xml:space="preserve">烈酒;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威士忌; 果酒;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露酒</t>
    </r>
  </si>
  <si>
    <r>
      <t>淳</t>
    </r>
    <r>
      <rPr>
        <sz val="11"/>
        <color theme="1"/>
        <rFont val="ＭＳ Ｐゴシック"/>
        <family val="3"/>
        <charset val="134"/>
        <scheme val="minor"/>
      </rPr>
      <t>钻</t>
    </r>
    <r>
      <rPr>
        <sz val="11"/>
        <color theme="1"/>
        <rFont val="ＭＳ Ｐゴシック"/>
        <family val="3"/>
        <charset val="128"/>
        <scheme val="minor"/>
      </rPr>
      <t>名</t>
    </r>
  </si>
  <si>
    <r>
      <t>徐州首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</si>
  <si>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梨酒; 威士忌; 利口酒;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黄酒; 开胃酒; 白酒; 清酒（日本米酒）</t>
    </r>
  </si>
  <si>
    <t>云端茶海</t>
  </si>
  <si>
    <r>
      <t>会同</t>
    </r>
    <r>
      <rPr>
        <sz val="11"/>
        <color theme="1"/>
        <rFont val="ＭＳ Ｐゴシック"/>
        <family val="3"/>
        <charset val="134"/>
        <scheme val="minor"/>
      </rPr>
      <t>县产业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资发</t>
    </r>
    <r>
      <rPr>
        <sz val="11"/>
        <color theme="1"/>
        <rFont val="ＭＳ Ｐゴシック"/>
        <family val="3"/>
        <charset val="128"/>
        <scheme val="minor"/>
      </rPr>
      <t>展集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</si>
  <si>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</si>
  <si>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摄见</t>
  </si>
  <si>
    <t>胡基友</t>
  </si>
  <si>
    <r>
      <t>果酒（含酒精）;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威士忌; 甜酒</t>
    </r>
  </si>
  <si>
    <t>盅良王</t>
  </si>
  <si>
    <r>
      <t>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开胃酒; 威士忌</t>
    </r>
  </si>
  <si>
    <t>甫当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</si>
  <si>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州宸珞文化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</si>
  <si>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</t>
    </r>
  </si>
  <si>
    <r>
      <t>酒</t>
    </r>
    <r>
      <rPr>
        <sz val="11"/>
        <color theme="1"/>
        <rFont val="ＭＳ Ｐゴシック"/>
        <family val="3"/>
        <charset val="134"/>
        <scheme val="minor"/>
      </rPr>
      <t>镇郑</t>
    </r>
    <r>
      <rPr>
        <sz val="11"/>
        <color theme="1"/>
        <rFont val="ＭＳ Ｐゴシック"/>
        <family val="3"/>
        <charset val="128"/>
        <scheme val="minor"/>
      </rPr>
      <t>氏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</si>
  <si>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州匡家企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</si>
  <si>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苦味酒; 米酒; 白干酒（中国白酒）; 青稞酒; 白酒; 果酒（含酒精）; 开胃酒; 食用酒精; 蒸煮提取物（利口酒和烈酒）;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</si>
  <si>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仁有度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</si>
  <si>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清酒; 白酒; 葡萄酒; 黄酒; 威士忌; 果酒;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</si>
  <si>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伏</t>
    </r>
    <r>
      <rPr>
        <sz val="11"/>
        <color theme="1"/>
        <rFont val="ＭＳ Ｐゴシック"/>
        <family val="3"/>
        <charset val="134"/>
        <scheme val="minor"/>
      </rPr>
      <t>栏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</si>
  <si>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西安山海云野商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</si>
  <si>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白酒; 薄荷酒; 开胃酒; 黄酒;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</t>
    </r>
  </si>
  <si>
    <t>晶崛</t>
  </si>
  <si>
    <r>
      <t>深圳市小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达科技有限公司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</si>
  <si>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米酒; 蒸煮提取物（利口酒和烈酒）</t>
    </r>
  </si>
  <si>
    <r>
      <t>小妃</t>
    </r>
    <r>
      <rPr>
        <sz val="11"/>
        <color theme="1"/>
        <rFont val="ＭＳ Ｐゴシック"/>
        <family val="3"/>
        <charset val="129"/>
        <scheme val="minor"/>
      </rPr>
      <t>佡</t>
    </r>
  </si>
  <si>
    <r>
      <t>保定鑫鑫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百商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</si>
  <si>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餐后酒（利口酒和烈酒）;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</si>
  <si>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醴沅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菁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</si>
  <si>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庆鸿</t>
    </r>
    <r>
      <rPr>
        <sz val="11"/>
        <color theme="1"/>
        <rFont val="ＭＳ Ｐゴシック"/>
        <family val="3"/>
        <charset val="128"/>
        <scheme val="minor"/>
      </rPr>
      <t>森元生物科技有限公司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</si>
  <si>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白干酒（中国白酒）; 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烈酒; 高粱酒; 露酒</t>
    </r>
  </si>
  <si>
    <t>大荒丰</t>
  </si>
  <si>
    <t>郭恩慧</t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</si>
  <si>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开胃酒; 利口酒; 米酒; 葡萄酒; 白酒</t>
    </r>
  </si>
  <si>
    <r>
      <t>农</t>
    </r>
    <r>
      <rPr>
        <sz val="11"/>
        <color theme="1"/>
        <rFont val="ＭＳ Ｐゴシック"/>
        <family val="3"/>
        <charset val="128"/>
        <scheme val="minor"/>
      </rPr>
      <t>科心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(成都)供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</si>
  <si>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黄酒; 葡萄酒; 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梅酒;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</si>
  <si>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旺达</t>
    </r>
  </si>
  <si>
    <r>
      <t>耿延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</si>
  <si>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白酒;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甘蔗制烈酒;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</si>
  <si>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FANTI SHOW 凡提会 T</t>
  </si>
  <si>
    <r>
      <t>上海阿凡提卡通</t>
    </r>
    <r>
      <rPr>
        <sz val="11"/>
        <color theme="1"/>
        <rFont val="ＭＳ Ｐゴシック"/>
        <family val="3"/>
        <charset val="134"/>
        <scheme val="minor"/>
      </rPr>
      <t>艺术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</si>
  <si>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</si>
  <si>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DOMAINE SACRE TIGRE</t>
  </si>
  <si>
    <r>
      <t>葡荷酒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（香格里拉）有限公司</t>
    </r>
  </si>
  <si>
    <r>
      <t>朗姆酒; 伏特加酒; 蜂蜜酒; 利口酒; 白酒; 威士忌; 果酒（含酒精）; 葡萄酒;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</si>
  <si>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琅裕</t>
  </si>
  <si>
    <t>曹春来</t>
  </si>
  <si>
    <r>
      <t>利口酒; 清酒（日本米酒）; 青稞酒; 黄酒;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威士忌</t>
    </r>
  </si>
  <si>
    <r>
      <t>戈壁</t>
    </r>
    <r>
      <rPr>
        <sz val="11"/>
        <color theme="1"/>
        <rFont val="ＭＳ Ｐゴシック"/>
        <family val="3"/>
        <charset val="134"/>
        <scheme val="minor"/>
      </rPr>
      <t>赋</t>
    </r>
  </si>
  <si>
    <r>
      <t>镜</t>
    </r>
    <r>
      <rPr>
        <sz val="11"/>
        <color theme="1"/>
        <rFont val="ＭＳ Ｐゴシック"/>
        <family val="3"/>
        <charset val="128"/>
        <scheme val="minor"/>
      </rPr>
      <t>湖区巴特利家百</t>
    </r>
    <r>
      <rPr>
        <sz val="11"/>
        <color theme="1"/>
        <rFont val="ＭＳ Ｐゴシック"/>
        <family val="3"/>
        <charset val="134"/>
        <scheme val="minor"/>
      </rPr>
      <t>货经营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</si>
  <si>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食用酒精;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</si>
  <si>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缘调</t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</si>
  <si>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烈酒;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白酒; 清酒;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黄酒</t>
    </r>
  </si>
  <si>
    <t>匡王玄</t>
  </si>
  <si>
    <t>耿迎春</t>
  </si>
  <si>
    <r>
      <t>葡萄酒; 清酒;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</si>
  <si>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六只熊猫</t>
  </si>
  <si>
    <r>
      <t>山西圣幻星星之火国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</si>
  <si>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烈酒;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</si>
  <si>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嘉</t>
    </r>
    <r>
      <rPr>
        <sz val="11"/>
        <color theme="1"/>
        <rFont val="ＭＳ Ｐゴシック"/>
        <family val="3"/>
        <charset val="134"/>
        <scheme val="minor"/>
      </rPr>
      <t>满</t>
    </r>
  </si>
  <si>
    <r>
      <t>舒</t>
    </r>
    <r>
      <rPr>
        <sz val="11"/>
        <color theme="1"/>
        <rFont val="ＭＳ Ｐゴシック"/>
        <family val="3"/>
        <charset val="134"/>
        <scheme val="minor"/>
      </rPr>
      <t>屿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</si>
  <si>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开胃酒; 米酒; 果酒（含酒精）; 青稞酒;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</si>
  <si>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小</t>
    </r>
    <r>
      <rPr>
        <sz val="11"/>
        <color theme="1"/>
        <rFont val="ＭＳ Ｐゴシック"/>
        <family val="3"/>
        <charset val="134"/>
        <scheme val="minor"/>
      </rPr>
      <t>苁</t>
    </r>
    <r>
      <rPr>
        <sz val="11"/>
        <color theme="1"/>
        <rFont val="ＭＳ Ｐゴシック"/>
        <family val="3"/>
        <charset val="128"/>
        <scheme val="minor"/>
      </rPr>
      <t>佬</t>
    </r>
  </si>
  <si>
    <r>
      <t>四川恒年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</si>
  <si>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果酒（含酒精）</t>
    </r>
  </si>
  <si>
    <r>
      <t>琻</t>
    </r>
    <r>
      <rPr>
        <sz val="11"/>
        <color theme="1"/>
        <rFont val="ＭＳ Ｐゴシック"/>
        <family val="3"/>
        <charset val="128"/>
        <scheme val="minor"/>
      </rPr>
      <t>金福</t>
    </r>
  </si>
  <si>
    <r>
      <t>上海荷享商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</si>
  <si>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高粱酒;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</si>
  <si>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朱成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</si>
  <si>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果酒; 烈酒; 白酒;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</si>
  <si>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暹佰氏</t>
  </si>
  <si>
    <r>
      <t>江西特能医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器械有限公司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</si>
  <si>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白干酒（中国白酒）; 白酒</t>
    </r>
  </si>
  <si>
    <r>
      <t>民</t>
    </r>
    <r>
      <rPr>
        <sz val="11"/>
        <color theme="1"/>
        <rFont val="ＭＳ Ｐゴシック"/>
        <family val="3"/>
        <charset val="134"/>
        <scheme val="minor"/>
      </rPr>
      <t>赢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</si>
  <si>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铭华汉</t>
    </r>
    <r>
      <rPr>
        <sz val="11"/>
        <color theme="1"/>
        <rFont val="ＭＳ Ｐゴシック"/>
        <family val="3"/>
        <charset val="128"/>
        <scheme val="minor"/>
      </rPr>
      <t>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</si>
  <si>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露酒; 苹果酒;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米酒;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</si>
  <si>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陶者</t>
  </si>
  <si>
    <r>
      <t>河南</t>
    </r>
    <r>
      <rPr>
        <sz val="11"/>
        <color theme="1"/>
        <rFont val="ＭＳ Ｐゴシック"/>
        <family val="3"/>
        <charset val="134"/>
        <scheme val="minor"/>
      </rPr>
      <t>鲸鸿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</si>
  <si>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白酒; 开胃酒; 米酒;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利口酒</t>
    </r>
  </si>
  <si>
    <r>
      <t>盛世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方醇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</si>
  <si>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汤</t>
    </r>
    <r>
      <rPr>
        <sz val="11"/>
        <color theme="1"/>
        <rFont val="ＭＳ Ｐゴシック"/>
        <family val="3"/>
        <charset val="128"/>
        <scheme val="minor"/>
      </rPr>
      <t>臣一品酒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</si>
  <si>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果酒;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黄酒</t>
    </r>
  </si>
  <si>
    <t>茗酒酷</t>
  </si>
  <si>
    <r>
      <t>陈</t>
    </r>
    <r>
      <rPr>
        <sz val="11"/>
        <color theme="1"/>
        <rFont val="ＭＳ Ｐゴシック"/>
        <family val="3"/>
        <charset val="128"/>
        <scheme val="minor"/>
      </rPr>
      <t>再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</si>
  <si>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黄酒; 米酒; 威士忌; 果酒（含酒精）</t>
    </r>
  </si>
  <si>
    <t>林氏三神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</si>
  <si>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州圣都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</si>
  <si>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米酒; 烈酒; 高粱酒; 甜酒; 清酒;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</t>
    </r>
  </si>
  <si>
    <t>德吟</t>
  </si>
  <si>
    <t>李道玉</t>
  </si>
  <si>
    <r>
      <t>威士忌; 黄酒; 白酒; 葡萄酒; 伏特加酒;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</si>
  <si>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郴竹</t>
  </si>
  <si>
    <t>王智生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</si>
  <si>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黄酒; 米酒; 果酒; 青稞酒</t>
    </r>
  </si>
  <si>
    <r>
      <t>霍夫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德城堡</t>
    </r>
  </si>
  <si>
    <t>姜城******************</t>
  </si>
  <si>
    <r>
      <t>利口酒; 黄酒; 酸酒（低等葡萄酒）;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蒸煮提取物（利口酒和烈酒）; 果酒（含酒精）; 开胃酒</t>
    </r>
  </si>
  <si>
    <t>卓慕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</si>
  <si>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开胃酒; 青稞酒;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</si>
  <si>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叶寤一念</t>
  </si>
  <si>
    <r>
      <t>鞠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建</t>
    </r>
  </si>
  <si>
    <r>
      <t>含酒精的气泡水;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白酒; 开胃酒; 米酒; 甘蔗汁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朗姆酒;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</t>
    </r>
  </si>
  <si>
    <r>
      <t>水</t>
    </r>
    <r>
      <rPr>
        <sz val="11"/>
        <color theme="1"/>
        <rFont val="ＭＳ Ｐゴシック"/>
        <family val="3"/>
        <charset val="134"/>
        <scheme val="minor"/>
      </rPr>
      <t>妈妈</t>
    </r>
    <r>
      <rPr>
        <sz val="11"/>
        <color theme="1"/>
        <rFont val="ＭＳ Ｐゴシック"/>
        <family val="3"/>
        <charset val="128"/>
        <scheme val="minor"/>
      </rPr>
      <t>茶泰</t>
    </r>
  </si>
  <si>
    <r>
      <t>宜佳国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易（上海）有限公司</t>
    </r>
  </si>
  <si>
    <r>
      <t>朗姆酒; 果酒（含酒精）;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薄荷酒; 蜂蜜酒;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利口酒</t>
    </r>
  </si>
  <si>
    <r>
      <t>宫</t>
    </r>
    <r>
      <rPr>
        <sz val="11"/>
        <color theme="1"/>
        <rFont val="ＭＳ Ｐゴシック"/>
        <family val="3"/>
        <charset val="128"/>
        <scheme val="minor"/>
      </rPr>
      <t>廷</t>
    </r>
    <r>
      <rPr>
        <sz val="11"/>
        <color theme="1"/>
        <rFont val="ＭＳ Ｐゴシック"/>
        <family val="3"/>
        <charset val="134"/>
        <scheme val="minor"/>
      </rPr>
      <t>卫</t>
    </r>
    <r>
      <rPr>
        <sz val="11"/>
        <color theme="1"/>
        <rFont val="ＭＳ Ｐゴシック"/>
        <family val="3"/>
        <charset val="128"/>
        <scheme val="minor"/>
      </rPr>
      <t>士</t>
    </r>
  </si>
  <si>
    <r>
      <t>曹</t>
    </r>
    <r>
      <rPr>
        <sz val="11"/>
        <color theme="1"/>
        <rFont val="ＭＳ Ｐゴシック"/>
        <family val="3"/>
        <charset val="134"/>
        <scheme val="minor"/>
      </rPr>
      <t>鲒</t>
    </r>
  </si>
  <si>
    <r>
      <t xml:space="preserve">黄酒; 葡萄酒;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开胃酒; 清酒（日本米酒）;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</si>
  <si>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一正·北</t>
    </r>
    <r>
      <rPr>
        <sz val="11"/>
        <color theme="1"/>
        <rFont val="ＭＳ Ｐゴシック"/>
        <family val="3"/>
        <charset val="134"/>
        <scheme val="minor"/>
      </rPr>
      <t>纬</t>
    </r>
  </si>
  <si>
    <r>
      <t>吉林一正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</si>
  <si>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</si>
  <si>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帘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</si>
  <si>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建非</t>
    </r>
  </si>
  <si>
    <r>
      <t xml:space="preserve">葡萄酒; 青稞酒; 高粱酒; 黄酒; 梅酒;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甜酒; 果酒</t>
    </r>
  </si>
  <si>
    <r>
      <t>绍</t>
    </r>
    <r>
      <rPr>
        <sz val="11"/>
        <color theme="1"/>
        <rFont val="ＭＳ Ｐゴシック"/>
        <family val="3"/>
        <charset val="128"/>
        <scheme val="minor"/>
      </rPr>
      <t>谷坊</t>
    </r>
  </si>
  <si>
    <r>
      <t>威士忌; 青稞酒;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清酒（日本米酒）;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</si>
  <si>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德</t>
    </r>
    <r>
      <rPr>
        <sz val="11"/>
        <color theme="1"/>
        <rFont val="ＭＳ Ｐゴシック"/>
        <family val="3"/>
        <charset val="134"/>
        <scheme val="minor"/>
      </rPr>
      <t>浔</t>
    </r>
  </si>
  <si>
    <r>
      <t>伏特加酒;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威士忌; 清酒（日本米酒）;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</t>
    </r>
  </si>
  <si>
    <t>形影不离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</si>
  <si>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青稞酒;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开胃酒</t>
    </r>
  </si>
  <si>
    <t>MAB</t>
  </si>
  <si>
    <r>
      <t>韦</t>
    </r>
    <r>
      <rPr>
        <sz val="11"/>
        <color theme="1"/>
        <rFont val="ＭＳ Ｐゴシック"/>
        <family val="3"/>
        <charset val="128"/>
        <scheme val="minor"/>
      </rPr>
      <t>凉</t>
    </r>
  </si>
  <si>
    <r>
      <t xml:space="preserve">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青稞酒; 白酒; 餐后酒（利口酒和烈酒）; 开胃酒</t>
    </r>
  </si>
  <si>
    <t>吉沴酒</t>
  </si>
  <si>
    <t>张凯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</si>
  <si>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果酒（含酒精）; 利口酒; 清酒（日本米酒）</t>
    </r>
  </si>
  <si>
    <t>CDAIA</t>
  </si>
  <si>
    <r>
      <t>成都酒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</si>
  <si>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梅酒; 青稞酒; 开胃酒; 米酒; 葡萄酒; 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甜果酒</t>
    </r>
  </si>
  <si>
    <t>必豉呀</t>
  </si>
  <si>
    <t>舒永礼******************</t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</si>
  <si>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甜酒; 清酒; 白酒;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</si>
  <si>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御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牛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</si>
  <si>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艳</t>
    </r>
    <r>
      <rPr>
        <sz val="11"/>
        <color theme="1"/>
        <rFont val="ＭＳ Ｐゴシック"/>
        <family val="3"/>
        <charset val="128"/>
        <scheme val="minor"/>
      </rPr>
      <t>霞******************</t>
    </r>
  </si>
  <si>
    <r>
      <t>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</si>
  <si>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万</t>
    </r>
    <r>
      <rPr>
        <sz val="11"/>
        <color theme="1"/>
        <rFont val="ＭＳ Ｐゴシック"/>
        <family val="3"/>
        <charset val="134"/>
        <scheme val="minor"/>
      </rPr>
      <t>载</t>
    </r>
    <r>
      <rPr>
        <sz val="11"/>
        <color theme="1"/>
        <rFont val="ＭＳ Ｐゴシック"/>
        <family val="3"/>
        <charset val="128"/>
        <scheme val="minor"/>
      </rPr>
      <t>尽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</si>
  <si>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米酒;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清酒（日本米酒）; 烈酒; 果酒（含酒精）; 汽酒</t>
    </r>
  </si>
  <si>
    <r>
      <t>晓</t>
    </r>
    <r>
      <rPr>
        <sz val="11"/>
        <color theme="1"/>
        <rFont val="ＭＳ Ｐゴシック"/>
        <family val="3"/>
        <charset val="128"/>
        <scheme val="minor"/>
      </rPr>
      <t>荷村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</si>
  <si>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</si>
  <si>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>开胃酒; 果酒（含酒精）;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</si>
  <si>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霸</t>
    </r>
    <r>
      <rPr>
        <sz val="11"/>
        <color theme="1"/>
        <rFont val="ＭＳ Ｐゴシック"/>
        <family val="3"/>
        <charset val="134"/>
        <scheme val="minor"/>
      </rPr>
      <t>业纵</t>
    </r>
    <r>
      <rPr>
        <sz val="11"/>
        <color theme="1"/>
        <rFont val="ＭＳ Ｐゴシック"/>
        <family val="3"/>
        <charset val="128"/>
        <scheme val="minor"/>
      </rPr>
      <t>横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</si>
  <si>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帅龙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</si>
  <si>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清酒; 烈酒; 高粱酒; 威士忌; 白酒</t>
    </r>
  </si>
  <si>
    <t>遵春秋</t>
  </si>
  <si>
    <r>
      <t xml:space="preserve">清酒（日本米酒）; 开胃酒; 葡萄酒; 白酒; 蜂蜜酒;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</si>
  <si>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露粮</t>
    </r>
    <r>
      <rPr>
        <sz val="11"/>
        <color theme="1"/>
        <rFont val="ＭＳ Ｐゴシック"/>
        <family val="3"/>
        <charset val="134"/>
        <scheme val="minor"/>
      </rPr>
      <t>轩</t>
    </r>
  </si>
  <si>
    <r>
      <t>邓</t>
    </r>
    <r>
      <rPr>
        <sz val="11"/>
        <color theme="1"/>
        <rFont val="ＭＳ Ｐゴシック"/>
        <family val="3"/>
        <charset val="128"/>
        <scheme val="minor"/>
      </rPr>
      <t>柏福</t>
    </r>
  </si>
  <si>
    <r>
      <t>葡萄酒; 黄酒; 米酒; 刺五加酒;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白酒; 五加皮酒（中国混合烈酒）; 露酒; 开胃酒</t>
    </r>
  </si>
  <si>
    <r>
      <t>美好宇</t>
    </r>
    <r>
      <rPr>
        <sz val="11"/>
        <color theme="1"/>
        <rFont val="ＭＳ Ｐゴシック"/>
        <family val="3"/>
        <charset val="134"/>
        <scheme val="minor"/>
      </rPr>
      <t>购</t>
    </r>
  </si>
  <si>
    <r>
      <t>杭州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卷云味茶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</si>
  <si>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果酒（含酒精）; 葡萄酒; 米酒;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</si>
  <si>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白酒; 开胃酒;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</si>
  <si>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窈窕蜜</t>
    </r>
    <r>
      <rPr>
        <sz val="11"/>
        <color theme="1"/>
        <rFont val="ＭＳ Ｐゴシック"/>
        <family val="3"/>
        <charset val="134"/>
        <scheme val="minor"/>
      </rPr>
      <t>语</t>
    </r>
  </si>
  <si>
    <r>
      <t>深圳市中喜酒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</si>
  <si>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葡萄酒; 白酒; 果酒（含酒精）; 清酒（日本米酒）; 梨酒;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</si>
  <si>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先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耤田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</si>
  <si>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微念（北京）科技有限公司</t>
    </r>
  </si>
  <si>
    <r>
      <t>果酒（含酒精）; 米酒; 青稞酒;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含酒精的气泡水</t>
    </r>
  </si>
  <si>
    <t>九万元宝山</t>
  </si>
  <si>
    <r>
      <t>融水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博</t>
    </r>
    <r>
      <rPr>
        <sz val="11"/>
        <color theme="1"/>
        <rFont val="ＭＳ Ｐゴシック"/>
        <family val="3"/>
        <charset val="134"/>
        <scheme val="minor"/>
      </rPr>
      <t>灿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</si>
  <si>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威士忌; 米酒; 伏特加酒</t>
    </r>
  </si>
  <si>
    <r>
      <t>诗</t>
    </r>
    <r>
      <rPr>
        <sz val="11"/>
        <color theme="1"/>
        <rFont val="ＭＳ Ｐゴシック"/>
        <family val="3"/>
        <charset val="128"/>
        <scheme val="minor"/>
      </rPr>
      <t>文人</t>
    </r>
  </si>
  <si>
    <r>
      <t>蒋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</si>
  <si>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高粱酒;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梨酒; 蜂蜜酒; 青稞酒;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</t>
    </r>
  </si>
  <si>
    <r>
      <t>铜贝</t>
    </r>
    <r>
      <rPr>
        <sz val="11"/>
        <color theme="1"/>
        <rFont val="ＭＳ Ｐゴシック"/>
        <family val="3"/>
        <charset val="128"/>
        <scheme val="minor"/>
      </rPr>
      <t>王</t>
    </r>
  </si>
  <si>
    <r>
      <t>保德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恒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副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品开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</si>
  <si>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青稞酒;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清酒;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果酒; 葡萄酒;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</si>
  <si>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金莱特</t>
  </si>
  <si>
    <r>
      <t>杨军</t>
    </r>
    <r>
      <rPr>
        <sz val="11"/>
        <color theme="1"/>
        <rFont val="ＭＳ Ｐゴシック"/>
        <family val="3"/>
        <charset val="128"/>
        <scheme val="minor"/>
      </rPr>
      <t>慧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</si>
  <si>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利口酒; 葡萄酒; 果酒;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</si>
  <si>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中香百宝果</t>
  </si>
  <si>
    <r>
      <t>桂林中和大地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</si>
  <si>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果酒（含酒精）; 白酒; 葡萄酒; 黄酒</t>
  </si>
  <si>
    <r>
      <t>众</t>
    </r>
    <r>
      <rPr>
        <sz val="11"/>
        <color theme="1"/>
        <rFont val="ＭＳ Ｐゴシック"/>
        <family val="3"/>
        <charset val="134"/>
        <scheme val="minor"/>
      </rPr>
      <t>饮乐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</si>
  <si>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州威</t>
    </r>
    <r>
      <rPr>
        <sz val="11"/>
        <color theme="1"/>
        <rFont val="ＭＳ Ｐゴシック"/>
        <family val="3"/>
        <charset val="134"/>
        <scheme val="minor"/>
      </rPr>
      <t>玛</t>
    </r>
    <r>
      <rPr>
        <sz val="11"/>
        <color theme="1"/>
        <rFont val="ＭＳ Ｐゴシック"/>
        <family val="3"/>
        <charset val="128"/>
        <scheme val="minor"/>
      </rPr>
      <t>智能科技有限公司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</si>
  <si>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黄酒</t>
    </r>
  </si>
  <si>
    <r>
      <t>燕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嘉礼 蜀 SHU MEMORY BANQUET SOUVENIR</t>
    </r>
  </si>
  <si>
    <r>
      <t>成都慢</t>
    </r>
    <r>
      <rPr>
        <sz val="11"/>
        <color theme="1"/>
        <rFont val="ＭＳ Ｐゴシック"/>
        <family val="3"/>
        <charset val="134"/>
        <scheme val="minor"/>
      </rPr>
      <t>鱼计</t>
    </r>
    <r>
      <rPr>
        <sz val="11"/>
        <color theme="1"/>
        <rFont val="ＭＳ Ｐゴシック"/>
        <family val="3"/>
        <charset val="128"/>
        <scheme val="minor"/>
      </rPr>
      <t>划文化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</si>
  <si>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葡萄酒;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餐后酒（利口酒和烈酒）; 清酒（日本米酒）; 杜松子酒</t>
    </r>
  </si>
  <si>
    <r>
      <t>慈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江南</t>
    </r>
  </si>
  <si>
    <r>
      <t xml:space="preserve">青稞酒; 白酒; 高粱酒; 葡萄酒; 梅酒; 烈酒;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果酒</t>
    </r>
  </si>
  <si>
    <r>
      <t>德添</t>
    </r>
    <r>
      <rPr>
        <sz val="11"/>
        <color theme="1"/>
        <rFont val="ＭＳ Ｐゴシック"/>
        <family val="3"/>
        <charset val="134"/>
        <scheme val="minor"/>
      </rPr>
      <t>牍</t>
    </r>
    <r>
      <rPr>
        <sz val="11"/>
        <color theme="1"/>
        <rFont val="ＭＳ Ｐゴシック"/>
        <family val="3"/>
        <charset val="128"/>
        <scheme val="minor"/>
      </rPr>
      <t>厚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</si>
  <si>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开胃酒</t>
    </r>
  </si>
  <si>
    <r>
      <t>火山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造</t>
    </r>
  </si>
  <si>
    <r>
      <t>蔺</t>
    </r>
    <r>
      <rPr>
        <sz val="11"/>
        <color theme="1"/>
        <rFont val="ＭＳ Ｐゴシック"/>
        <family val="3"/>
        <charset val="128"/>
        <scheme val="minor"/>
      </rPr>
      <t>曦丹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</si>
  <si>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白干酒（中国白酒）; 葡萄酒; 烈酒; 米酒; 黄酒; 清酒; 高粱酒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</si>
  <si>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勺</t>
    </r>
  </si>
  <si>
    <r>
      <t xml:space="preserve">青稞酒; 梅酒; 烈酒; 甜酒; 果酒;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黄酒</t>
    </r>
  </si>
  <si>
    <t>宝被</t>
  </si>
  <si>
    <r>
      <t>上海淘金合</t>
    </r>
    <r>
      <rPr>
        <sz val="11"/>
        <color theme="1"/>
        <rFont val="ＭＳ Ｐゴシック"/>
        <family val="3"/>
        <charset val="134"/>
        <scheme val="minor"/>
      </rPr>
      <t>创电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</si>
  <si>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葡萄酒; 白酒; 食用酒精; 伏特加酒</t>
    </r>
  </si>
  <si>
    <t>STUDY KING</t>
  </si>
  <si>
    <r>
      <t xml:space="preserve">米酒;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威士忌</t>
    </r>
  </si>
  <si>
    <r>
      <t xml:space="preserve">白酒;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黄酒; 葡萄酒</t>
    </r>
  </si>
  <si>
    <t>藏福年</t>
  </si>
  <si>
    <t>沈群森</t>
  </si>
  <si>
    <r>
      <t xml:space="preserve">果酒（含酒精）; 青稞酒; 食用酒精;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</si>
  <si>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星海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</si>
  <si>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>赖</t>
    </r>
    <r>
      <rPr>
        <sz val="11"/>
        <color theme="1"/>
        <rFont val="ＭＳ Ｐゴシック"/>
        <family val="3"/>
        <charset val="128"/>
        <scheme val="minor"/>
      </rPr>
      <t>毅鑫</t>
    </r>
  </si>
  <si>
    <r>
      <t xml:space="preserve">葡萄酒; 果酒（含酒精）;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</si>
  <si>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喜召德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</si>
  <si>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荣生堂生物科技有限公司</t>
    </r>
  </si>
  <si>
    <r>
      <t xml:space="preserve">威士忌; 果酒（含酒精）;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露酒;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米酒</t>
    </r>
  </si>
  <si>
    <t>拉瓠</t>
  </si>
  <si>
    <r>
      <t>辽</t>
    </r>
    <r>
      <rPr>
        <sz val="11"/>
        <color theme="1"/>
        <rFont val="ＭＳ Ｐゴシック"/>
        <family val="3"/>
        <charset val="128"/>
        <scheme val="minor"/>
      </rPr>
      <t>宁葫芦古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文化旅游集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</si>
  <si>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高粱酒; 果酒; 露酒; 葡萄酒;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</t>
    </r>
  </si>
  <si>
    <r>
      <t>誉</t>
    </r>
    <r>
      <rPr>
        <sz val="11"/>
        <color theme="1"/>
        <rFont val="ＭＳ Ｐゴシック"/>
        <family val="3"/>
        <charset val="134"/>
        <scheme val="minor"/>
      </rPr>
      <t>馏</t>
    </r>
  </si>
  <si>
    <r>
      <t>吴思</t>
    </r>
    <r>
      <rPr>
        <sz val="11"/>
        <color theme="1"/>
        <rFont val="ＭＳ Ｐゴシック"/>
        <family val="3"/>
        <charset val="134"/>
        <scheme val="minor"/>
      </rPr>
      <t>泽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</si>
  <si>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威士忌; 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</si>
  <si>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中州（河南）易</t>
    </r>
    <r>
      <rPr>
        <sz val="11"/>
        <color theme="1"/>
        <rFont val="ＭＳ Ｐゴシック"/>
        <family val="3"/>
        <charset val="134"/>
        <scheme val="minor"/>
      </rPr>
      <t>经风</t>
    </r>
    <r>
      <rPr>
        <sz val="11"/>
        <color theme="1"/>
        <rFont val="ＭＳ Ｐゴシック"/>
        <family val="3"/>
        <charset val="128"/>
        <scheme val="minor"/>
      </rPr>
      <t>水研究院</t>
    </r>
  </si>
  <si>
    <r>
      <t>果酒（含酒精）; 烈酒; 米酒; 利口酒; 苹果酒; 甜果酒;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薄荷酒; 白酒; 开胃酒</t>
    </r>
  </si>
  <si>
    <t>藏山野</t>
  </si>
  <si>
    <r>
      <t>香格里拉市野牧有方文旅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</si>
  <si>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开胃酒;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白酒; 果酒（含酒精）;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</si>
  <si>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香竹湾 BAMBOO BAY RESORT</t>
  </si>
  <si>
    <r>
      <t>香竹湾（深圳）供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</si>
  <si>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米酒; 清酒;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</si>
  <si>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擅</t>
  </si>
  <si>
    <r>
      <t>刘海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</si>
  <si>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>葡萄酒; 果酒（含酒精）;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甜果酒; 伏特加酒;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</si>
  <si>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矿</t>
    </r>
    <r>
      <rPr>
        <sz val="11"/>
        <color theme="1"/>
        <rFont val="ＭＳ Ｐゴシック"/>
        <family val="3"/>
        <charset val="128"/>
        <scheme val="minor"/>
      </rPr>
      <t>江山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</si>
  <si>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巧枝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</si>
  <si>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</t>
    </r>
  </si>
  <si>
    <t>楚六襄</t>
  </si>
  <si>
    <r>
      <t>杨</t>
    </r>
    <r>
      <rPr>
        <sz val="11"/>
        <color theme="1"/>
        <rFont val="ＭＳ Ｐゴシック"/>
        <family val="3"/>
        <charset val="128"/>
        <scheme val="minor"/>
      </rPr>
      <t>梅酒; 甜酒; 黄酒; 高粱酒; 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梅酒; 米酒; 白酒; 苦艾酒</t>
    </r>
  </si>
  <si>
    <t>要是同元</t>
  </si>
  <si>
    <r>
      <t>刘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</si>
  <si>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米酒;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</si>
  <si>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泛花 泛花开 好事来</t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</si>
  <si>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鑫达通</t>
    </r>
    <r>
      <rPr>
        <sz val="11"/>
        <color theme="1"/>
        <rFont val="ＭＳ Ｐゴシック"/>
        <family val="3"/>
        <charset val="134"/>
        <scheme val="minor"/>
      </rPr>
      <t>讯设备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</si>
  <si>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薄荷酒; 黄酒; 米酒; 含酒精的气泡水;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高粱酒; 果酒; 白酒; 清酒</t>
    </r>
  </si>
  <si>
    <t>泛花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</si>
  <si>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葡萄酒; 白酒; 麦芽威士忌</t>
    </r>
  </si>
  <si>
    <r>
      <t>奋</t>
    </r>
    <r>
      <rPr>
        <sz val="11"/>
        <color theme="1"/>
        <rFont val="ＭＳ Ｐゴシック"/>
        <family val="3"/>
        <charset val="128"/>
        <scheme val="minor"/>
      </rPr>
      <t>斗好</t>
    </r>
    <r>
      <rPr>
        <sz val="11"/>
        <color theme="1"/>
        <rFont val="ＭＳ Ｐゴシック"/>
        <family val="3"/>
        <charset val="134"/>
        <scheme val="minor"/>
      </rPr>
      <t>汉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</si>
  <si>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双喜</t>
    </r>
  </si>
  <si>
    <r>
      <t>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米酒; 葡萄酒;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</si>
  <si>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散花氿</t>
  </si>
  <si>
    <r>
      <t xml:space="preserve">葡萄酒; 清酒（日本米酒）; 米酒;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</si>
  <si>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水田埠</t>
  </si>
  <si>
    <t>朱亮亮</t>
  </si>
  <si>
    <r>
      <t xml:space="preserve">伏特加酒; 葡萄酒;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米酒;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</si>
  <si>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寒礼</t>
  </si>
  <si>
    <r>
      <t>张继</t>
    </r>
    <r>
      <rPr>
        <sz val="11"/>
        <color theme="1"/>
        <rFont val="ＭＳ Ｐゴシック"/>
        <family val="3"/>
        <charset val="128"/>
        <scheme val="minor"/>
      </rPr>
      <t>海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</si>
  <si>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果酒（含酒精）; 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杜松子酒;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</si>
  <si>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岗</t>
    </r>
    <r>
      <rPr>
        <sz val="11"/>
        <color theme="1"/>
        <rFont val="ＭＳ Ｐゴシック"/>
        <family val="3"/>
        <charset val="128"/>
        <scheme val="minor"/>
      </rPr>
      <t>山</t>
    </r>
  </si>
  <si>
    <t>胡志明</t>
  </si>
  <si>
    <r>
      <t>果酒; 葡萄酒; 青梅酒; 苹果酒; 高粱酒; 白酒;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米酒</t>
    </r>
  </si>
  <si>
    <r>
      <t>北魁秋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</si>
  <si>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辽</t>
    </r>
    <r>
      <rPr>
        <sz val="11"/>
        <color theme="1"/>
        <rFont val="ＭＳ Ｐゴシック"/>
        <family val="3"/>
        <charset val="128"/>
        <scheme val="minor"/>
      </rPr>
      <t>宁北魁生</t>
    </r>
    <r>
      <rPr>
        <sz val="11"/>
        <color theme="1"/>
        <rFont val="ＭＳ Ｐゴシック"/>
        <family val="3"/>
        <charset val="134"/>
        <scheme val="minor"/>
      </rPr>
      <t>态酿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</si>
  <si>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葡萄酒; 米酒;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</si>
  <si>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汴仙古</t>
    </r>
    <r>
      <rPr>
        <sz val="11"/>
        <color theme="1"/>
        <rFont val="ＭＳ Ｐゴシック"/>
        <family val="3"/>
        <charset val="134"/>
        <scheme val="minor"/>
      </rPr>
      <t>酿</t>
    </r>
  </si>
  <si>
    <t>开封市康之雅生物科技有限公司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</si>
  <si>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米酒;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</t>
    </r>
  </si>
  <si>
    <t>唐家班·大宅构造</t>
  </si>
  <si>
    <r>
      <t>唐忠</t>
    </r>
    <r>
      <rPr>
        <sz val="11"/>
        <color theme="1"/>
        <rFont val="ＭＳ Ｐゴシック"/>
        <family val="3"/>
        <charset val="134"/>
        <scheme val="minor"/>
      </rPr>
      <t>汉</t>
    </r>
  </si>
  <si>
    <r>
      <t>果酒（含酒精）; 开胃酒;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</si>
  <si>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r>
      <t>九洲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途</t>
    </r>
  </si>
  <si>
    <r>
      <t>邳子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</si>
  <si>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</si>
  <si>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望岳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来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</si>
  <si>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沙酒拉丁酒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</si>
  <si>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酒(利口酒); 青稞酒; 果酒(含酒精); 米酒; 威士忌酒; 清酒;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</si>
  <si>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覃氏百福堂</t>
  </si>
  <si>
    <t>覃和</t>
  </si>
  <si>
    <r>
      <t xml:space="preserve">白酒; 高粱酒; 露酒; 白干酒（中国白酒）; 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</si>
  <si>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听侯</t>
  </si>
  <si>
    <r>
      <t>驻马</t>
    </r>
    <r>
      <rPr>
        <sz val="11"/>
        <color theme="1"/>
        <rFont val="ＭＳ Ｐゴシック"/>
        <family val="3"/>
        <charset val="128"/>
        <scheme val="minor"/>
      </rPr>
      <t>店市</t>
    </r>
    <r>
      <rPr>
        <sz val="11"/>
        <color theme="1"/>
        <rFont val="ＭＳ Ｐゴシック"/>
        <family val="3"/>
        <charset val="134"/>
        <scheme val="minor"/>
      </rPr>
      <t>奋</t>
    </r>
    <r>
      <rPr>
        <sz val="11"/>
        <color theme="1"/>
        <rFont val="ＭＳ Ｐゴシック"/>
        <family val="3"/>
        <charset val="128"/>
        <scheme val="minor"/>
      </rPr>
      <t>新健康科技有限公司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</si>
  <si>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</si>
  <si>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小</t>
    </r>
    <r>
      <rPr>
        <sz val="11"/>
        <color theme="1"/>
        <rFont val="ＭＳ Ｐゴシック"/>
        <family val="3"/>
        <charset val="134"/>
        <scheme val="minor"/>
      </rPr>
      <t>坛</t>
    </r>
    <r>
      <rPr>
        <sz val="11"/>
        <color theme="1"/>
        <rFont val="ＭＳ Ｐゴシック"/>
        <family val="3"/>
        <charset val="128"/>
        <scheme val="minor"/>
      </rPr>
      <t>序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</si>
  <si>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葡萄酒; 清酒（日本米酒）;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</si>
  <si>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铪镭</t>
  </si>
  <si>
    <r>
      <t>赵</t>
    </r>
    <r>
      <rPr>
        <sz val="11"/>
        <color theme="1"/>
        <rFont val="ＭＳ Ｐゴシック"/>
        <family val="3"/>
        <charset val="128"/>
        <scheme val="minor"/>
      </rPr>
      <t>文江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</si>
  <si>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薄荷酒; 酸酒（低等葡萄酒）; 开胃酒; 黄酒; 食用酒精; 茴芹酒（利口酒）; 尼瓦（以甘蔗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</si>
  <si>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广西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越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香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</si>
  <si>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柑香酒;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五加皮酒（中国混合烈酒）; 蜂蜜酒;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葡萄酒; 白酒</t>
    </r>
  </si>
  <si>
    <r>
      <t>日月酒</t>
    </r>
    <r>
      <rPr>
        <sz val="11"/>
        <color theme="1"/>
        <rFont val="ＭＳ Ｐゴシック"/>
        <family val="3"/>
        <charset val="134"/>
        <scheme val="minor"/>
      </rPr>
      <t>赋</t>
    </r>
  </si>
  <si>
    <t>河南日月酒窖品牌管理有限公司</t>
  </si>
  <si>
    <r>
      <t xml:space="preserve">威士忌; 伏特加酒;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利口酒</t>
    </r>
  </si>
  <si>
    <r>
      <t>友</t>
    </r>
    <r>
      <rPr>
        <sz val="11"/>
        <color theme="1"/>
        <rFont val="ＭＳ Ｐゴシック"/>
        <family val="3"/>
        <charset val="134"/>
        <scheme val="minor"/>
      </rPr>
      <t>壶</t>
    </r>
    <r>
      <rPr>
        <sz val="11"/>
        <color theme="1"/>
        <rFont val="ＭＳ Ｐゴシック"/>
        <family val="3"/>
        <charset val="128"/>
        <scheme val="minor"/>
      </rPr>
      <t>仙</t>
    </r>
  </si>
  <si>
    <r>
      <t>烈酒; 米酒;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清酒（日本米酒）;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</si>
  <si>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自得</t>
    </r>
    <r>
      <rPr>
        <sz val="11"/>
        <color theme="1"/>
        <rFont val="ＭＳ Ｐゴシック"/>
        <family val="3"/>
        <charset val="134"/>
        <scheme val="minor"/>
      </rPr>
      <t>欢</t>
    </r>
    <r>
      <rPr>
        <sz val="11"/>
        <color theme="1"/>
        <rFont val="ＭＳ Ｐゴシック"/>
        <family val="3"/>
        <charset val="128"/>
        <scheme val="minor"/>
      </rPr>
      <t>喜</t>
    </r>
  </si>
  <si>
    <r>
      <t>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清酒（日本米酒）; 果酒（含酒精）; 汽酒;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</si>
  <si>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RED MAGE</t>
  </si>
  <si>
    <r>
      <t>曜影国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（深圳）有限公司</t>
    </r>
  </si>
  <si>
    <r>
      <t>白酒;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威士忌; 米酒; 伏特加酒;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</si>
  <si>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古今争霸</t>
  </si>
  <si>
    <r>
      <t>汽酒;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清酒（日本米酒）; 威士忌; 烈酒</t>
    </r>
  </si>
  <si>
    <t>黔立谷粮香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</si>
  <si>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臣坊酒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</si>
  <si>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黄酒;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</si>
  <si>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椰小侠</t>
  </si>
  <si>
    <r>
      <t>施小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</si>
  <si>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汽酒; 白酒; 果酒; 米酒; 葡萄酒; 黄酒;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</t>
    </r>
  </si>
  <si>
    <t>NO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</si>
  <si>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锅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</si>
  <si>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葡萄酒;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</si>
  <si>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STELLAR MOMENTS</t>
  </si>
  <si>
    <r>
      <t>成都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歌文化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</si>
  <si>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朗姆酒;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伏特加酒</t>
    </r>
  </si>
  <si>
    <r>
      <t>传</t>
    </r>
    <r>
      <rPr>
        <sz val="11"/>
        <color theme="1"/>
        <rFont val="ＭＳ Ｐゴシック"/>
        <family val="3"/>
        <charset val="128"/>
        <scheme val="minor"/>
      </rPr>
      <t>物集</t>
    </r>
  </si>
  <si>
    <r>
      <t>刘明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</si>
  <si>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米酒; 汽酒; 烈酒; 果酒（含酒精）; 威士忌</t>
    </r>
  </si>
  <si>
    <r>
      <t>一斗</t>
    </r>
    <r>
      <rPr>
        <sz val="11"/>
        <color theme="1"/>
        <rFont val="ＭＳ Ｐゴシック"/>
        <family val="3"/>
        <charset val="134"/>
        <scheme val="minor"/>
      </rPr>
      <t>块</t>
    </r>
    <r>
      <rPr>
        <sz val="11"/>
        <color theme="1"/>
        <rFont val="ＭＳ Ｐゴシック"/>
        <family val="3"/>
        <charset val="128"/>
        <scheme val="minor"/>
      </rPr>
      <t>磊平</t>
    </r>
  </si>
  <si>
    <r>
      <t>宁夏醉心醉葡萄酒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</si>
  <si>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白葡萄酒; 葡萄酒; 酸酒（低等葡萄酒）;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加烈葡萄酒;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</si>
  <si>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傲格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</si>
  <si>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苏华</t>
    </r>
    <r>
      <rPr>
        <sz val="11"/>
        <color theme="1"/>
        <rFont val="ＭＳ Ｐゴシック"/>
        <family val="3"/>
        <charset val="128"/>
        <scheme val="minor"/>
      </rPr>
      <t>糖商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</si>
  <si>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黄酒; 开胃酒; 露酒;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汽酒; 果酒（含酒精）; 米酒; 薄荷酒</t>
    </r>
  </si>
  <si>
    <t>NATTUZY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</si>
  <si>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庆飞</t>
    </r>
    <r>
      <rPr>
        <sz val="11"/>
        <color theme="1"/>
        <rFont val="ＭＳ Ｐゴシック"/>
        <family val="3"/>
        <charset val="128"/>
        <scheme val="minor"/>
      </rPr>
      <t>越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品食品有限公司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</si>
  <si>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利口酒;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葡萄酒;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</si>
  <si>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t>必榜</t>
  </si>
  <si>
    <r>
      <t>马</t>
    </r>
    <r>
      <rPr>
        <sz val="11"/>
        <color theme="1"/>
        <rFont val="ＭＳ Ｐゴシック"/>
        <family val="3"/>
        <charset val="128"/>
        <scheme val="minor"/>
      </rPr>
      <t>黄</t>
    </r>
    <r>
      <rPr>
        <sz val="11"/>
        <color theme="1"/>
        <rFont val="ＭＳ Ｐゴシック"/>
        <family val="3"/>
        <charset val="134"/>
        <scheme val="minor"/>
      </rPr>
      <t>锁</t>
    </r>
  </si>
  <si>
    <t>黄酒; 葡萄酒; 食用酒精; 果酒; 白酒; 开胃酒; 汽酒; 清酒; 甜酒; 米酒</t>
  </si>
  <si>
    <r>
      <t>聚</t>
    </r>
    <r>
      <rPr>
        <sz val="11"/>
        <color theme="1"/>
        <rFont val="ＭＳ Ｐゴシック"/>
        <family val="3"/>
        <charset val="134"/>
        <scheme val="minor"/>
      </rPr>
      <t>灏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</si>
  <si>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州聚</t>
    </r>
    <r>
      <rPr>
        <sz val="11"/>
        <color theme="1"/>
        <rFont val="ＭＳ Ｐゴシック"/>
        <family val="3"/>
        <charset val="134"/>
        <scheme val="minor"/>
      </rPr>
      <t>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</si>
  <si>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</si>
  <si>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福运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</si>
  <si>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黄河酒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</si>
  <si>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蒸煮提取物（利口酒和烈酒）; 黄酒; 米酒; 开胃酒; 白酒;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</t>
    </r>
  </si>
  <si>
    <r>
      <t>全太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房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</si>
  <si>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州全太品牌管理有限公司</t>
    </r>
  </si>
  <si>
    <r>
      <t>果酒（含酒精）; 威士忌;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黄酒;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</si>
  <si>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藏尚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</si>
  <si>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超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</si>
  <si>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白酒; 白干酒（中国白酒）; 高粱酒; 清酒; 青稞酒; 清酒（日本米酒）; 米酒; 利口酒</t>
    </r>
  </si>
  <si>
    <r>
      <t>肴老</t>
    </r>
    <r>
      <rPr>
        <sz val="11"/>
        <color theme="1"/>
        <rFont val="ＭＳ Ｐゴシック"/>
        <family val="3"/>
        <charset val="134"/>
        <scheme val="minor"/>
      </rPr>
      <t>爷</t>
    </r>
  </si>
  <si>
    <r>
      <t>四川榕宸企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</si>
  <si>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威士忌;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</si>
  <si>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r>
      <t>桶之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</si>
  <si>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四川省雨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</si>
  <si>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葡萄酒; 梅酒;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烈性干酒; 餐后酒（利口酒和烈酒）; 果酒（含酒精）; 白干酒（中国白酒）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</si>
  <si>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明天下</t>
    </r>
  </si>
  <si>
    <t>胡利勤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</si>
  <si>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露酒; 白干酒（中国白酒）; 烈酒; 清酒</t>
    </r>
  </si>
  <si>
    <r>
      <t>江北小双</t>
    </r>
    <r>
      <rPr>
        <sz val="11"/>
        <color theme="1"/>
        <rFont val="ＭＳ Ｐゴシック"/>
        <family val="3"/>
        <charset val="134"/>
        <scheme val="minor"/>
      </rPr>
      <t>轮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</si>
  <si>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东红</t>
    </r>
    <r>
      <rPr>
        <sz val="11"/>
        <color theme="1"/>
        <rFont val="ＭＳ Ｐゴシック"/>
        <family val="3"/>
        <charset val="128"/>
        <scheme val="minor"/>
      </rPr>
      <t>金酒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</si>
  <si>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葡萄酒; 利口酒; 白酒; 黄酒</t>
    </r>
  </si>
  <si>
    <t>礼遇甜蜜</t>
  </si>
  <si>
    <r>
      <t>上海众之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</si>
  <si>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果酒;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</si>
  <si>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五和清清</t>
  </si>
  <si>
    <r>
      <t>山西振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五和医养堂股份有限公司</t>
    </r>
  </si>
  <si>
    <r>
      <t>餐后酒（利口酒和烈酒）; 米酒; 黄酒; 白酒; 食用酒精;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</si>
  <si>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仙泥古窖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</si>
  <si>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清酒（日本米酒）;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餐后酒（利口酒和烈酒）</t>
    </r>
  </si>
  <si>
    <t>祁工</t>
  </si>
  <si>
    <r>
      <t>茶有音信（哈</t>
    </r>
    <r>
      <rPr>
        <sz val="11"/>
        <color theme="1"/>
        <rFont val="ＭＳ Ｐゴシック"/>
        <family val="3"/>
        <charset val="134"/>
        <scheme val="minor"/>
      </rPr>
      <t>尔滨</t>
    </r>
    <r>
      <rPr>
        <sz val="11"/>
        <color theme="1"/>
        <rFont val="ＭＳ Ｐゴシック"/>
        <family val="3"/>
        <charset val="128"/>
        <scheme val="minor"/>
      </rPr>
      <t>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</si>
  <si>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伏特加酒;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开胃酒; 汽酒; 蜂蜜酒; 黄酒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</si>
  <si>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在望仙谷</t>
    </r>
  </si>
  <si>
    <t>胡达真</t>
  </si>
  <si>
    <r>
      <t xml:space="preserve">白酒; 葡萄酒;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烈酒;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</si>
  <si>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匠千年</t>
    </r>
  </si>
  <si>
    <t>王英杰******************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</si>
  <si>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麦芽威士忌;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水果汽酒;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</si>
  <si>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立忠立膳</t>
    </r>
    <r>
      <rPr>
        <sz val="11"/>
        <color theme="1"/>
        <rFont val="ＭＳ Ｐゴシック"/>
        <family val="3"/>
        <charset val="134"/>
        <scheme val="minor"/>
      </rPr>
      <t>阁</t>
    </r>
  </si>
  <si>
    <r>
      <t>云南立忠餐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</si>
  <si>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白酒; 米酒; 高粱酒; 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青稞酒;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</si>
  <si>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r>
      <t>旷</t>
    </r>
    <r>
      <rPr>
        <sz val="11"/>
        <color theme="1"/>
        <rFont val="ＭＳ Ｐゴシック"/>
        <family val="3"/>
        <charset val="128"/>
        <scheme val="minor"/>
      </rPr>
      <t>世霸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</si>
  <si>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游小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</si>
  <si>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烈酒;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清酒（日本米酒）; 威士忌; 汽酒;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</si>
  <si>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三支天</t>
    </r>
    <r>
      <rPr>
        <sz val="11"/>
        <color theme="1"/>
        <rFont val="ＭＳ Ｐゴシック"/>
        <family val="3"/>
        <charset val="134"/>
        <scheme val="minor"/>
      </rPr>
      <t>鹅</t>
    </r>
  </si>
  <si>
    <r>
      <t>领兴</t>
    </r>
    <r>
      <rPr>
        <sz val="11"/>
        <color theme="1"/>
        <rFont val="ＭＳ Ｐゴシック"/>
        <family val="3"/>
        <charset val="128"/>
        <scheme val="minor"/>
      </rPr>
      <t>（重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</si>
  <si>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果酒（含酒精）; 威士忌; 烈酒;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</si>
  <si>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邦家之基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</si>
  <si>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西心合兄弟酒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</si>
  <si>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高粱酒; 甘蔗制烈酒; 苹果酒;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五加皮酒（中国混合烈酒）;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烈酒</t>
    </r>
  </si>
  <si>
    <r>
      <t>滃娘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</si>
  <si>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翁源</t>
    </r>
    <r>
      <rPr>
        <sz val="11"/>
        <color theme="1"/>
        <rFont val="ＭＳ Ｐゴシック"/>
        <family val="3"/>
        <charset val="134"/>
        <scheme val="minor"/>
      </rPr>
      <t>县龙</t>
    </r>
    <r>
      <rPr>
        <sz val="11"/>
        <color theme="1"/>
        <rFont val="ＭＳ Ｐゴシック"/>
        <family val="3"/>
        <charset val="128"/>
        <scheme val="minor"/>
      </rPr>
      <t>仙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云都商行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</si>
  <si>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</t>
    </r>
  </si>
  <si>
    <t>醉禾南</t>
  </si>
  <si>
    <r>
      <t>董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霞</t>
    </r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</si>
  <si>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</si>
  <si>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r>
      <t>优</t>
    </r>
    <r>
      <rPr>
        <sz val="11"/>
        <color theme="1"/>
        <rFont val="ＭＳ Ｐゴシック"/>
        <family val="3"/>
        <charset val="134"/>
        <scheme val="minor"/>
      </rPr>
      <t>购</t>
    </r>
    <r>
      <rPr>
        <sz val="11"/>
        <color theme="1"/>
        <rFont val="ＭＳ Ｐゴシック"/>
        <family val="3"/>
        <charset val="128"/>
        <scheme val="minor"/>
      </rPr>
      <t>哆 生·活·超·市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</si>
  <si>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振宇******************</t>
    </r>
  </si>
  <si>
    <r>
      <t>清酒（日本米酒）; 威士忌; 黄酒; 米酒;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</si>
  <si>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茶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芳</t>
    </r>
  </si>
  <si>
    <r>
      <t>陆</t>
    </r>
    <r>
      <rPr>
        <sz val="11"/>
        <color theme="1"/>
        <rFont val="ＭＳ Ｐゴシック"/>
        <family val="3"/>
        <charset val="128"/>
        <scheme val="minor"/>
      </rPr>
      <t>文才</t>
    </r>
  </si>
  <si>
    <r>
      <t xml:space="preserve">青稞酒;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</si>
  <si>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将得乾</t>
  </si>
  <si>
    <r>
      <t>张</t>
    </r>
    <r>
      <rPr>
        <sz val="11"/>
        <color theme="1"/>
        <rFont val="ＭＳ Ｐゴシック"/>
        <family val="3"/>
        <charset val="128"/>
        <scheme val="minor"/>
      </rPr>
      <t>春明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</si>
  <si>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清酒（日本米酒）; 葡萄酒; 果酒（含酒精）; 米酒</t>
    </r>
  </si>
  <si>
    <t>宗窖天下</t>
  </si>
  <si>
    <r>
      <t xml:space="preserve">黄酒; 白酒;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烈酒; 清酒</t>
    </r>
  </si>
  <si>
    <r>
      <t>华选铺</t>
    </r>
    <r>
      <rPr>
        <sz val="11"/>
        <color theme="1"/>
        <rFont val="ＭＳ Ｐゴシック"/>
        <family val="3"/>
        <charset val="128"/>
        <scheme val="minor"/>
      </rPr>
      <t>子</t>
    </r>
  </si>
  <si>
    <r>
      <t>胡</t>
    </r>
    <r>
      <rPr>
        <sz val="11"/>
        <color theme="1"/>
        <rFont val="ＭＳ Ｐゴシック"/>
        <family val="3"/>
        <charset val="134"/>
        <scheme val="minor"/>
      </rPr>
      <t>东辉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</si>
  <si>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葡萄酒</t>
    </r>
  </si>
  <si>
    <t>SODI</t>
  </si>
  <si>
    <r>
      <t>中商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欧（广西）数字科技有限公司</t>
    </r>
  </si>
  <si>
    <r>
      <t>葡萄酒; 白酒; 食用酒精; 甜酒; 黄酒; 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</si>
  <si>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云外天香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</si>
  <si>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市民族酒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</si>
  <si>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</t>
    </r>
  </si>
  <si>
    <t>茗叶青</t>
  </si>
  <si>
    <r>
      <t>葡萄酒;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</si>
  <si>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七兄弟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</si>
  <si>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聚七兄弟酒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</si>
  <si>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葡萄酒; 高粱酒;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</si>
  <si>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民康元</t>
  </si>
  <si>
    <r>
      <t>云南民康食品有限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</si>
  <si>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黄酒; 白酒; 高粱酒; 食用酒精; 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梅酒; 米酒</t>
    </r>
  </si>
  <si>
    <t>喆祥好日子</t>
  </si>
  <si>
    <r>
      <t>郑</t>
    </r>
    <r>
      <rPr>
        <sz val="11"/>
        <color theme="1"/>
        <rFont val="ＭＳ Ｐゴシック"/>
        <family val="3"/>
        <charset val="128"/>
        <scheme val="minor"/>
      </rPr>
      <t>守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</si>
  <si>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白酒; 蜂蜜酒; 利口酒;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</si>
  <si>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逸夫科技（集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</si>
  <si>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 xml:space="preserve">青稞酒;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梅酒; 果酒; 黄酒; 米酒;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</t>
    </r>
  </si>
  <si>
    <r>
      <t>时</t>
    </r>
    <r>
      <rPr>
        <sz val="11"/>
        <color theme="1"/>
        <rFont val="ＭＳ Ｐゴシック"/>
        <family val="3"/>
        <charset val="128"/>
        <scheme val="minor"/>
      </rPr>
      <t>小养</t>
    </r>
  </si>
  <si>
    <r>
      <t>邯</t>
    </r>
    <r>
      <rPr>
        <sz val="11"/>
        <color theme="1"/>
        <rFont val="ＭＳ Ｐゴシック"/>
        <family val="3"/>
        <charset val="134"/>
        <scheme val="minor"/>
      </rPr>
      <t>郸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小养健康管理有限公司</t>
    </r>
  </si>
  <si>
    <r>
      <t xml:space="preserve">清酒（日本米酒）;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苹果酒; 梨酒;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</si>
  <si>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t>将酒翁</t>
  </si>
  <si>
    <r>
      <t>深圳天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万通科技有限公司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</si>
  <si>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</si>
  <si>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上海鑫</t>
    </r>
    <r>
      <rPr>
        <sz val="11"/>
        <color theme="1"/>
        <rFont val="ＭＳ Ｐゴシック"/>
        <family val="3"/>
        <charset val="134"/>
        <scheme val="minor"/>
      </rPr>
      <t>鹏</t>
    </r>
    <r>
      <rPr>
        <sz val="11"/>
        <color theme="1"/>
        <rFont val="ＭＳ Ｐゴシック"/>
        <family val="3"/>
        <charset val="128"/>
        <scheme val="minor"/>
      </rPr>
      <t>塑料制品有限公司</t>
    </r>
  </si>
  <si>
    <r>
      <t>白干酒（中国白酒）; 黄酒; 威士忌; 食用酒精;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</si>
  <si>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承鹿园</t>
    </r>
  </si>
  <si>
    <r>
      <t>辽</t>
    </r>
    <r>
      <rPr>
        <sz val="11"/>
        <color theme="1"/>
        <rFont val="ＭＳ Ｐゴシック"/>
        <family val="3"/>
        <charset val="128"/>
        <scheme val="minor"/>
      </rPr>
      <t>宁迪因达鹿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</si>
  <si>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利口酒;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汽酒; 米酒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</si>
  <si>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泡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</si>
  <si>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汽酒; 利口酒;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伏特加酒; 黄酒; 米酒; 露酒</t>
    </r>
  </si>
  <si>
    <r>
      <t>燊</t>
    </r>
    <r>
      <rPr>
        <sz val="11"/>
        <color theme="1"/>
        <rFont val="ＭＳ Ｐゴシック"/>
        <family val="3"/>
        <charset val="128"/>
        <scheme val="minor"/>
      </rPr>
      <t>遇</t>
    </r>
    <r>
      <rPr>
        <sz val="11"/>
        <color theme="1"/>
        <rFont val="ＭＳ Ｐゴシック"/>
        <family val="3"/>
        <charset val="134"/>
        <scheme val="minor"/>
      </rPr>
      <t>缘</t>
    </r>
  </si>
  <si>
    <t>曾居勇</t>
  </si>
  <si>
    <r>
      <t>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高粱酒;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果酒（含酒精）; 黄酒; 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</t>
    </r>
  </si>
  <si>
    <t>菩雪</t>
  </si>
  <si>
    <r>
      <t>北京菩</t>
    </r>
    <r>
      <rPr>
        <sz val="11"/>
        <color theme="1"/>
        <rFont val="ＭＳ Ｐゴシック"/>
        <family val="3"/>
        <charset val="134"/>
        <scheme val="minor"/>
      </rPr>
      <t>尘</t>
    </r>
    <r>
      <rPr>
        <sz val="11"/>
        <color theme="1"/>
        <rFont val="ＭＳ Ｐゴシック"/>
        <family val="3"/>
        <charset val="128"/>
        <scheme val="minor"/>
      </rPr>
      <t>素食餐</t>
    </r>
    <r>
      <rPr>
        <sz val="11"/>
        <color theme="1"/>
        <rFont val="ＭＳ Ｐゴシック"/>
        <family val="3"/>
        <charset val="134"/>
        <scheme val="minor"/>
      </rPr>
      <t>厅</t>
    </r>
  </si>
  <si>
    <r>
      <t>清酒; 高粱酒; 米酒;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白干酒（中国白酒）; 葡萄酒</t>
    </r>
  </si>
  <si>
    <r>
      <t>惠州市民洲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</si>
  <si>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果酒; 烈酒; 米酒; 白酒;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</si>
  <si>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r>
      <t>云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尊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</si>
  <si>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州鼎尊酒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</si>
  <si>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果酒（含酒精）; 葡萄酒;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</si>
  <si>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中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</si>
  <si>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青稞酒;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果酒（含酒精）</t>
    </r>
  </si>
  <si>
    <r>
      <t>荞</t>
    </r>
    <r>
      <rPr>
        <sz val="11"/>
        <color theme="1"/>
        <rFont val="ＭＳ Ｐゴシック"/>
        <family val="3"/>
        <charset val="128"/>
        <scheme val="minor"/>
      </rPr>
      <t>小伙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</si>
  <si>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斌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</si>
  <si>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果酒（含酒精）; 苹果酒; 开胃酒</t>
    </r>
  </si>
  <si>
    <r>
      <t>易出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山</t>
    </r>
  </si>
  <si>
    <t>郭静******************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</si>
  <si>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酸酒（低等葡萄酒）; 果酒（含酒精）</t>
    </r>
  </si>
  <si>
    <t>古丰刘邦故里</t>
  </si>
  <si>
    <t>袁永智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</si>
  <si>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黄酒; 米酒; 利口酒;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</si>
  <si>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春玲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</si>
  <si>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</si>
  <si>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相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与伱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</si>
  <si>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玲玲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</si>
  <si>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米酒; 葡萄酒</t>
    </r>
  </si>
  <si>
    <r>
      <t>福至</t>
    </r>
    <r>
      <rPr>
        <sz val="11"/>
        <color theme="1"/>
        <rFont val="ＭＳ Ｐゴシック"/>
        <family val="3"/>
        <charset val="134"/>
        <scheme val="minor"/>
      </rPr>
      <t>齐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</si>
  <si>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>云城区柔米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易商行（个体工商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</si>
  <si>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黄酒; 白酒</t>
    </r>
  </si>
  <si>
    <r>
      <t>缇</t>
    </r>
    <r>
      <rPr>
        <sz val="11"/>
        <color theme="1"/>
        <rFont val="ＭＳ Ｐゴシック"/>
        <family val="3"/>
        <charset val="128"/>
        <scheme val="minor"/>
      </rPr>
      <t>沫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</si>
  <si>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英杰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</si>
  <si>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威士忌; 葡萄酒</t>
    </r>
  </si>
  <si>
    <t>福小会</t>
  </si>
  <si>
    <r>
      <t>福会商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（杭州）有限公司</t>
    </r>
  </si>
  <si>
    <r>
      <t>葡萄酒; 果酒; 果酒（含酒精）; 开胃酒; 黄酒;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</si>
  <si>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养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说</t>
    </r>
  </si>
  <si>
    <t>蔡勇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</si>
  <si>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果酒（含酒精）; 开胃酒;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白酒</t>
    </r>
  </si>
  <si>
    <r>
      <t>新</t>
    </r>
    <r>
      <rPr>
        <sz val="11"/>
        <color theme="1"/>
        <rFont val="ＭＳ Ｐゴシック"/>
        <family val="3"/>
        <charset val="134"/>
        <scheme val="minor"/>
      </rPr>
      <t>郑</t>
    </r>
    <r>
      <rPr>
        <sz val="11"/>
        <color theme="1"/>
        <rFont val="ＭＳ Ｐゴシック"/>
        <family val="3"/>
        <charset val="128"/>
        <scheme val="minor"/>
      </rPr>
      <t>市万佳商</t>
    </r>
    <r>
      <rPr>
        <sz val="11"/>
        <color theme="1"/>
        <rFont val="ＭＳ Ｐゴシック"/>
        <family val="3"/>
        <charset val="134"/>
        <scheme val="minor"/>
      </rPr>
      <t>业连锁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</si>
  <si>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蜂蜜酒; 甜果酒; 露酒; 白酒; 果酒（含酒精）; 黄酒; 清酒</t>
    </r>
  </si>
  <si>
    <r>
      <t>平安天</t>
    </r>
    <r>
      <rPr>
        <sz val="11"/>
        <color theme="1"/>
        <rFont val="ＭＳ Ｐゴシック"/>
        <family val="3"/>
        <charset val="134"/>
        <scheme val="minor"/>
      </rPr>
      <t>时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</si>
  <si>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月醉酒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</si>
  <si>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含酒精的气泡水; 烈酒;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汽酒; 葡萄酒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</si>
  <si>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辽</t>
    </r>
    <r>
      <rPr>
        <sz val="11"/>
        <color theme="1"/>
        <rFont val="ＭＳ Ｐゴシック"/>
        <family val="3"/>
        <charset val="128"/>
        <scheme val="minor"/>
      </rPr>
      <t>朝</t>
    </r>
  </si>
  <si>
    <r>
      <t>沈阳康姿文化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</si>
  <si>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威士忌; 葡萄酒</t>
    </r>
  </si>
  <si>
    <t>酩旺仙</t>
  </si>
  <si>
    <t>李志旺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</si>
  <si>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葡萄酒; 米酒</t>
    </r>
  </si>
  <si>
    <r>
      <t>坛</t>
    </r>
    <r>
      <rPr>
        <sz val="11"/>
        <color theme="1"/>
        <rFont val="ＭＳ Ｐゴシック"/>
        <family val="3"/>
        <charset val="128"/>
        <scheme val="minor"/>
      </rPr>
      <t>笑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月</t>
    </r>
  </si>
  <si>
    <r>
      <t>烈酒;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威士忌; 汽酒; 葡萄酒; 米酒</t>
    </r>
  </si>
  <si>
    <t>秘曲老</t>
  </si>
  <si>
    <r>
      <t>谢韦</t>
    </r>
    <r>
      <rPr>
        <sz val="11"/>
        <color theme="1"/>
        <rFont val="ＭＳ Ｐゴシック"/>
        <family val="3"/>
        <charset val="128"/>
        <scheme val="minor"/>
      </rPr>
      <t>熙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</si>
  <si>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白酒; 米酒; 苹果酒; 餐后酒（利口酒和烈酒）</t>
    </r>
  </si>
  <si>
    <r>
      <t>酒先森</t>
    </r>
    <r>
      <rPr>
        <sz val="11"/>
        <color theme="1"/>
        <rFont val="ＭＳ Ｐゴシック"/>
        <family val="3"/>
        <charset val="134"/>
        <scheme val="minor"/>
      </rPr>
      <t>设计师</t>
    </r>
  </si>
  <si>
    <r>
      <t>四川酒</t>
    </r>
    <r>
      <rPr>
        <sz val="11"/>
        <color theme="1"/>
        <rFont val="ＭＳ Ｐゴシック"/>
        <family val="3"/>
        <charset val="134"/>
        <scheme val="minor"/>
      </rPr>
      <t>链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</si>
  <si>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利口酒;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</si>
  <si>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戚功</t>
  </si>
  <si>
    <r>
      <t>烟台卓承天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</si>
  <si>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</si>
  <si>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大燕朝</t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</si>
  <si>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威士忌;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</si>
  <si>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刘昊洋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</si>
  <si>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米酒</t>
    </r>
  </si>
  <si>
    <r>
      <t>众源</t>
    </r>
    <r>
      <rPr>
        <sz val="11"/>
        <color theme="1"/>
        <rFont val="ＭＳ Ｐゴシック"/>
        <family val="3"/>
        <charset val="134"/>
        <scheme val="minor"/>
      </rPr>
      <t>纷</t>
    </r>
    <r>
      <rPr>
        <sz val="11"/>
        <color theme="1"/>
        <rFont val="ＭＳ Ｐゴシック"/>
        <family val="3"/>
        <charset val="128"/>
        <scheme val="minor"/>
      </rPr>
      <t>享 ZYF-SHARING</t>
    </r>
  </si>
  <si>
    <t>郭仁李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</si>
  <si>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</si>
  <si>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壮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探花</t>
    </r>
  </si>
  <si>
    <t>余俊</t>
  </si>
  <si>
    <t>露酒; 米酒; 白酒</t>
  </si>
  <si>
    <t>瑶笑歌</t>
  </si>
  <si>
    <r>
      <t>韦红</t>
    </r>
    <r>
      <rPr>
        <sz val="11"/>
        <color theme="1"/>
        <rFont val="ＭＳ Ｐゴシック"/>
        <family val="3"/>
        <charset val="128"/>
        <scheme val="minor"/>
      </rPr>
      <t>阳</t>
    </r>
  </si>
  <si>
    <r>
      <t xml:space="preserve">白酒; 清酒;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甜果酒; 薄荷酒; 烈酒; 露酒; 果酒</t>
    </r>
  </si>
  <si>
    <t>型派</t>
  </si>
  <si>
    <t>海金成</t>
  </si>
  <si>
    <t>白酒; 米酒; 清酒; 食用酒精; 黄酒; 葡萄酒; 果酒; 汽酒; 甜酒; 开胃酒</t>
  </si>
  <si>
    <r>
      <t>帝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宗</t>
    </r>
  </si>
  <si>
    <r>
      <t>汽酒;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烈酒; 葡萄酒; 清酒（日本米酒）; 米酒</t>
    </r>
  </si>
  <si>
    <t>茗芬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</si>
  <si>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</t>
    </r>
  </si>
  <si>
    <t>朝外七条</t>
  </si>
  <si>
    <r>
      <t>合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麟（北京）食品有限公司</t>
    </r>
  </si>
  <si>
    <r>
      <t>米酒; 伏特加酒; 汽酒;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</si>
  <si>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泥古窖</t>
    </r>
  </si>
  <si>
    <r>
      <t>餐后酒（利口酒和烈酒）;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开胃酒; 葡萄酒</t>
    </r>
  </si>
  <si>
    <t>DRUNKEN BEAUTY DATONG</t>
  </si>
  <si>
    <r>
      <t>山西柏杰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特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品商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</si>
  <si>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汽酒</t>
    </r>
  </si>
  <si>
    <r>
      <t>被感芯</t>
    </r>
    <r>
      <rPr>
        <sz val="11"/>
        <color theme="1"/>
        <rFont val="ＭＳ Ｐゴシック"/>
        <family val="3"/>
        <charset val="134"/>
        <scheme val="minor"/>
      </rPr>
      <t>动</t>
    </r>
  </si>
  <si>
    <t>巴靖焜</t>
  </si>
  <si>
    <r>
      <t>食用酒精;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米酒;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</t>
    </r>
  </si>
  <si>
    <r>
      <t>御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坤</t>
    </r>
  </si>
  <si>
    <r>
      <t>白酒; 米酒;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露酒</t>
    </r>
  </si>
  <si>
    <r>
      <t>鹿</t>
    </r>
    <r>
      <rPr>
        <sz val="11"/>
        <color theme="1"/>
        <rFont val="ＭＳ Ｐゴシック"/>
        <family val="3"/>
        <charset val="134"/>
        <scheme val="minor"/>
      </rPr>
      <t>许</t>
    </r>
  </si>
  <si>
    <r>
      <t>许</t>
    </r>
    <r>
      <rPr>
        <sz val="11"/>
        <color theme="1"/>
        <rFont val="ＭＳ Ｐゴシック"/>
        <family val="3"/>
        <charset val="128"/>
        <scheme val="minor"/>
      </rPr>
      <t>昌今朝商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</si>
  <si>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葡萄酒; 果酒（含酒精）; 白酒; 开胃酒;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</si>
  <si>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酒隆至樽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</si>
  <si>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泰</t>
    </r>
    <r>
      <rPr>
        <sz val="11"/>
        <color theme="1"/>
        <rFont val="ＭＳ Ｐゴシック"/>
        <family val="3"/>
        <charset val="134"/>
        <scheme val="minor"/>
      </rPr>
      <t>劲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</si>
  <si>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汽酒; 果酒（含酒精）;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</si>
  <si>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渠甲天下</t>
  </si>
  <si>
    <r>
      <t>渠利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*****************X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</si>
  <si>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食用酒精; 高粱酒; 利口酒; 米酒; 果酒</t>
    </r>
  </si>
  <si>
    <t>菩曹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</si>
  <si>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高粱酒; 米酒;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果酒; 白干酒（中国白酒）; 葡萄酒; 黄酒</t>
    </r>
  </si>
  <si>
    <t>全能冠</t>
  </si>
  <si>
    <t>王江玉</t>
  </si>
  <si>
    <t>开胃酒; 汽酒; 清酒; 甜酒; 黄酒; 葡萄酒; 白酒; 米酒; 食用酒精; 果酒</t>
  </si>
  <si>
    <r>
      <t>利辛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展沟</t>
    </r>
    <r>
      <rPr>
        <sz val="11"/>
        <color theme="1"/>
        <rFont val="ＭＳ Ｐゴシック"/>
        <family val="3"/>
        <charset val="134"/>
        <scheme val="minor"/>
      </rPr>
      <t>镇记记</t>
    </r>
    <r>
      <rPr>
        <sz val="11"/>
        <color theme="1"/>
        <rFont val="ＭＳ Ｐゴシック"/>
        <family val="3"/>
        <charset val="128"/>
        <scheme val="minor"/>
      </rPr>
      <t>广告工作室</t>
    </r>
  </si>
  <si>
    <r>
      <t xml:space="preserve">白酒; 果酒（含酒精）;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</t>
    </r>
  </si>
  <si>
    <t>湘楚湘醇</t>
  </si>
  <si>
    <r>
      <t>珠海宏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控股有限公司</t>
    </r>
  </si>
  <si>
    <r>
      <t xml:space="preserve">黄酒;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烈酒; 白酒; 威士忌; 果酒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</si>
  <si>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十五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</si>
  <si>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尧</t>
    </r>
    <r>
      <rPr>
        <sz val="11"/>
        <color theme="1"/>
        <rFont val="ＭＳ Ｐゴシック"/>
        <family val="3"/>
        <charset val="128"/>
        <scheme val="minor"/>
      </rPr>
      <t>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</si>
  <si>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果酒（含酒精）; 利口酒</t>
    </r>
  </si>
  <si>
    <t>NOTPOT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</si>
  <si>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</t>
    </r>
  </si>
  <si>
    <t>嵩寿煌</t>
  </si>
  <si>
    <r>
      <t>洛阳桑黄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</si>
  <si>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清酒; 白酒; 黄酒; 米酒;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</t>
    </r>
  </si>
  <si>
    <r>
      <t>嗨</t>
    </r>
    <r>
      <rPr>
        <sz val="11"/>
        <color theme="1"/>
        <rFont val="ＭＳ Ｐゴシック"/>
        <family val="3"/>
        <charset val="128"/>
        <scheme val="minor"/>
      </rPr>
      <t>食巴</t>
    </r>
  </si>
  <si>
    <r>
      <t>陈红</t>
    </r>
    <r>
      <rPr>
        <sz val="11"/>
        <color theme="1"/>
        <rFont val="ＭＳ Ｐゴシック"/>
        <family val="3"/>
        <charset val="128"/>
        <scheme val="minor"/>
      </rPr>
      <t>君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</si>
  <si>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果酒; 蜂蜜酒; 葡萄酒; 甜酒</t>
    </r>
  </si>
  <si>
    <t>燕七喜</t>
  </si>
  <si>
    <t>泉州燕七喜生物科技有限公司</t>
  </si>
  <si>
    <r>
      <t xml:space="preserve">白干酒（中国白酒）;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</si>
  <si>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r>
      <t>丽</t>
    </r>
    <r>
      <rPr>
        <sz val="11"/>
        <color theme="1"/>
        <rFont val="ＭＳ Ｐゴシック"/>
        <family val="3"/>
        <charset val="128"/>
        <scheme val="minor"/>
      </rPr>
      <t>致酒店管理有限公司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</si>
  <si>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伏特加酒; 米酒; 果酒（含酒精）;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</si>
  <si>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寿康酒</t>
  </si>
  <si>
    <r>
      <t>寿光市圣城酒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</si>
  <si>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黄酒; 食用酒精; 果酒（含酒精）;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</si>
  <si>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胖春来</t>
  </si>
  <si>
    <r>
      <t>江西</t>
    </r>
    <r>
      <rPr>
        <sz val="11"/>
        <color theme="1"/>
        <rFont val="ＭＳ Ｐゴシック"/>
        <family val="3"/>
        <charset val="134"/>
        <scheme val="minor"/>
      </rPr>
      <t>鱼</t>
    </r>
    <r>
      <rPr>
        <sz val="11"/>
        <color theme="1"/>
        <rFont val="ＭＳ Ｐゴシック"/>
        <family val="3"/>
        <charset val="128"/>
        <scheme val="minor"/>
      </rPr>
      <t>掌柜餐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</si>
  <si>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高粱酒; 食用酒精; 白干酒（中国白酒）;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开胃酒; 黄酒</t>
    </r>
  </si>
  <si>
    <t>林凰</t>
  </si>
  <si>
    <t>康文博</t>
  </si>
  <si>
    <r>
      <t xml:space="preserve">米酒; 白酒;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清酒（日本米酒）;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</si>
  <si>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MUOAI</t>
  </si>
  <si>
    <r>
      <t>詹姆斯.</t>
    </r>
    <r>
      <rPr>
        <sz val="11"/>
        <color theme="1"/>
        <rFont val="ＭＳ Ｐゴシック"/>
        <family val="3"/>
        <charset val="134"/>
        <scheme val="minor"/>
      </rPr>
      <t>张</t>
    </r>
  </si>
  <si>
    <r>
      <t>清酒（日本米酒）;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开胃酒</t>
    </r>
  </si>
  <si>
    <r>
      <t>银鳞</t>
    </r>
    <r>
      <rPr>
        <sz val="11"/>
        <color theme="1"/>
        <rFont val="ＭＳ Ｐゴシック"/>
        <family val="3"/>
        <charset val="128"/>
        <scheme val="minor"/>
      </rPr>
      <t>庄</t>
    </r>
  </si>
  <si>
    <r>
      <t>株式会社似</t>
    </r>
    <r>
      <rPr>
        <sz val="11"/>
        <color theme="1"/>
        <rFont val="ＭＳ Ｐゴシック"/>
        <family val="3"/>
        <charset val="134"/>
        <scheme val="minor"/>
      </rPr>
      <t>鸟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</si>
  <si>
    <r>
      <t xml:space="preserve">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日本松</t>
    </r>
    <r>
      <rPr>
        <sz val="11"/>
        <color theme="1"/>
        <rFont val="ＭＳ Ｐゴシック"/>
        <family val="3"/>
        <charset val="134"/>
        <scheme val="minor"/>
      </rPr>
      <t>针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果酒; 利口酒; 清酒; 日本波布蛇酒</t>
    </r>
  </si>
  <si>
    <t>良人市</t>
  </si>
  <si>
    <t>上海智杕控股有限公司</t>
  </si>
  <si>
    <r>
      <t xml:space="preserve">米酒;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开胃酒; 餐后酒（利口酒和烈酒）</t>
    </r>
  </si>
  <si>
    <r>
      <t>唐小</t>
    </r>
    <r>
      <rPr>
        <sz val="11"/>
        <color theme="1"/>
        <rFont val="ＭＳ Ｐゴシック"/>
        <family val="3"/>
        <charset val="134"/>
        <scheme val="minor"/>
      </rPr>
      <t>浔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</si>
  <si>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平</t>
    </r>
  </si>
  <si>
    <t>白酒; 清酒; 黄酒; 米酒; 果酒（含酒精）; 梅酒; 葡萄酒; 伏特加酒; 甜酒; 朗姆酒</t>
  </si>
  <si>
    <r>
      <t>惜</t>
    </r>
    <r>
      <rPr>
        <sz val="11"/>
        <color theme="1"/>
        <rFont val="ＭＳ Ｐゴシック"/>
        <family val="3"/>
        <charset val="134"/>
        <scheme val="minor"/>
      </rPr>
      <t>诵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</si>
  <si>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州惜</t>
    </r>
    <r>
      <rPr>
        <sz val="11"/>
        <color theme="1"/>
        <rFont val="ＭＳ Ｐゴシック"/>
        <family val="3"/>
        <charset val="134"/>
        <scheme val="minor"/>
      </rPr>
      <t>诵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</si>
  <si>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白酒</t>
    </r>
  </si>
  <si>
    <t>王朝堡徽</t>
  </si>
  <si>
    <r>
      <t>中法合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王朝葡萄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</si>
  <si>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烈酒; 白酒; 果酒; 白干酒（中国白酒）;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开胃酒;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</si>
  <si>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萃泉醇珍</t>
  </si>
  <si>
    <r>
      <t>云南萃泉醇珍酒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</si>
  <si>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威士忌; 白酒;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果酒; 葡萄酒; 清酒</t>
    </r>
  </si>
  <si>
    <t>姆庄名</t>
  </si>
  <si>
    <r>
      <t>母</t>
    </r>
    <r>
      <rPr>
        <sz val="11"/>
        <color theme="1"/>
        <rFont val="ＭＳ Ｐゴシック"/>
        <family val="3"/>
        <charset val="134"/>
        <scheme val="minor"/>
      </rPr>
      <t>应</t>
    </r>
    <r>
      <rPr>
        <sz val="11"/>
        <color theme="1"/>
        <rFont val="ＭＳ Ｐゴシック"/>
        <family val="3"/>
        <charset val="128"/>
        <scheme val="minor"/>
      </rPr>
      <t>均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</si>
  <si>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白酒; 烈酒; 高粱酒;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</si>
  <si>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GZGJ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</si>
  <si>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珍品酒厂</t>
    </r>
  </si>
  <si>
    <r>
      <t>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餐后酒（利口酒和烈酒）;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</si>
  <si>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界</t>
    </r>
    <r>
      <rPr>
        <sz val="11"/>
        <color theme="1"/>
        <rFont val="ＭＳ Ｐゴシック"/>
        <family val="3"/>
        <charset val="134"/>
        <scheme val="minor"/>
      </rPr>
      <t>润</t>
    </r>
  </si>
  <si>
    <r>
      <t>温建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</si>
  <si>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 xml:space="preserve">清酒（日本米酒）; 黄酒; 青稞酒;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酸酒（低等葡萄酒）</t>
    </r>
  </si>
  <si>
    <t>天凉</t>
  </si>
  <si>
    <r>
      <t>桐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市好敬吧酒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</si>
  <si>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果酒（含酒精）; 甜酒</t>
    </r>
  </si>
  <si>
    <r>
      <t>西海硬</t>
    </r>
    <r>
      <rPr>
        <sz val="11"/>
        <color theme="1"/>
        <rFont val="ＭＳ Ｐゴシック"/>
        <family val="3"/>
        <charset val="134"/>
        <scheme val="minor"/>
      </rPr>
      <t>汉</t>
    </r>
  </si>
  <si>
    <t>施昊辰</t>
  </si>
  <si>
    <r>
      <t>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烈酒;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</si>
  <si>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誓攀</t>
  </si>
  <si>
    <r>
      <t>沈丘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双</t>
    </r>
    <r>
      <rPr>
        <sz val="11"/>
        <color theme="1"/>
        <rFont val="ＭＳ Ｐゴシック"/>
        <family val="3"/>
        <charset val="134"/>
        <scheme val="minor"/>
      </rPr>
      <t>红酿</t>
    </r>
    <r>
      <rPr>
        <sz val="11"/>
        <color theme="1"/>
        <rFont val="ＭＳ Ｐゴシック"/>
        <family val="3"/>
        <charset val="128"/>
        <scheme val="minor"/>
      </rPr>
      <t>酒坊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</si>
  <si>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烈性干酒; 白干酒（中国白酒）; 米酒;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高粱酒</t>
    </r>
  </si>
  <si>
    <t>PENGLONG</t>
  </si>
  <si>
    <r>
      <t>浙江</t>
    </r>
    <r>
      <rPr>
        <sz val="11"/>
        <color theme="1"/>
        <rFont val="ＭＳ Ｐゴシック"/>
        <family val="3"/>
        <charset val="134"/>
        <scheme val="minor"/>
      </rPr>
      <t>鹏</t>
    </r>
    <r>
      <rPr>
        <sz val="11"/>
        <color theme="1"/>
        <rFont val="ＭＳ Ｐゴシック"/>
        <family val="3"/>
        <charset val="128"/>
        <scheme val="minor"/>
      </rPr>
      <t>隆科技有限公司</t>
    </r>
  </si>
  <si>
    <r>
      <t>白酒; 米酒; 薄荷酒; 蜂蜜酒; 苦味酒; 开胃酒;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黄酒</t>
    </r>
  </si>
  <si>
    <t>琴渡</t>
  </si>
  <si>
    <r>
      <t>顺势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（涿州市）有限公司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</si>
  <si>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果酒; 开胃酒; 黄酒; 米酒</t>
    </r>
  </si>
  <si>
    <t>BARAKA</t>
  </si>
  <si>
    <r>
      <t>张</t>
    </r>
    <r>
      <rPr>
        <sz val="11"/>
        <color theme="1"/>
        <rFont val="ＭＳ Ｐゴシック"/>
        <family val="3"/>
        <charset val="128"/>
        <scheme val="minor"/>
      </rPr>
      <t>京</t>
    </r>
    <r>
      <rPr>
        <sz val="11"/>
        <color theme="1"/>
        <rFont val="ＭＳ Ｐゴシック"/>
        <family val="3"/>
        <charset val="134"/>
        <scheme val="minor"/>
      </rPr>
      <t>录</t>
    </r>
  </si>
  <si>
    <r>
      <t>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朗姆酒; 伏特加酒; 葡萄酒; 杜松子酒;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</si>
  <si>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巧牧作品</t>
  </si>
  <si>
    <t>上海巧牧食品有限公司</t>
  </si>
  <si>
    <r>
      <t xml:space="preserve">黄酒; 开胃酒; 高粱酒;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白干酒（中国白酒）; 果酒（含酒精）; 白酒</t>
    </r>
  </si>
  <si>
    <t>裕馥春</t>
  </si>
  <si>
    <t>胡友生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</si>
  <si>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开胃酒</t>
    </r>
  </si>
  <si>
    <t>没瓶没聚</t>
  </si>
  <si>
    <r>
      <t>广西杜仕康酒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</si>
  <si>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</si>
  <si>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五良小元</t>
  </si>
  <si>
    <r>
      <t>四川五良小川酒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</si>
  <si>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</si>
  <si>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梅酒; 米酒; 利口酒; 清酒; 日本波布蛇酒; 日本松</t>
    </r>
    <r>
      <rPr>
        <sz val="11"/>
        <color theme="1"/>
        <rFont val="ＭＳ Ｐゴシック"/>
        <family val="3"/>
        <charset val="134"/>
        <scheme val="minor"/>
      </rPr>
      <t>针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葡萄酒</t>
    </r>
  </si>
  <si>
    <r>
      <t>尚嵇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公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</si>
  <si>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州第壹悠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</si>
  <si>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米酒;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</si>
  <si>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酉</t>
    </r>
    <r>
      <rPr>
        <sz val="11"/>
        <color theme="1"/>
        <rFont val="ＭＳ Ｐゴシック"/>
        <family val="3"/>
        <charset val="134"/>
        <scheme val="minor"/>
      </rPr>
      <t>驿</t>
    </r>
  </si>
  <si>
    <r>
      <t>李阳</t>
    </r>
    <r>
      <rPr>
        <sz val="11"/>
        <color theme="1"/>
        <rFont val="ＭＳ Ｐゴシック"/>
        <family val="3"/>
        <charset val="134"/>
        <scheme val="minor"/>
      </rPr>
      <t>领</t>
    </r>
  </si>
  <si>
    <r>
      <t xml:space="preserve">葡萄酒; 利口酒;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果酒（含酒精）; 米酒; 青稞酒</t>
    </r>
  </si>
  <si>
    <t>得今藏</t>
  </si>
  <si>
    <r>
      <t>威士忌; 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烈酒;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</t>
    </r>
  </si>
  <si>
    <r>
      <t>苹果酒; 餐后酒（利口酒和烈酒）;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露酒; 白酒; 葡萄酒; 果酒（含酒精）</t>
    </r>
  </si>
  <si>
    <t>刹广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</si>
  <si>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州遵茅酒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</si>
  <si>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白酒;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</t>
    </r>
  </si>
  <si>
    <t>晗之遥</t>
  </si>
  <si>
    <r>
      <t>天津市善</t>
    </r>
    <r>
      <rPr>
        <sz val="11"/>
        <color theme="1"/>
        <rFont val="ＭＳ Ｐゴシック"/>
        <family val="3"/>
        <charset val="134"/>
        <scheme val="minor"/>
      </rPr>
      <t>缘纸</t>
    </r>
    <r>
      <rPr>
        <sz val="11"/>
        <color theme="1"/>
        <rFont val="ＭＳ Ｐゴシック"/>
        <family val="3"/>
        <charset val="128"/>
        <scheme val="minor"/>
      </rPr>
      <t>制品有限公司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</si>
  <si>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米酒;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黄酒</t>
    </r>
  </si>
  <si>
    <r>
      <t>断</t>
    </r>
    <r>
      <rPr>
        <sz val="11"/>
        <color theme="1"/>
        <rFont val="ＭＳ Ｐゴシック"/>
        <family val="3"/>
        <charset val="134"/>
        <scheme val="minor"/>
      </rPr>
      <t>桥观鱼</t>
    </r>
  </si>
  <si>
    <r>
      <t>绍兴</t>
    </r>
    <r>
      <rPr>
        <sz val="11"/>
        <color theme="1"/>
        <rFont val="ＭＳ Ｐゴシック"/>
        <family val="3"/>
        <charset val="128"/>
        <scheme val="minor"/>
      </rPr>
      <t>市宝越酒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</si>
  <si>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葡萄酒;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白干酒（中国白酒）;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</si>
  <si>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XIMOREPLUS</t>
  </si>
  <si>
    <t>莫静波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</si>
  <si>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利口酒; 米酒; 黄酒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</si>
  <si>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微壹号</t>
    </r>
  </si>
  <si>
    <t>王宏******************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</si>
  <si>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</si>
  <si>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希提提</t>
  </si>
  <si>
    <t>方舟科技私人有限公司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</si>
  <si>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</si>
  <si>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开雪</t>
  </si>
  <si>
    <r>
      <t>范国</t>
    </r>
    <r>
      <rPr>
        <sz val="11"/>
        <color theme="1"/>
        <rFont val="ＭＳ Ｐゴシック"/>
        <family val="3"/>
        <charset val="134"/>
        <scheme val="minor"/>
      </rPr>
      <t>润</t>
    </r>
  </si>
  <si>
    <r>
      <t xml:space="preserve">烈酒; 露酒; 利口酒; 葡萄酒;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果酒（含酒精）; 蜂蜜酒; 白酒</t>
    </r>
  </si>
  <si>
    <t>印言</t>
  </si>
  <si>
    <r>
      <t>西宁恩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</si>
  <si>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清酒; 葡萄酒; 米酒; 青稞酒; 白酒; 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果酒（含酒精）; 黄酒</t>
    </r>
  </si>
  <si>
    <r>
      <t>指</t>
    </r>
    <r>
      <rPr>
        <sz val="11"/>
        <color theme="1"/>
        <rFont val="ＭＳ Ｐゴシック"/>
        <family val="3"/>
        <charset val="134"/>
        <scheme val="minor"/>
      </rPr>
      <t>团</t>
    </r>
  </si>
  <si>
    <r>
      <t>濮阳市</t>
    </r>
    <r>
      <rPr>
        <sz val="11"/>
        <color theme="1"/>
        <rFont val="ＭＳ Ｐゴシック"/>
        <family val="3"/>
        <charset val="134"/>
        <scheme val="minor"/>
      </rPr>
      <t>鸿诚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</si>
  <si>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</si>
  <si>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t>迎樽逢</t>
  </si>
  <si>
    <r>
      <t>钟泽</t>
    </r>
    <r>
      <rPr>
        <sz val="11"/>
        <color theme="1"/>
        <rFont val="ＭＳ Ｐゴシック"/>
        <family val="3"/>
        <charset val="128"/>
        <scheme val="minor"/>
      </rPr>
      <t>丰</t>
    </r>
  </si>
  <si>
    <r>
      <t>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果酒（含酒精）</t>
    </r>
  </si>
  <si>
    <t>古蓉川</t>
  </si>
  <si>
    <t>成都玥来悦有科技有限公司</t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</si>
  <si>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米酒; 含酒精的气泡水;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</si>
  <si>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景阳芝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</si>
  <si>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醉无坊酒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</si>
  <si>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清酒（日本米酒）</t>
    </r>
  </si>
  <si>
    <t>古原方</t>
  </si>
  <si>
    <r>
      <t>丽</t>
    </r>
    <r>
      <rPr>
        <sz val="11"/>
        <color theme="1"/>
        <rFont val="ＭＳ Ｐゴシック"/>
        <family val="3"/>
        <charset val="128"/>
        <scheme val="minor"/>
      </rPr>
      <t>水市味丹食品有限公司</t>
    </r>
  </si>
  <si>
    <r>
      <t>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黄酒;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开胃酒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</si>
  <si>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章方</t>
    </r>
  </si>
  <si>
    <r>
      <t>江西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章健康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</si>
  <si>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薄荷酒;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甘蔗制烈酒; 含酒精蛋奶酒;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茴香酒</t>
    </r>
  </si>
  <si>
    <t>山乘山等于酒</t>
  </si>
  <si>
    <r>
      <t>吴光</t>
    </r>
    <r>
      <rPr>
        <sz val="11"/>
        <color theme="1"/>
        <rFont val="ＭＳ Ｐゴシック"/>
        <family val="3"/>
        <charset val="134"/>
        <scheme val="minor"/>
      </rPr>
      <t>发</t>
    </r>
  </si>
  <si>
    <r>
      <t>清酒（日本米酒）;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梅酒;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</si>
  <si>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r>
      <t>斟</t>
    </r>
    <r>
      <rPr>
        <sz val="11"/>
        <color theme="1"/>
        <rFont val="ＭＳ Ｐゴシック"/>
        <family val="3"/>
        <charset val="134"/>
        <scheme val="minor"/>
      </rPr>
      <t>团圆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</si>
  <si>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青稞酒; 黄酒; 清酒（日本米酒）; 威士忌; 蜂蜜酒;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</si>
  <si>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亦笙 酒</t>
  </si>
  <si>
    <r>
      <t>亦笙生命科技（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州）有限公司</t>
    </r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</si>
  <si>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五加皮酒（中国混合烈酒）; 白酒</t>
    </r>
  </si>
  <si>
    <t>GRUNDY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</si>
  <si>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州豫之葡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</si>
  <si>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果酒（含酒精）; 汽酒; 杜松子酒; 伏特加酒; 朗姆酒</t>
    </r>
  </si>
  <si>
    <t>匠中匠匠品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</si>
  <si>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州匠中匠酒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</si>
  <si>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蒸煮提取物（利口酒和烈酒）;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白酒;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</si>
  <si>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NORTHLCE</t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</si>
  <si>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晖</t>
    </r>
    <r>
      <rPr>
        <sz val="11"/>
        <color theme="1"/>
        <rFont val="ＭＳ Ｐゴシック"/>
        <family val="3"/>
        <charset val="128"/>
        <scheme val="minor"/>
      </rPr>
      <t>梵科技有限公司</t>
    </r>
  </si>
  <si>
    <r>
      <t>朗姆酒;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</t>
    </r>
  </si>
  <si>
    <t>康喜祥云</t>
  </si>
  <si>
    <r>
      <t>新疆康喜酒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</si>
  <si>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高粱酒</t>
    </r>
  </si>
  <si>
    <t>大堰云竹</t>
  </si>
  <si>
    <r>
      <t>宁波欣欣向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数字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</si>
  <si>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</si>
  <si>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祥庸</t>
  </si>
  <si>
    <r>
      <t>浙江百富供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</si>
  <si>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</si>
  <si>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皇小姑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</si>
  <si>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州互惠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售服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</si>
  <si>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清酒;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食用酒精; 果酒（含酒精）;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黄酒</t>
    </r>
  </si>
  <si>
    <r>
      <t>抚</t>
    </r>
    <r>
      <rPr>
        <sz val="11"/>
        <color theme="1"/>
        <rFont val="ＭＳ Ｐゴシック"/>
        <family val="3"/>
        <charset val="128"/>
        <scheme val="minor"/>
      </rPr>
      <t>塔</t>
    </r>
  </si>
  <si>
    <r>
      <t>雄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（北京）云</t>
    </r>
    <r>
      <rPr>
        <sz val="11"/>
        <color theme="1"/>
        <rFont val="ＭＳ Ｐゴシック"/>
        <family val="3"/>
        <charset val="134"/>
        <scheme val="minor"/>
      </rPr>
      <t>计</t>
    </r>
    <r>
      <rPr>
        <sz val="11"/>
        <color theme="1"/>
        <rFont val="ＭＳ Ｐゴシック"/>
        <family val="3"/>
        <charset val="128"/>
        <scheme val="minor"/>
      </rPr>
      <t>算有限公司</t>
    </r>
  </si>
  <si>
    <r>
      <t xml:space="preserve">白酒; 米酒;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</si>
  <si>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南天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</si>
  <si>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佳蒙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</si>
  <si>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清酒（日本米酒）;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</si>
  <si>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养客多</t>
  </si>
  <si>
    <t>李士新</t>
  </si>
  <si>
    <r>
      <t>果酒（含酒精）; 汽酒; 米酒; 葡萄酒; 白酒; 威士忌; 伏特加酒; 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</si>
  <si>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绵陈</t>
  </si>
  <si>
    <r>
      <t>四川省川雨酒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</si>
  <si>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果酒（含酒精）; 开胃酒; 黄酒; 米酒; 白酒; 果酒; 梅酒; 葡萄酒; 白干酒（中国白酒）; 汽酒</t>
  </si>
  <si>
    <r>
      <t>天</t>
    </r>
    <r>
      <rPr>
        <sz val="11"/>
        <color theme="1"/>
        <rFont val="ＭＳ Ｐゴシック"/>
        <family val="3"/>
        <charset val="134"/>
        <scheme val="minor"/>
      </rPr>
      <t>籁传递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</si>
  <si>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雪松</t>
    </r>
  </si>
  <si>
    <r>
      <t xml:space="preserve">餐后酒（利口酒和烈酒）; 米酒; 葡萄酒; 果酒（含酒精）;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</si>
  <si>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玖木紫</t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</si>
  <si>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白酒</t>
    </r>
  </si>
  <si>
    <t>星白之光</t>
  </si>
  <si>
    <r>
      <t>开胃酒;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</t>
    </r>
  </si>
  <si>
    <t>景阳帝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</si>
  <si>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景阳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</si>
  <si>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甜酒; 梅酒;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米酒; 葡萄酒</t>
    </r>
  </si>
  <si>
    <t>澎湖山</t>
  </si>
  <si>
    <r>
      <t>张</t>
    </r>
    <r>
      <rPr>
        <sz val="11"/>
        <color theme="1"/>
        <rFont val="ＭＳ Ｐゴシック"/>
        <family val="3"/>
        <charset val="128"/>
        <scheme val="minor"/>
      </rPr>
      <t>崇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</si>
  <si>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清酒（日本米酒）</t>
    </r>
  </si>
  <si>
    <t>睿串</t>
  </si>
  <si>
    <r>
      <t>周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</si>
  <si>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白酒; 黄酒;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果酒; 米酒; 清酒</t>
    </r>
  </si>
  <si>
    <r>
      <t>汀</t>
    </r>
    <r>
      <rPr>
        <sz val="11"/>
        <color theme="1"/>
        <rFont val="ＭＳ Ｐゴシック"/>
        <family val="3"/>
        <charset val="134"/>
        <scheme val="minor"/>
      </rPr>
      <t>鹤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</si>
  <si>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健</t>
    </r>
  </si>
  <si>
    <r>
      <t>日本波布蛇酒;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日本梅子酒; 日本松</t>
    </r>
    <r>
      <rPr>
        <sz val="11"/>
        <color theme="1"/>
        <rFont val="ＭＳ Ｐゴシック"/>
        <family val="3"/>
        <charset val="134"/>
        <scheme val="minor"/>
      </rPr>
      <t>针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利口酒; 清酒（日本米酒）;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</si>
  <si>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巴卡兄弟</t>
  </si>
  <si>
    <r>
      <t>开</t>
    </r>
    <r>
      <rPr>
        <sz val="11"/>
        <color theme="1"/>
        <rFont val="ＭＳ Ｐゴシック"/>
        <family val="3"/>
        <charset val="134"/>
        <scheme val="minor"/>
      </rPr>
      <t>赛尔</t>
    </r>
    <r>
      <rPr>
        <sz val="11"/>
        <color theme="1"/>
        <rFont val="ＭＳ Ｐゴシック"/>
        <family val="3"/>
        <charset val="128"/>
        <scheme val="minor"/>
      </rPr>
      <t>·</t>
    </r>
    <r>
      <rPr>
        <sz val="11"/>
        <color theme="1"/>
        <rFont val="ＭＳ Ｐゴシック"/>
        <family val="3"/>
        <charset val="134"/>
        <scheme val="minor"/>
      </rPr>
      <t>库尔</t>
    </r>
    <r>
      <rPr>
        <sz val="11"/>
        <color theme="1"/>
        <rFont val="ＭＳ Ｐゴシック"/>
        <family val="3"/>
        <charset val="128"/>
        <scheme val="minor"/>
      </rPr>
      <t>班江</t>
    </r>
  </si>
  <si>
    <r>
      <t>果酒（含酒精）; 葡萄酒;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咖啡利口酒;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水果汽酒;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</si>
  <si>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海南</t>
    </r>
    <r>
      <rPr>
        <sz val="11"/>
        <color theme="1"/>
        <rFont val="ＭＳ Ｐゴシック"/>
        <family val="3"/>
        <charset val="134"/>
        <scheme val="minor"/>
      </rPr>
      <t>鸿泽</t>
    </r>
    <r>
      <rPr>
        <sz val="11"/>
        <color theme="1"/>
        <rFont val="ＭＳ Ｐゴシック"/>
        <family val="3"/>
        <charset val="128"/>
        <scheme val="minor"/>
      </rPr>
      <t>西域投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</si>
  <si>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清酒（日本米酒）;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威士忌; 黄酒</t>
    </r>
  </si>
  <si>
    <r>
      <t>滏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</si>
  <si>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邯</t>
    </r>
    <r>
      <rPr>
        <sz val="11"/>
        <color theme="1"/>
        <rFont val="ＭＳ Ｐゴシック"/>
        <family val="3"/>
        <charset val="134"/>
        <scheme val="minor"/>
      </rPr>
      <t>郸</t>
    </r>
    <r>
      <rPr>
        <sz val="11"/>
        <color theme="1"/>
        <rFont val="ＭＳ Ｐゴシック"/>
        <family val="3"/>
        <charset val="128"/>
        <scheme val="minor"/>
      </rPr>
      <t>市滏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</si>
  <si>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餐后酒（利口酒和烈酒）;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清酒（日本米酒）;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</si>
  <si>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湖岭丰味</t>
  </si>
  <si>
    <r>
      <t>陈</t>
    </r>
    <r>
      <rPr>
        <sz val="11"/>
        <color theme="1"/>
        <rFont val="ＭＳ Ｐゴシック"/>
        <family val="3"/>
        <charset val="128"/>
        <scheme val="minor"/>
      </rPr>
      <t>良</t>
    </r>
    <r>
      <rPr>
        <sz val="11"/>
        <color theme="1"/>
        <rFont val="ＭＳ Ｐゴシック"/>
        <family val="3"/>
        <charset val="134"/>
        <scheme val="minor"/>
      </rPr>
      <t>济</t>
    </r>
  </si>
  <si>
    <r>
      <t xml:space="preserve">葡萄酒; 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薄荷酒; 蜂蜜酒;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烈酒</t>
    </r>
  </si>
  <si>
    <t>DRAXI</t>
  </si>
  <si>
    <r>
      <t>华</t>
    </r>
    <r>
      <rPr>
        <sz val="11"/>
        <color theme="1"/>
        <rFont val="ＭＳ Ｐゴシック"/>
        <family val="3"/>
        <charset val="128"/>
        <scheme val="minor"/>
      </rPr>
      <t>容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井云</t>
    </r>
    <r>
      <rPr>
        <sz val="11"/>
        <color theme="1"/>
        <rFont val="ＭＳ Ｐゴシック"/>
        <family val="3"/>
        <charset val="134"/>
        <scheme val="minor"/>
      </rPr>
      <t>综</t>
    </r>
    <r>
      <rPr>
        <sz val="11"/>
        <color theme="1"/>
        <rFont val="ＭＳ Ｐゴシック"/>
        <family val="3"/>
        <charset val="128"/>
        <scheme val="minor"/>
      </rPr>
      <t>合商行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</si>
  <si>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梅酒;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清酒（日本米酒）</t>
    </r>
  </si>
  <si>
    <r>
      <t>宁波月湖香庄文化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</si>
  <si>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食用酒精;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</si>
  <si>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t>DGAX</t>
  </si>
  <si>
    <r>
      <t>国品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（北京）品牌管理有限公司</t>
    </r>
  </si>
  <si>
    <r>
      <t>利口酒; 伏特加酒; 白酒;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威士忌;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</si>
  <si>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白溪关</t>
  </si>
  <si>
    <r>
      <t>古丈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白溪关国</t>
    </r>
    <r>
      <rPr>
        <sz val="11"/>
        <color theme="1"/>
        <rFont val="ＭＳ Ｐゴシック"/>
        <family val="3"/>
        <charset val="134"/>
        <scheme val="minor"/>
      </rPr>
      <t>华综</t>
    </r>
    <r>
      <rPr>
        <sz val="11"/>
        <color theme="1"/>
        <rFont val="ＭＳ Ｐゴシック"/>
        <family val="3"/>
        <charset val="128"/>
        <scheme val="minor"/>
      </rPr>
      <t>合养殖有限公司</t>
    </r>
  </si>
  <si>
    <r>
      <t xml:space="preserve">葡萄酒; 蜂蜜酒; 果酒（含酒精）; 米酒;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汽酒</t>
    </r>
  </si>
  <si>
    <t>怪火</t>
  </si>
  <si>
    <r>
      <t>亳州市前昆餐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</si>
  <si>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白干酒（中国白酒）; 高粱酒</t>
    </r>
  </si>
  <si>
    <r>
      <t>安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喜宴樽</t>
    </r>
  </si>
  <si>
    <r>
      <t>辽</t>
    </r>
    <r>
      <rPr>
        <sz val="11"/>
        <color theme="1"/>
        <rFont val="ＭＳ Ｐゴシック"/>
        <family val="3"/>
        <charset val="128"/>
        <scheme val="minor"/>
      </rPr>
      <t>宁恒福生物科技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</si>
  <si>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</si>
  <si>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钱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钱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钱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</si>
  <si>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高粱酒; 葡萄酒; 白酒;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米酒; 黄酒; 梅酒</t>
    </r>
  </si>
  <si>
    <t>画林山居</t>
  </si>
  <si>
    <t>四川阳雀台科技有限公司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</si>
  <si>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威士忌; 清酒（日本米酒）</t>
    </r>
  </si>
  <si>
    <r>
      <t>深圳</t>
    </r>
    <r>
      <rPr>
        <sz val="11"/>
        <color theme="1"/>
        <rFont val="ＭＳ Ｐゴシック"/>
        <family val="3"/>
        <charset val="134"/>
        <scheme val="minor"/>
      </rPr>
      <t>贰</t>
    </r>
    <r>
      <rPr>
        <sz val="11"/>
        <color theme="1"/>
        <rFont val="ＭＳ Ｐゴシック"/>
        <family val="3"/>
        <charset val="128"/>
        <scheme val="minor"/>
      </rPr>
      <t>拾壹造文化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</si>
  <si>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米酒;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</si>
  <si>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精</t>
    </r>
    <r>
      <rPr>
        <sz val="11"/>
        <color theme="1"/>
        <rFont val="ＭＳ Ｐゴシック"/>
        <family val="3"/>
        <charset val="134"/>
        <scheme val="minor"/>
      </rPr>
      <t>赐丽</t>
    </r>
    <r>
      <rPr>
        <sz val="11"/>
        <color theme="1"/>
        <rFont val="ＭＳ Ｐゴシック"/>
        <family val="3"/>
        <charset val="128"/>
        <scheme val="minor"/>
      </rPr>
      <t>元</t>
    </r>
  </si>
  <si>
    <r>
      <t>南京</t>
    </r>
    <r>
      <rPr>
        <sz val="11"/>
        <color theme="1"/>
        <rFont val="ＭＳ Ｐゴシック"/>
        <family val="3"/>
        <charset val="134"/>
        <scheme val="minor"/>
      </rPr>
      <t>协</t>
    </r>
    <r>
      <rPr>
        <sz val="11"/>
        <color theme="1"/>
        <rFont val="ＭＳ Ｐゴシック"/>
        <family val="3"/>
        <charset val="128"/>
        <scheme val="minor"/>
      </rPr>
      <t>和化学有限公司</t>
    </r>
  </si>
  <si>
    <r>
      <t xml:space="preserve">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黄酒; 威士忌; 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</si>
  <si>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t>故庭春</t>
  </si>
  <si>
    <r>
      <t>谢</t>
    </r>
    <r>
      <rPr>
        <sz val="11"/>
        <color theme="1"/>
        <rFont val="ＭＳ Ｐゴシック"/>
        <family val="3"/>
        <charset val="128"/>
        <scheme val="minor"/>
      </rPr>
      <t>超友</t>
    </r>
  </si>
  <si>
    <r>
      <t xml:space="preserve">黄酒; 利口酒; 威士忌;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</si>
  <si>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京活</t>
  </si>
  <si>
    <r>
      <t>南京中</t>
    </r>
    <r>
      <rPr>
        <sz val="11"/>
        <color theme="1"/>
        <rFont val="ＭＳ Ｐゴシック"/>
        <family val="3"/>
        <charset val="134"/>
        <scheme val="minor"/>
      </rPr>
      <t>赐</t>
    </r>
    <r>
      <rPr>
        <sz val="11"/>
        <color theme="1"/>
        <rFont val="ＭＳ Ｐゴシック"/>
        <family val="3"/>
        <charset val="128"/>
        <scheme val="minor"/>
      </rPr>
      <t>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研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</si>
  <si>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甜酒;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烈性干酒; 食用酒精; 米酒; 高粱酒; 黄酒; 白干酒（中国白酒）</t>
    </r>
  </si>
  <si>
    <t>匠中匠匠人</t>
  </si>
  <si>
    <r>
      <t>蒸煮提取物（利口酒和烈酒）;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</si>
  <si>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君</t>
    </r>
    <r>
      <rPr>
        <sz val="11"/>
        <color theme="1"/>
        <rFont val="ＭＳ Ｐゴシック"/>
        <family val="3"/>
        <charset val="134"/>
        <scheme val="minor"/>
      </rPr>
      <t>镜</t>
    </r>
    <r>
      <rPr>
        <sz val="11"/>
        <color theme="1"/>
        <rFont val="ＭＳ Ｐゴシック"/>
        <family val="3"/>
        <charset val="128"/>
        <scheme val="minor"/>
      </rPr>
      <t>酌友</t>
    </r>
  </si>
  <si>
    <t>张晓转</t>
  </si>
  <si>
    <r>
      <t>葡萄酒; 清酒（日本米酒）; 米酒;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汽酒;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</si>
  <si>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泰山生物科技（山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</si>
  <si>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含酒精的气泡水; 米酒; 葡萄酒</t>
    </r>
  </si>
  <si>
    <r>
      <t>奇妙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迪生</t>
    </r>
  </si>
  <si>
    <t>北京奇妙汪汪科技有限公司</t>
  </si>
  <si>
    <r>
      <t xml:space="preserve">苹果酒; 威士忌; 葡萄酒;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白酒; 薄荷酒</t>
    </r>
  </si>
  <si>
    <r>
      <t>寻</t>
    </r>
    <r>
      <rPr>
        <sz val="11"/>
        <color theme="1"/>
        <rFont val="ＭＳ Ｐゴシック"/>
        <family val="3"/>
        <charset val="128"/>
        <scheme val="minor"/>
      </rPr>
      <t>味角落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</si>
  <si>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烈酒; 白酒; 米酒; 清酒（日本米酒）</t>
    </r>
  </si>
  <si>
    <r>
      <t>渠</t>
    </r>
    <r>
      <rPr>
        <sz val="11"/>
        <color theme="1"/>
        <rFont val="ＭＳ Ｐゴシック"/>
        <family val="3"/>
        <charset val="134"/>
        <scheme val="minor"/>
      </rPr>
      <t>润</t>
    </r>
  </si>
  <si>
    <r>
      <t>范青</t>
    </r>
    <r>
      <rPr>
        <sz val="11"/>
        <color theme="1"/>
        <rFont val="ＭＳ Ｐゴシック"/>
        <family val="3"/>
        <charset val="134"/>
        <scheme val="minor"/>
      </rPr>
      <t>钢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</si>
  <si>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米酒;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白干酒（中国白酒）;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</si>
  <si>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苍</t>
    </r>
    <r>
      <rPr>
        <sz val="11"/>
        <color theme="1"/>
        <rFont val="ＭＳ Ｐゴシック"/>
        <family val="3"/>
        <charset val="128"/>
        <scheme val="minor"/>
      </rPr>
      <t>古液</t>
    </r>
  </si>
  <si>
    <r>
      <t>郭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利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</si>
  <si>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</si>
  <si>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黔港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</si>
  <si>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州黔港酒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</si>
  <si>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米酒; 白酒; 威士忌; 开胃酒;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</si>
  <si>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石首市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味居餐</t>
    </r>
    <r>
      <rPr>
        <sz val="11"/>
        <color theme="1"/>
        <rFont val="ＭＳ Ｐゴシック"/>
        <family val="3"/>
        <charset val="134"/>
        <scheme val="minor"/>
      </rPr>
      <t>馆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</si>
  <si>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食用酒精;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</si>
  <si>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大盛谷泉酒</t>
  </si>
  <si>
    <r>
      <t>张</t>
    </r>
    <r>
      <rPr>
        <sz val="11"/>
        <color theme="1"/>
        <rFont val="ＭＳ Ｐゴシック"/>
        <family val="3"/>
        <charset val="128"/>
        <scheme val="minor"/>
      </rPr>
      <t>清菁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</si>
  <si>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利口酒;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青稞酒; 黄酒; 食用酒精; 白干酒（中国白酒）</t>
    </r>
  </si>
  <si>
    <r>
      <t>时</t>
    </r>
    <r>
      <rPr>
        <sz val="11"/>
        <color theme="1"/>
        <rFont val="ＭＳ Ｐゴシック"/>
        <family val="3"/>
        <charset val="128"/>
        <scheme val="minor"/>
      </rPr>
      <t>光世佳</t>
    </r>
  </si>
  <si>
    <t>石方婷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</si>
  <si>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白酒; 烈酒; 开胃酒; 威士忌;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</si>
  <si>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青羊</t>
    </r>
    <r>
      <rPr>
        <sz val="11"/>
        <color theme="1"/>
        <rFont val="ＭＳ Ｐゴシック"/>
        <family val="3"/>
        <charset val="134"/>
        <scheme val="minor"/>
      </rPr>
      <t>宫</t>
    </r>
  </si>
  <si>
    <r>
      <t>成都市青羊</t>
    </r>
    <r>
      <rPr>
        <sz val="11"/>
        <color theme="1"/>
        <rFont val="ＭＳ Ｐゴシック"/>
        <family val="3"/>
        <charset val="134"/>
        <scheme val="minor"/>
      </rPr>
      <t>宫</t>
    </r>
    <r>
      <rPr>
        <sz val="11"/>
        <color theme="1"/>
        <rFont val="ＭＳ Ｐゴシック"/>
        <family val="3"/>
        <charset val="128"/>
        <scheme val="minor"/>
      </rPr>
      <t>道</t>
    </r>
    <r>
      <rPr>
        <sz val="11"/>
        <color theme="1"/>
        <rFont val="ＭＳ Ｐゴシック"/>
        <family val="3"/>
        <charset val="134"/>
        <scheme val="minor"/>
      </rPr>
      <t>观</t>
    </r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</si>
  <si>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米酒; 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葡萄酒; 蜂蜜酒</t>
    </r>
  </si>
  <si>
    <t>唐大嘴</t>
  </si>
  <si>
    <r>
      <t>上海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禾超市有限公司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</si>
  <si>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葡萄酒; 米酒;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</si>
  <si>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榕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木木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</si>
  <si>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州夏日炎炎餐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</si>
  <si>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果酒（含酒精）</t>
    </r>
  </si>
  <si>
    <r>
      <t>松</t>
    </r>
    <r>
      <rPr>
        <sz val="11"/>
        <color theme="1"/>
        <rFont val="ＭＳ Ｐゴシック"/>
        <family val="3"/>
        <charset val="134"/>
        <scheme val="minor"/>
      </rPr>
      <t>鹤</t>
    </r>
    <r>
      <rPr>
        <sz val="11"/>
        <color theme="1"/>
        <rFont val="ＭＳ Ｐゴシック"/>
        <family val="3"/>
        <charset val="128"/>
        <scheme val="minor"/>
      </rPr>
      <t>有方</t>
    </r>
  </si>
  <si>
    <r>
      <t>刘玉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</si>
  <si>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白酒; 青稞酒; 米酒;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白干酒（中国白酒）;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</si>
  <si>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再</t>
    </r>
    <r>
      <rPr>
        <sz val="11"/>
        <color theme="1"/>
        <rFont val="ＭＳ Ｐゴシック"/>
        <family val="3"/>
        <charset val="134"/>
        <scheme val="minor"/>
      </rPr>
      <t>闻</t>
    </r>
    <r>
      <rPr>
        <sz val="11"/>
        <color theme="1"/>
        <rFont val="ＭＳ Ｐゴシック"/>
        <family val="3"/>
        <charset val="128"/>
        <scheme val="minor"/>
      </rPr>
      <t>名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</si>
  <si>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鑫鑫******************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</si>
  <si>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甜酒; 烈酒; 高粱酒; 梅酒;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</si>
  <si>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匠中匠金匠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</si>
  <si>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蒸煮提取物（利口酒和烈酒）;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食用酒精; 米酒</t>
    </r>
  </si>
  <si>
    <t>苗功夫</t>
  </si>
  <si>
    <r>
      <t>董</t>
    </r>
    <r>
      <rPr>
        <sz val="11"/>
        <color theme="1"/>
        <rFont val="ＭＳ Ｐゴシック"/>
        <family val="3"/>
        <charset val="134"/>
        <scheme val="minor"/>
      </rPr>
      <t>飞飞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</si>
  <si>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青稞酒;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</si>
  <si>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焉渠香</t>
  </si>
  <si>
    <r>
      <t>高粱酒;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</si>
  <si>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德征</t>
  </si>
  <si>
    <t>李琛</t>
  </si>
  <si>
    <r>
      <t xml:space="preserve">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蜂蜜酒;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</si>
  <si>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t>中昂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</si>
  <si>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州黔</t>
    </r>
    <r>
      <rPr>
        <sz val="11"/>
        <color theme="1"/>
        <rFont val="ＭＳ Ｐゴシック"/>
        <family val="3"/>
        <charset val="134"/>
        <scheme val="minor"/>
      </rPr>
      <t>问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股份公司</t>
    </r>
  </si>
  <si>
    <r>
      <t xml:space="preserve">梅酒;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黄酒; 清酒; 青稞酒; 食用酒精; 葡萄酒; 白酒</t>
    </r>
  </si>
  <si>
    <t>湘尚咏春</t>
  </si>
  <si>
    <r>
      <t>湖南湘尚酒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</si>
  <si>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开胃酒; 青稞酒;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蜂蜜酒;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</si>
  <si>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迎</t>
    </r>
  </si>
  <si>
    <r>
      <t>四川省上雄商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</si>
  <si>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</t>
    </r>
  </si>
  <si>
    <t>CONCUBINE YING</t>
  </si>
  <si>
    <r>
      <t>汽酒; 白酒; 朗姆酒; 杜松子酒; 伏特加酒;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</si>
  <si>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疏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</si>
  <si>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永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</si>
  <si>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</si>
  <si>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胖大桶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</si>
  <si>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清酒; 伏特加酒; 黄酒; 葡萄酒; 白酒</t>
    </r>
  </si>
  <si>
    <r>
      <t>弓弓</t>
    </r>
    <r>
      <rPr>
        <sz val="11"/>
        <color theme="1"/>
        <rFont val="ＭＳ Ｐゴシック"/>
        <family val="3"/>
        <charset val="134"/>
        <scheme val="minor"/>
      </rPr>
      <t>虽</t>
    </r>
  </si>
  <si>
    <t>北海市清大青数字科技有限公司</t>
  </si>
  <si>
    <r>
      <t>果酒（含酒精）;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蒸煮提取物（利口酒和烈酒）;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杜松子酒;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</si>
  <si>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合季</t>
    </r>
    <r>
      <rPr>
        <sz val="11"/>
        <color theme="1"/>
        <rFont val="ＭＳ Ｐゴシック"/>
        <family val="3"/>
        <charset val="134"/>
        <scheme val="minor"/>
      </rPr>
      <t>壶</t>
    </r>
  </si>
  <si>
    <r>
      <t>合肥利康医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</si>
  <si>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</si>
  <si>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御品八珍坊</t>
  </si>
  <si>
    <t>云南八珍坊食品有限公司</t>
  </si>
  <si>
    <r>
      <t xml:space="preserve">汽酒; 梅酒; 白酒;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果酒（含酒精）; 葡萄酒; 青稞酒</t>
    </r>
  </si>
  <si>
    <t>高楼丰味</t>
  </si>
  <si>
    <r>
      <t xml:space="preserve">黄酒; 薄荷酒;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烈酒; 果酒; 米酒; 蜂蜜酒</t>
    </r>
  </si>
  <si>
    <r>
      <t>顾</t>
    </r>
    <r>
      <rPr>
        <sz val="11"/>
        <color theme="1"/>
        <rFont val="ＭＳ Ｐゴシック"/>
        <family val="3"/>
        <charset val="128"/>
        <scheme val="minor"/>
      </rPr>
      <t>淏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</si>
  <si>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 xml:space="preserve">高粱酒; 利口酒; 白酒; 食用酒精;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蜂蜜酒; 果酒（含酒精）</t>
    </r>
  </si>
  <si>
    <r>
      <t>匠中匠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金</t>
    </r>
  </si>
  <si>
    <r>
      <t xml:space="preserve">米酒;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白干酒（中国白酒）; 烈酒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</si>
  <si>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运悦荣</t>
    </r>
  </si>
  <si>
    <r>
      <t>天津荣鑫企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</si>
  <si>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</si>
  <si>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r>
      <t>瑞</t>
    </r>
    <r>
      <rPr>
        <sz val="11"/>
        <color theme="1"/>
        <rFont val="ＭＳ Ｐゴシック"/>
        <family val="3"/>
        <charset val="134"/>
        <scheme val="minor"/>
      </rPr>
      <t>亿诚</t>
    </r>
  </si>
  <si>
    <r>
      <t>米酒;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开胃酒; 果酒（含酒精）;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</t>
    </r>
  </si>
  <si>
    <r>
      <t>牛</t>
    </r>
    <r>
      <rPr>
        <sz val="11"/>
        <color theme="1"/>
        <rFont val="ＭＳ Ｐゴシック"/>
        <family val="3"/>
        <charset val="134"/>
        <scheme val="minor"/>
      </rPr>
      <t>赋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</si>
  <si>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清酒（日本米酒）; 青稞酒;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</si>
  <si>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厚悔</t>
  </si>
  <si>
    <r>
      <t>尚乾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</si>
  <si>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</si>
  <si>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t>结欢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</si>
  <si>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州黔炳源酒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</si>
  <si>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食用酒精; 高粱酒; 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果酒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</si>
  <si>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庄定制品牌</t>
    </r>
  </si>
  <si>
    <r>
      <t>食用酒精;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甜果酒;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</si>
  <si>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雨如霜</t>
  </si>
  <si>
    <r>
      <t>胡</t>
    </r>
    <r>
      <rPr>
        <sz val="11"/>
        <color theme="1"/>
        <rFont val="ＭＳ Ｐゴシック"/>
        <family val="3"/>
        <charset val="134"/>
        <scheme val="minor"/>
      </rPr>
      <t>颜</t>
    </r>
    <r>
      <rPr>
        <sz val="11"/>
        <color theme="1"/>
        <rFont val="ＭＳ Ｐゴシック"/>
        <family val="3"/>
        <charset val="128"/>
        <scheme val="minor"/>
      </rPr>
      <t>芳</t>
    </r>
  </si>
  <si>
    <r>
      <t>白酒; 葡萄酒; 果酒（含酒精）;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</si>
  <si>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真也天境不老泉</t>
  </si>
  <si>
    <r>
      <t>无</t>
    </r>
    <r>
      <rPr>
        <sz val="11"/>
        <color theme="1"/>
        <rFont val="ＭＳ Ｐゴシック"/>
        <family val="3"/>
        <charset val="134"/>
        <scheme val="minor"/>
      </rPr>
      <t>锡华</t>
    </r>
    <r>
      <rPr>
        <sz val="11"/>
        <color theme="1"/>
        <rFont val="ＭＳ Ｐゴシック"/>
        <family val="3"/>
        <charset val="128"/>
        <scheme val="minor"/>
      </rPr>
      <t>野房</t>
    </r>
    <r>
      <rPr>
        <sz val="11"/>
        <color theme="1"/>
        <rFont val="ＭＳ Ｐゴシック"/>
        <family val="3"/>
        <charset val="134"/>
        <scheme val="minor"/>
      </rPr>
      <t>车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</si>
  <si>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甜酒; 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</si>
  <si>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梁香伯</t>
  </si>
  <si>
    <r>
      <t>黄酒; 开胃酒;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</si>
  <si>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顺</t>
    </r>
    <r>
      <rPr>
        <sz val="11"/>
        <color theme="1"/>
        <rFont val="ＭＳ Ｐゴシック"/>
        <family val="3"/>
        <charset val="128"/>
        <scheme val="minor"/>
      </rPr>
      <t>天</t>
    </r>
    <r>
      <rPr>
        <sz val="11"/>
        <color theme="1"/>
        <rFont val="ＭＳ Ｐゴシック"/>
        <family val="3"/>
        <charset val="134"/>
        <scheme val="minor"/>
      </rPr>
      <t>鉴</t>
    </r>
  </si>
  <si>
    <r>
      <t>果酒（含酒精）; 威士忌; 米酒; 葡萄酒; 清酒（日本米酒）; 白酒;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</si>
  <si>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万醇侯</t>
  </si>
  <si>
    <t>王娜</t>
  </si>
  <si>
    <r>
      <t>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清酒（日本米酒）; 白酒; 蜂蜜酒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</si>
  <si>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酩君</t>
    </r>
  </si>
  <si>
    <t>夏天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</si>
  <si>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青稞酒;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蜂蜜酒; 威士忌</t>
    </r>
  </si>
  <si>
    <r>
      <t>内蒙古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通广易商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</si>
  <si>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</t>
    </r>
  </si>
  <si>
    <t>AOLANTI</t>
  </si>
  <si>
    <r>
      <t>澳</t>
    </r>
    <r>
      <rPr>
        <sz val="11"/>
        <color theme="1"/>
        <rFont val="ＭＳ Ｐゴシック"/>
        <family val="3"/>
        <charset val="134"/>
        <scheme val="minor"/>
      </rPr>
      <t>岚</t>
    </r>
    <r>
      <rPr>
        <sz val="11"/>
        <color theme="1"/>
        <rFont val="ＭＳ Ｐゴシック"/>
        <family val="3"/>
        <charset val="128"/>
        <scheme val="minor"/>
      </rPr>
      <t>蒂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易（台州）有限公司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</si>
  <si>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酸酒（低等葡萄酒）;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</si>
  <si>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一捷薅薅</t>
    </r>
    <r>
      <rPr>
        <sz val="11"/>
        <color theme="1"/>
        <rFont val="ＭＳ Ｐゴシック"/>
        <family val="3"/>
        <charset val="134"/>
        <scheme val="minor"/>
      </rPr>
      <t>购</t>
    </r>
  </si>
  <si>
    <r>
      <t>一捷一捷（重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）企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</si>
  <si>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青稞酒; 薄荷酒; 白酒; 威士忌;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</si>
  <si>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t>九州十八川</t>
  </si>
  <si>
    <r>
      <t>常州如是教育咨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</si>
  <si>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伏特加酒;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葡萄酒</t>
    </r>
  </si>
  <si>
    <t>南岭多花</t>
  </si>
  <si>
    <r>
      <t>郴州佳源中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材开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</si>
  <si>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高粱酒;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</si>
  <si>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南王山谷凌悦</t>
  </si>
  <si>
    <r>
      <t>君</t>
    </r>
    <r>
      <rPr>
        <sz val="11"/>
        <color theme="1"/>
        <rFont val="ＭＳ Ｐゴシック"/>
        <family val="3"/>
        <charset val="134"/>
        <scheme val="minor"/>
      </rPr>
      <t>顶</t>
    </r>
    <r>
      <rPr>
        <sz val="11"/>
        <color theme="1"/>
        <rFont val="ＭＳ Ｐゴシック"/>
        <family val="3"/>
        <charset val="128"/>
        <scheme val="minor"/>
      </rPr>
      <t>酒庄有限公司</t>
    </r>
  </si>
  <si>
    <r>
      <t>果酒（含酒精）;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</si>
  <si>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安康君</t>
  </si>
  <si>
    <t>亳州市安君生物科技有限公司</t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</si>
  <si>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黄酒; 食用酒精; 葡萄酒; 果酒（含酒精）</t>
    </r>
  </si>
  <si>
    <r>
      <t>银</t>
    </r>
    <r>
      <rPr>
        <sz val="11"/>
        <color theme="1"/>
        <rFont val="ＭＳ Ｐゴシック"/>
        <family val="3"/>
        <charset val="128"/>
        <scheme val="minor"/>
      </rPr>
      <t>香</t>
    </r>
    <r>
      <rPr>
        <sz val="11"/>
        <color theme="1"/>
        <rFont val="ＭＳ Ｐゴシック"/>
        <family val="3"/>
        <charset val="134"/>
        <scheme val="minor"/>
      </rPr>
      <t>贞</t>
    </r>
    <r>
      <rPr>
        <sz val="11"/>
        <color theme="1"/>
        <rFont val="ＭＳ Ｐゴシック"/>
        <family val="3"/>
        <charset val="128"/>
        <scheme val="minor"/>
      </rPr>
      <t>宝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</si>
  <si>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河湾茶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</si>
  <si>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葡萄酒; 烈酒;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</si>
  <si>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匠都酒脉玖</t>
  </si>
  <si>
    <r>
      <t>四川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</si>
  <si>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汽酒;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</si>
  <si>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万古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</si>
  <si>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烈酒; 米酒; 果酒（含酒精）; 汽酒; 威士忌</t>
    </r>
  </si>
  <si>
    <t>法格思</t>
  </si>
  <si>
    <t>胡宗超</t>
  </si>
  <si>
    <r>
      <t>清酒（日本米酒）; 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青稞酒;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</si>
  <si>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希得寿</t>
  </si>
  <si>
    <r>
      <t>叁</t>
    </r>
    <r>
      <rPr>
        <sz val="11"/>
        <color theme="1"/>
        <rFont val="ＭＳ Ｐゴシック"/>
        <family val="3"/>
        <charset val="128"/>
        <scheme val="minor"/>
      </rPr>
      <t>通瑜伽（杭州）有限公司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</si>
  <si>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高粱酒; 白酒; 果酒; 葡萄酒; 汽酒; 米酒</t>
    </r>
  </si>
  <si>
    <r>
      <t>候三</t>
    </r>
    <r>
      <rPr>
        <sz val="11"/>
        <color theme="1"/>
        <rFont val="ＭＳ Ｐゴシック"/>
        <family val="3"/>
        <charset val="134"/>
        <scheme val="minor"/>
      </rPr>
      <t>爷</t>
    </r>
  </si>
  <si>
    <r>
      <t>紫瑞美塑（哈</t>
    </r>
    <r>
      <rPr>
        <sz val="11"/>
        <color theme="1"/>
        <rFont val="ＭＳ Ｐゴシック"/>
        <family val="3"/>
        <charset val="134"/>
        <scheme val="minor"/>
      </rPr>
      <t>尔滨</t>
    </r>
    <r>
      <rPr>
        <sz val="11"/>
        <color theme="1"/>
        <rFont val="ＭＳ Ｐゴシック"/>
        <family val="3"/>
        <charset val="128"/>
        <scheme val="minor"/>
      </rPr>
      <t>）生物科技有限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</si>
  <si>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</t>
    </r>
  </si>
  <si>
    <t>甘江侯</t>
  </si>
  <si>
    <r>
      <t xml:space="preserve">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青稞酒;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蜂蜜酒</t>
    </r>
  </si>
  <si>
    <r>
      <t>缤</t>
    </r>
    <r>
      <rPr>
        <sz val="11"/>
        <color theme="1"/>
        <rFont val="ＭＳ Ｐゴシック"/>
        <family val="3"/>
        <charset val="128"/>
        <scheme val="minor"/>
      </rPr>
      <t>果宝藏</t>
    </r>
  </si>
  <si>
    <r>
      <t>周</t>
    </r>
    <r>
      <rPr>
        <sz val="11"/>
        <color theme="1"/>
        <rFont val="ＭＳ Ｐゴシック"/>
        <family val="3"/>
        <charset val="134"/>
        <scheme val="minor"/>
      </rPr>
      <t>欢</t>
    </r>
  </si>
  <si>
    <t>威士忌; 米酒; 果酒; 苹果酒; 白酒; 薄荷酒; 汽酒; 清酒; 蜂蜜酒; 葡萄酒</t>
  </si>
  <si>
    <t>井福翁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</si>
  <si>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青稞酒; 开胃酒;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</si>
  <si>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守拙</t>
    </r>
  </si>
  <si>
    <t>廖玉山</t>
  </si>
  <si>
    <r>
      <t>高粱酒; 汽酒;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果酒; 食用酒精; 米酒</t>
    </r>
  </si>
  <si>
    <r>
      <t>味</t>
    </r>
    <r>
      <rPr>
        <sz val="11"/>
        <color theme="1"/>
        <rFont val="ＭＳ Ｐゴシック"/>
        <family val="3"/>
        <charset val="134"/>
        <scheme val="minor"/>
      </rPr>
      <t>润浓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</si>
  <si>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志川</t>
    </r>
  </si>
  <si>
    <r>
      <t>果酒（含酒精）;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薄荷酒; 米酒</t>
    </r>
  </si>
  <si>
    <t>邛花醉</t>
  </si>
  <si>
    <t>田永盛</t>
  </si>
  <si>
    <r>
      <t xml:space="preserve">甜酒; 果酒; 黄酒; 烈酒; 白酒; 米酒; 食用酒精;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</si>
  <si>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民</t>
    </r>
    <r>
      <rPr>
        <sz val="11"/>
        <color theme="1"/>
        <rFont val="ＭＳ Ｐゴシック"/>
        <family val="3"/>
        <charset val="134"/>
        <scheme val="minor"/>
      </rPr>
      <t>处</t>
    </r>
    <r>
      <rPr>
        <sz val="11"/>
        <color theme="1"/>
        <rFont val="ＭＳ Ｐゴシック"/>
        <family val="3"/>
        <charset val="128"/>
        <scheme val="minor"/>
      </rPr>
      <t>流香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</si>
  <si>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</t>
    </r>
    <r>
      <rPr>
        <sz val="11"/>
        <color theme="1"/>
        <rFont val="ＭＳ Ｐゴシック"/>
        <family val="3"/>
        <charset val="134"/>
        <scheme val="minor"/>
      </rPr>
      <t>毕节</t>
    </r>
    <r>
      <rPr>
        <sz val="11"/>
        <color theme="1"/>
        <rFont val="ＭＳ Ｐゴシック"/>
        <family val="3"/>
        <charset val="128"/>
        <scheme val="minor"/>
      </rPr>
      <t>市七星关</t>
    </r>
    <r>
      <rPr>
        <sz val="11"/>
        <color theme="1"/>
        <rFont val="ＭＳ Ｐゴシック"/>
        <family val="3"/>
        <charset val="134"/>
        <scheme val="minor"/>
      </rPr>
      <t>处</t>
    </r>
    <r>
      <rPr>
        <sz val="11"/>
        <color theme="1"/>
        <rFont val="ＭＳ Ｐゴシック"/>
        <family val="3"/>
        <charset val="128"/>
        <scheme val="minor"/>
      </rPr>
      <t>流香种养殖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民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</si>
  <si>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草莓酒;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</si>
  <si>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酩</t>
    </r>
    <r>
      <rPr>
        <sz val="11"/>
        <color theme="1"/>
        <rFont val="ＭＳ Ｐゴシック"/>
        <family val="3"/>
        <charset val="134"/>
        <scheme val="minor"/>
      </rPr>
      <t>谣</t>
    </r>
  </si>
  <si>
    <r>
      <t xml:space="preserve">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威士忌; 白酒;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青稞酒</t>
    </r>
  </si>
  <si>
    <r>
      <t>玉杯</t>
    </r>
    <r>
      <rPr>
        <sz val="11"/>
        <color theme="1"/>
        <rFont val="ＭＳ Ｐゴシック"/>
        <family val="3"/>
        <charset val="134"/>
        <scheme val="minor"/>
      </rPr>
      <t>浔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</si>
  <si>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黄酒; 威士忌;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</si>
  <si>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穗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</si>
  <si>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青稞酒; 白酒</t>
    </r>
  </si>
  <si>
    <r>
      <t>沃</t>
    </r>
    <r>
      <rPr>
        <sz val="11"/>
        <color theme="1"/>
        <rFont val="ＭＳ Ｐゴシック"/>
        <family val="3"/>
        <charset val="134"/>
        <scheme val="minor"/>
      </rPr>
      <t>员</t>
    </r>
    <r>
      <rPr>
        <sz val="11"/>
        <color theme="1"/>
        <rFont val="ＭＳ Ｐゴシック"/>
        <family val="3"/>
        <charset val="128"/>
        <scheme val="minor"/>
      </rPr>
      <t>外</t>
    </r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</si>
  <si>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开胃酒;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白酒; 清酒（日本米酒）</t>
    </r>
  </si>
  <si>
    <t>桂井翁</t>
  </si>
  <si>
    <r>
      <t>开胃酒;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黄酒; 清酒（日本米酒）</t>
    </r>
  </si>
  <si>
    <t>春芝翁</t>
  </si>
  <si>
    <r>
      <t xml:space="preserve">威士忌;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青稞酒;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</si>
  <si>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群峰拱岱</t>
  </si>
  <si>
    <r>
      <t>肥城市桃花情酒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</si>
  <si>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食用酒精;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葡萄酒; 清酒</t>
    </r>
  </si>
  <si>
    <r>
      <t>澳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森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</si>
  <si>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开胃酒; 蜂蜜酒; 威士忌;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</si>
  <si>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藏</t>
    </r>
    <r>
      <rPr>
        <sz val="11"/>
        <color theme="1"/>
        <rFont val="ＭＳ Ｐゴシック"/>
        <family val="3"/>
        <charset val="134"/>
        <scheme val="minor"/>
      </rPr>
      <t>晖</t>
    </r>
  </si>
  <si>
    <r>
      <t>黄酒;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汽酒; 葡萄酒; 食用酒精; 果酒</t>
    </r>
  </si>
  <si>
    <t>御花仕</t>
  </si>
  <si>
    <r>
      <t>蜂蜜酒;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</si>
  <si>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r>
      <t>酩</t>
    </r>
    <r>
      <rPr>
        <sz val="11"/>
        <color theme="1"/>
        <rFont val="ＭＳ Ｐゴシック"/>
        <family val="3"/>
        <charset val="134"/>
        <scheme val="minor"/>
      </rPr>
      <t>临门</t>
    </r>
  </si>
  <si>
    <r>
      <t>威士忌;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清酒（日本米酒）; 蜂蜜酒; 青稞酒</t>
    </r>
  </si>
  <si>
    <r>
      <t>岁</t>
    </r>
    <r>
      <rPr>
        <sz val="11"/>
        <color theme="1"/>
        <rFont val="ＭＳ Ｐゴシック"/>
        <family val="3"/>
        <charset val="128"/>
        <scheme val="minor"/>
      </rPr>
      <t>有福</t>
    </r>
  </si>
  <si>
    <r>
      <t>李青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</si>
  <si>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 xml:space="preserve">清酒（日本米酒）;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</si>
  <si>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凉妹阳克柳</t>
  </si>
  <si>
    <t>阳克柳******************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</si>
  <si>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白酒; 薄荷酒;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</si>
  <si>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凤锦顺</t>
  </si>
  <si>
    <r>
      <t>宋小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</si>
  <si>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蜂蜜酒; 白酒; 葡萄酒; 甜酒;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</si>
  <si>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元予故事</t>
  </si>
  <si>
    <r>
      <t>张</t>
    </r>
    <r>
      <rPr>
        <sz val="11"/>
        <color theme="1"/>
        <rFont val="ＭＳ Ｐゴシック"/>
        <family val="3"/>
        <charset val="128"/>
        <scheme val="minor"/>
      </rPr>
      <t>茜茜******************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</si>
  <si>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白酒; 食用酒精;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烈酒; 汽酒; 高粱酒</t>
    </r>
  </si>
  <si>
    <t>酩春序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</si>
  <si>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蜂蜜酒; 清酒（日本米酒）; 青稞酒; 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</si>
  <si>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CABBEEN LIFESTYLE</t>
  </si>
  <si>
    <r>
      <t>广州市紫曦企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</si>
  <si>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黄酒; 威士忌;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</si>
  <si>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庄文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品牌</t>
    </r>
  </si>
  <si>
    <r>
      <t xml:space="preserve">食用酒精;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甜果酒;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</si>
  <si>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红砖</t>
    </r>
    <r>
      <rPr>
        <sz val="11"/>
        <color theme="1"/>
        <rFont val="ＭＳ Ｐゴシック"/>
        <family val="3"/>
        <charset val="128"/>
        <scheme val="minor"/>
      </rPr>
      <t>厂</t>
    </r>
  </si>
  <si>
    <r>
      <t>樊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利</t>
    </r>
  </si>
  <si>
    <t>白酒; 果酒; 葡萄酒; 米酒; 草本型利口酒; 黄酒; 清酒; 威士忌; 甜酒; 汽酒</t>
  </si>
  <si>
    <t>CSUN</t>
  </si>
  <si>
    <t>高裕</t>
  </si>
  <si>
    <r>
      <t xml:space="preserve">米酒; 葡萄酒; 威士忌;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</si>
  <si>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世余派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</si>
  <si>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州古</t>
    </r>
    <r>
      <rPr>
        <sz val="11"/>
        <color theme="1"/>
        <rFont val="ＭＳ Ｐゴシック"/>
        <family val="3"/>
        <charset val="134"/>
        <scheme val="minor"/>
      </rPr>
      <t>传酿</t>
    </r>
    <r>
      <rPr>
        <sz val="11"/>
        <color theme="1"/>
        <rFont val="ＭＳ Ｐゴシック"/>
        <family val="3"/>
        <charset val="128"/>
        <scheme val="minor"/>
      </rPr>
      <t>酒（集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</si>
  <si>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威士忌</t>
    </r>
  </si>
  <si>
    <t>梦誉川</t>
  </si>
  <si>
    <r>
      <t xml:space="preserve">开胃酒;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黄酒;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</t>
    </r>
  </si>
  <si>
    <r>
      <t>梁玉</t>
    </r>
    <r>
      <rPr>
        <sz val="11"/>
        <color theme="1"/>
        <rFont val="ＭＳ Ｐゴシック"/>
        <family val="3"/>
        <charset val="129"/>
        <scheme val="minor"/>
      </rPr>
      <t>怀</t>
    </r>
  </si>
  <si>
    <r>
      <t>青稞酒;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蜂蜜酒; 威士忌</t>
    </r>
  </si>
  <si>
    <t>BSUN</t>
  </si>
  <si>
    <t>吴平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</si>
  <si>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利口酒; 威士忌;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伏特加酒; 果酒（含酒精）; 葡萄酒</t>
    </r>
  </si>
  <si>
    <r>
      <t>飞</t>
    </r>
    <r>
      <rPr>
        <sz val="11"/>
        <color theme="1"/>
        <rFont val="ＭＳ Ｐゴシック"/>
        <family val="3"/>
        <charset val="128"/>
        <scheme val="minor"/>
      </rPr>
      <t>仙唐窟</t>
    </r>
  </si>
  <si>
    <r>
      <t>胡</t>
    </r>
    <r>
      <rPr>
        <sz val="11"/>
        <color theme="1"/>
        <rFont val="ＭＳ Ｐゴシック"/>
        <family val="3"/>
        <charset val="134"/>
        <scheme val="minor"/>
      </rPr>
      <t>颖</t>
    </r>
    <r>
      <rPr>
        <sz val="11"/>
        <color theme="1"/>
        <rFont val="ＭＳ Ｐゴシック"/>
        <family val="3"/>
        <charset val="128"/>
        <scheme val="minor"/>
      </rPr>
      <t>超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</si>
  <si>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威士忌; 白酒; 果酒（含酒精）</t>
    </r>
  </si>
  <si>
    <t>甘大侠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</si>
  <si>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威士忌; 蜂蜜酒; 青稞酒</t>
    </r>
  </si>
  <si>
    <t>北粮志</t>
  </si>
  <si>
    <r>
      <t>清酒（日本米酒）; 威士忌;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</si>
  <si>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和</t>
    </r>
    <r>
      <rPr>
        <sz val="11"/>
        <color theme="1"/>
        <rFont val="ＭＳ Ｐゴシック"/>
        <family val="3"/>
        <charset val="134"/>
        <scheme val="minor"/>
      </rPr>
      <t>则顺</t>
    </r>
  </si>
  <si>
    <r>
      <t>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果酒（含酒精）; 葡萄酒; 白酒; 威士忌; 烈酒;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</si>
  <si>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甄悠然</t>
  </si>
  <si>
    <r>
      <t>职军</t>
    </r>
    <r>
      <rPr>
        <sz val="11"/>
        <color theme="1"/>
        <rFont val="ＭＳ Ｐゴシック"/>
        <family val="3"/>
        <charset val="128"/>
        <scheme val="minor"/>
      </rPr>
      <t>涛******************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</si>
  <si>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清酒（日本米酒）; 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</si>
  <si>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怡酒</t>
    </r>
    <r>
      <rPr>
        <sz val="11"/>
        <color theme="1"/>
        <rFont val="ＭＳ Ｐゴシック"/>
        <family val="3"/>
        <charset val="134"/>
        <scheme val="minor"/>
      </rPr>
      <t>荟</t>
    </r>
    <r>
      <rPr>
        <sz val="11"/>
        <color theme="1"/>
        <rFont val="ＭＳ Ｐゴシック"/>
        <family val="3"/>
        <charset val="128"/>
        <scheme val="minor"/>
      </rPr>
      <t>友</t>
    </r>
  </si>
  <si>
    <r>
      <t>北京孚睿</t>
    </r>
    <r>
      <rPr>
        <sz val="11"/>
        <color theme="1"/>
        <rFont val="ＭＳ Ｐゴシック"/>
        <family val="3"/>
        <charset val="134"/>
        <scheme val="minor"/>
      </rPr>
      <t>澜</t>
    </r>
    <r>
      <rPr>
        <sz val="11"/>
        <color theme="1"/>
        <rFont val="ＭＳ Ｐゴシック"/>
        <family val="3"/>
        <charset val="128"/>
        <scheme val="minor"/>
      </rPr>
      <t>鑫商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</si>
  <si>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开胃酒;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</si>
  <si>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r>
      <t>御</t>
    </r>
    <r>
      <rPr>
        <sz val="11"/>
        <color theme="1"/>
        <rFont val="ＭＳ Ｐゴシック"/>
        <family val="3"/>
        <charset val="134"/>
        <scheme val="minor"/>
      </rPr>
      <t>鉴</t>
    </r>
    <r>
      <rPr>
        <sz val="11"/>
        <color theme="1"/>
        <rFont val="ＭＳ Ｐゴシック"/>
        <family val="3"/>
        <charset val="128"/>
        <scheme val="minor"/>
      </rPr>
      <t>三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</si>
  <si>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>胡</t>
    </r>
    <r>
      <rPr>
        <sz val="11"/>
        <color theme="1"/>
        <rFont val="ＭＳ Ｐゴシック"/>
        <family val="3"/>
        <charset val="134"/>
        <scheme val="minor"/>
      </rPr>
      <t>钟</t>
    </r>
    <r>
      <rPr>
        <sz val="11"/>
        <color theme="1"/>
        <rFont val="ＭＳ Ｐゴシック"/>
        <family val="3"/>
        <charset val="128"/>
        <scheme val="minor"/>
      </rPr>
      <t>信</t>
    </r>
  </si>
  <si>
    <r>
      <t xml:space="preserve">蜂蜜酒; 甜酒; 葡萄酒; 米酒; 果酒; 烈酒; 黄酒; 汽酒;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</si>
  <si>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湖北荣庭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窗科技有限公司</t>
    </r>
  </si>
  <si>
    <t>酸酒（低等葡萄酒）; 果酒（含酒精）; 葡萄酒</t>
  </si>
  <si>
    <t>遵寅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</si>
  <si>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州久信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</si>
  <si>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黄酒; 白酒;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苦味酒;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</si>
  <si>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季山海</t>
  </si>
  <si>
    <r>
      <t>程二</t>
    </r>
    <r>
      <rPr>
        <sz val="11"/>
        <color theme="1"/>
        <rFont val="ＭＳ Ｐゴシック"/>
        <family val="3"/>
        <charset val="134"/>
        <scheme val="minor"/>
      </rPr>
      <t>垒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</si>
  <si>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餐后酒（利口酒和烈酒）; 葡萄酒</t>
    </r>
  </si>
  <si>
    <t>森林友机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</si>
  <si>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市寒地森林有机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科技研究院（有限合伙）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</si>
  <si>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葡萄酒; 伏特加酒;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</si>
  <si>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尖广大</t>
  </si>
  <si>
    <r>
      <t>吴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雄</t>
    </r>
  </si>
  <si>
    <r>
      <t xml:space="preserve">白酒; 食用酒精;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苹果酒; 葡萄酒</t>
    </r>
  </si>
  <si>
    <t>金福金禄金寿</t>
  </si>
  <si>
    <t>李丹萍</t>
  </si>
  <si>
    <r>
      <t>高粱酒;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米酒;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</si>
  <si>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酩公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</si>
  <si>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青稞酒; 威士忌;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</t>
    </r>
  </si>
  <si>
    <r>
      <t>应</t>
    </r>
    <r>
      <rPr>
        <sz val="11"/>
        <color theme="1"/>
        <rFont val="ＭＳ Ｐゴシック"/>
        <family val="3"/>
        <charset val="128"/>
        <scheme val="minor"/>
      </rPr>
      <t>山海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</si>
  <si>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白酒; 果酒（含酒精）; 餐后酒（利口酒和烈酒）;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</si>
  <si>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颜</t>
    </r>
    <r>
      <rPr>
        <sz val="11"/>
        <color theme="1"/>
        <rFont val="ＭＳ Ｐゴシック"/>
        <family val="3"/>
        <charset val="128"/>
        <scheme val="minor"/>
      </rPr>
      <t>之高</t>
    </r>
  </si>
  <si>
    <r>
      <t>广安安</t>
    </r>
    <r>
      <rPr>
        <sz val="11"/>
        <color theme="1"/>
        <rFont val="ＭＳ Ｐゴシック"/>
        <family val="3"/>
        <charset val="134"/>
        <scheme val="minor"/>
      </rPr>
      <t>农发</t>
    </r>
    <r>
      <rPr>
        <sz val="11"/>
        <color theme="1"/>
        <rFont val="ＭＳ Ｐゴシック"/>
        <family val="3"/>
        <charset val="128"/>
        <scheme val="minor"/>
      </rPr>
      <t>展集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</si>
  <si>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苦味酒;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</si>
  <si>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杏蔚</t>
  </si>
  <si>
    <t>张飞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</si>
  <si>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高粱酒;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白干酒（中国白酒）;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</t>
    </r>
  </si>
  <si>
    <t>彩凰</t>
  </si>
  <si>
    <r>
      <t>王文</t>
    </r>
    <r>
      <rPr>
        <sz val="11"/>
        <color theme="1"/>
        <rFont val="ＭＳ Ｐゴシック"/>
        <family val="3"/>
        <charset val="134"/>
        <scheme val="minor"/>
      </rPr>
      <t>晓</t>
    </r>
  </si>
  <si>
    <r>
      <t xml:space="preserve">葡萄酒; 白酒; 黄酒; 米酒; 高粱酒; 烈酒;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</si>
  <si>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御</t>
    </r>
    <r>
      <rPr>
        <sz val="11"/>
        <color theme="1"/>
        <rFont val="ＭＳ Ｐゴシック"/>
        <family val="3"/>
        <charset val="134"/>
        <scheme val="minor"/>
      </rPr>
      <t>琼</t>
    </r>
    <r>
      <rPr>
        <sz val="11"/>
        <color theme="1"/>
        <rFont val="ＭＳ Ｐゴシック"/>
        <family val="3"/>
        <charset val="128"/>
        <scheme val="minor"/>
      </rPr>
      <t>妙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</si>
  <si>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黄酒; 开胃酒;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蜂蜜酒</t>
    </r>
  </si>
  <si>
    <r>
      <t>溪暮</t>
    </r>
    <r>
      <rPr>
        <sz val="11"/>
        <color theme="1"/>
        <rFont val="ＭＳ Ｐゴシック"/>
        <family val="3"/>
        <charset val="134"/>
        <scheme val="minor"/>
      </rPr>
      <t>饮</t>
    </r>
  </si>
  <si>
    <t>姜尚兵</t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</si>
  <si>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</si>
  <si>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益</t>
    </r>
    <r>
      <rPr>
        <sz val="11"/>
        <color theme="1"/>
        <rFont val="ＭＳ Ｐゴシック"/>
        <family val="3"/>
        <charset val="129"/>
        <scheme val="minor"/>
      </rPr>
      <t>优</t>
    </r>
  </si>
  <si>
    <r>
      <t>南通比高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</si>
  <si>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清酒; 日式甜米酒; 果酒（含酒精）; 米酒; 白酒</t>
    </r>
  </si>
  <si>
    <t>春穗山</t>
  </si>
  <si>
    <r>
      <t>威士忌; 蜂蜜酒;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青稞酒; 清酒（日本米酒）</t>
    </r>
  </si>
  <si>
    <t>莱梦德 酒</t>
  </si>
  <si>
    <t>徐建明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</si>
  <si>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清酒（日本米酒）; 黄酒; 青梅酒; 果酒（含酒精）; 高粱酒</t>
    </r>
  </si>
  <si>
    <r>
      <t>杜安</t>
    </r>
    <r>
      <rPr>
        <sz val="11"/>
        <color theme="1"/>
        <rFont val="ＭＳ Ｐゴシック"/>
        <family val="3"/>
        <charset val="134"/>
        <scheme val="minor"/>
      </rPr>
      <t>银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</si>
  <si>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市杜安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</si>
  <si>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烈酒; 黄酒; 清酒;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</si>
  <si>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旅迹</t>
  </si>
  <si>
    <r>
      <t>读</t>
    </r>
    <r>
      <rPr>
        <sz val="11"/>
        <color theme="1"/>
        <rFont val="ＭＳ Ｐゴシック"/>
        <family val="3"/>
        <charset val="128"/>
        <scheme val="minor"/>
      </rPr>
      <t>者文化旅游有限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</si>
  <si>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葡萄酒; 果酒（含酒精）; 米酒</t>
    </r>
  </si>
  <si>
    <t>群响</t>
  </si>
  <si>
    <t>吴伯天</t>
  </si>
  <si>
    <r>
      <t>白酒; 米酒; 果酒（含酒精）; 葡萄酒;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</si>
  <si>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滇渠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</si>
  <si>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蜂蜜酒; 黄酒; 开胃酒; 清酒（日本米酒）;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</si>
  <si>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鼎福</t>
    </r>
  </si>
  <si>
    <r>
      <t xml:space="preserve">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青稞酒;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</si>
  <si>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r>
      <t>戎武金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</si>
  <si>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 xml:space="preserve">威士忌; 清酒; 烈酒;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高粱酒; 白酒;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</si>
  <si>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陈乡</t>
    </r>
    <r>
      <rPr>
        <sz val="11"/>
        <color theme="1"/>
        <rFont val="ＭＳ Ｐゴシック"/>
        <family val="3"/>
        <charset val="128"/>
        <scheme val="minor"/>
      </rPr>
      <t>策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</si>
  <si>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清酒（日本米酒）; 青稞酒; 蜂蜜酒;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威士忌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</si>
  <si>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椹</t>
    </r>
  </si>
  <si>
    <r>
      <t>南京当</t>
    </r>
    <r>
      <rPr>
        <sz val="11"/>
        <color theme="1"/>
        <rFont val="ＭＳ Ｐゴシック"/>
        <family val="3"/>
        <charset val="134"/>
        <scheme val="minor"/>
      </rPr>
      <t>垆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</si>
  <si>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果酒; 烈酒;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</t>
    </r>
  </si>
  <si>
    <r>
      <t>集</t>
    </r>
    <r>
      <rPr>
        <sz val="11"/>
        <color theme="1"/>
        <rFont val="ＭＳ Ｐゴシック"/>
        <family val="3"/>
        <charset val="134"/>
        <scheme val="minor"/>
      </rPr>
      <t>贤</t>
    </r>
    <r>
      <rPr>
        <sz val="11"/>
        <color theme="1"/>
        <rFont val="ＭＳ Ｐゴシック"/>
        <family val="3"/>
        <charset val="128"/>
        <scheme val="minor"/>
      </rPr>
      <t>老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</si>
  <si>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志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</si>
  <si>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葡萄酒;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食用酒精; 青稞酒</t>
    </r>
  </si>
  <si>
    <t>西景</t>
  </si>
  <si>
    <r>
      <t>查</t>
    </r>
    <r>
      <rPr>
        <sz val="11"/>
        <color theme="1"/>
        <rFont val="ＭＳ Ｐゴシック"/>
        <family val="3"/>
        <charset val="128"/>
        <scheme val="minor"/>
      </rPr>
      <t>富幸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</si>
  <si>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</si>
  <si>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庄主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品牌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</si>
  <si>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甜果酒; 食用酒精;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</si>
  <si>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帝关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</si>
  <si>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甜酒;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蜂蜜酒</t>
    </r>
  </si>
  <si>
    <r>
      <t>神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耕</t>
    </r>
    <r>
      <rPr>
        <sz val="11"/>
        <color theme="1"/>
        <rFont val="ＭＳ Ｐゴシック"/>
        <family val="3"/>
        <charset val="134"/>
        <scheme val="minor"/>
      </rPr>
      <t>读</t>
    </r>
    <r>
      <rPr>
        <sz val="11"/>
        <color theme="1"/>
        <rFont val="ＭＳ Ｐゴシック"/>
        <family val="3"/>
        <charset val="128"/>
        <scheme val="minor"/>
      </rPr>
      <t>堂</t>
    </r>
  </si>
  <si>
    <t>李双江</t>
  </si>
  <si>
    <r>
      <t>高粱酒; 果酒;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黄酒;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汽酒</t>
    </r>
  </si>
  <si>
    <t>町同学</t>
  </si>
  <si>
    <t>蔡景新</t>
  </si>
  <si>
    <r>
      <t>朗姆酒; 食用酒精; 果酒（含酒精）;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黄酒; 伏特加酒; 威士忌</t>
    </r>
  </si>
  <si>
    <r>
      <t xml:space="preserve">高粱酒; 果酒（含酒精）; 清酒（日本米酒）; 青梅酒;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食用酒精;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</si>
  <si>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宁拙</t>
  </si>
  <si>
    <r>
      <t>黄酒;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果酒;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汽酒; 白酒</t>
    </r>
  </si>
  <si>
    <r>
      <t>葡斯</t>
    </r>
    <r>
      <rPr>
        <sz val="11"/>
        <color theme="1"/>
        <rFont val="ＭＳ Ｐゴシック"/>
        <family val="3"/>
        <charset val="134"/>
        <scheme val="minor"/>
      </rPr>
      <t>伦</t>
    </r>
  </si>
  <si>
    <r>
      <t xml:space="preserve">清酒（日本米酒）; 威士忌; 蜂蜜酒; 白酒;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</si>
  <si>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贡缤纷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</si>
  <si>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黄酒; 蜂蜜酒;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清酒（日本米酒）</t>
    </r>
  </si>
  <si>
    <r>
      <t>劲</t>
    </r>
    <r>
      <rPr>
        <sz val="11"/>
        <color theme="1"/>
        <rFont val="ＭＳ Ｐゴシック"/>
        <family val="3"/>
        <charset val="128"/>
        <scheme val="minor"/>
      </rPr>
      <t>妍友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</si>
  <si>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宁波</t>
    </r>
    <r>
      <rPr>
        <sz val="11"/>
        <color theme="1"/>
        <rFont val="ＭＳ Ｐゴシック"/>
        <family val="3"/>
        <charset val="134"/>
        <scheme val="minor"/>
      </rPr>
      <t>劲</t>
    </r>
    <r>
      <rPr>
        <sz val="11"/>
        <color theme="1"/>
        <rFont val="ＭＳ Ｐゴシック"/>
        <family val="3"/>
        <charset val="128"/>
        <scheme val="minor"/>
      </rPr>
      <t>佳包装有限公司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</si>
  <si>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开胃酒;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</si>
  <si>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法格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</si>
  <si>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清酒（日本米酒）; 黄酒; 蜂蜜酒;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威士忌</t>
    </r>
  </si>
  <si>
    <t>ZUNDU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</si>
  <si>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食用酒精; 果酒（含酒精）</t>
    </r>
  </si>
  <si>
    <t>黔昌元</t>
  </si>
  <si>
    <t>胡磊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</si>
  <si>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黄酒; 清酒（日本米酒）; 蜂蜜酒; 白酒;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</si>
  <si>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花酩元</t>
  </si>
  <si>
    <t>唐定方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</si>
  <si>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蜂蜜酒; 白酒; 青稞酒; 威士忌; 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</si>
  <si>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斟叶春</t>
  </si>
  <si>
    <r>
      <t xml:space="preserve">清酒（日本米酒）; 威士忌; 蜂蜜酒;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</t>
    </r>
  </si>
  <si>
    <t>秦舅公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</si>
  <si>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开胃酒; 威士忌; 果酒;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</t>
    </r>
  </si>
  <si>
    <r>
      <t>穗花</t>
    </r>
    <r>
      <rPr>
        <sz val="11"/>
        <color theme="1"/>
        <rFont val="ＭＳ Ｐゴシック"/>
        <family val="3"/>
        <charset val="134"/>
        <scheme val="minor"/>
      </rPr>
      <t>涧</t>
    </r>
  </si>
  <si>
    <t>胡琪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</si>
  <si>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黄酒; 蜂蜜酒;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青稞酒; 清酒（日本米酒）</t>
    </r>
  </si>
  <si>
    <t>焰江南</t>
  </si>
  <si>
    <r>
      <t>张</t>
    </r>
    <r>
      <rPr>
        <sz val="11"/>
        <color theme="1"/>
        <rFont val="ＭＳ Ｐゴシック"/>
        <family val="3"/>
        <charset val="128"/>
        <scheme val="minor"/>
      </rPr>
      <t>雨</t>
    </r>
  </si>
  <si>
    <r>
      <t xml:space="preserve">葡萄酒;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烈酒; 梅酒; 果酒; 甜酒; 青稞酒</t>
    </r>
  </si>
  <si>
    <t>道茫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</si>
  <si>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</si>
  <si>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高粱酒; 蒸煮提取物（利口酒和烈酒）;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</si>
  <si>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沂名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</si>
  <si>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黄潘</t>
    </r>
    <r>
      <rPr>
        <sz val="11"/>
        <color theme="1"/>
        <rFont val="ＭＳ Ｐゴシック"/>
        <family val="3"/>
        <charset val="134"/>
        <scheme val="minor"/>
      </rPr>
      <t>桥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</si>
  <si>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清酒（日本米酒）; 开胃酒; 威士忌; 蜂蜜酒</t>
    </r>
  </si>
  <si>
    <t>德特</t>
  </si>
  <si>
    <r>
      <t>内蒙古音德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</si>
  <si>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</si>
  <si>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POLE OF COLD</t>
  </si>
  <si>
    <r>
      <t>内蒙古大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安岭林下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品有限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</si>
  <si>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苹果酒;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</si>
  <si>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THIRSTY PANDA</t>
  </si>
  <si>
    <r>
      <t>北京好</t>
    </r>
    <r>
      <rPr>
        <sz val="11"/>
        <color theme="1"/>
        <rFont val="ＭＳ Ｐゴシック"/>
        <family val="3"/>
        <charset val="134"/>
        <scheme val="minor"/>
      </rPr>
      <t>蕴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</si>
  <si>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</t>
    </r>
  </si>
  <si>
    <t>正道天下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</si>
  <si>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州最美高速商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</si>
  <si>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伏特加酒; 威士忌; 果酒（含酒精）; 葡萄酒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</si>
  <si>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东华颂</t>
    </r>
    <r>
      <rPr>
        <sz val="11"/>
        <color theme="1"/>
        <rFont val="ＭＳ Ｐゴシック"/>
        <family val="3"/>
        <charset val="128"/>
        <scheme val="minor"/>
      </rPr>
      <t>食品科技有限公司</t>
    </r>
  </si>
  <si>
    <r>
      <t>食用酒精; 甜酒; 高粱酒; 黄酒; 烈酒;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</t>
    </r>
  </si>
  <si>
    <r>
      <t>诺</t>
    </r>
    <r>
      <rPr>
        <sz val="11"/>
        <color theme="1"/>
        <rFont val="ＭＳ Ｐゴシック"/>
        <family val="3"/>
        <charset val="128"/>
        <scheme val="minor"/>
      </rPr>
      <t>菲拉格</t>
    </r>
  </si>
  <si>
    <r>
      <t>海南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鑫</t>
    </r>
    <r>
      <rPr>
        <sz val="11"/>
        <color theme="1"/>
        <rFont val="ＭＳ Ｐゴシック"/>
        <family val="3"/>
        <charset val="134"/>
        <scheme val="minor"/>
      </rPr>
      <t>铭贸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</si>
  <si>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果酒（含酒精）; 威士忌;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白葡萄酒</t>
    </r>
  </si>
  <si>
    <t>陈钢</t>
  </si>
  <si>
    <r>
      <t>威士忌;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甜酒;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果酒(含酒精)</t>
    </r>
  </si>
  <si>
    <t>红铸</t>
  </si>
  <si>
    <r>
      <t>宋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安</t>
    </r>
  </si>
  <si>
    <r>
      <t>米酒; 高粱酒;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威士忌</t>
    </r>
  </si>
  <si>
    <t>方台白</t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</si>
  <si>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江方台白酒有限公司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</si>
  <si>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酸酒（低等葡萄酒）; 葡萄酒; 苦味酒;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</si>
  <si>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朱舍里</t>
  </si>
  <si>
    <t>李玉春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</si>
  <si>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果酒（含酒精）; 黄酒;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</si>
  <si>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禧多</t>
    </r>
    <r>
      <rPr>
        <sz val="11"/>
        <color theme="1"/>
        <rFont val="ＭＳ Ｐゴシック"/>
        <family val="3"/>
        <charset val="134"/>
        <scheme val="minor"/>
      </rPr>
      <t>财</t>
    </r>
    <r>
      <rPr>
        <sz val="11"/>
        <color theme="1"/>
        <rFont val="ＭＳ Ｐゴシック"/>
        <family val="3"/>
        <charset val="128"/>
        <scheme val="minor"/>
      </rPr>
      <t>多</t>
    </r>
  </si>
  <si>
    <r>
      <t>河南特</t>
    </r>
    <r>
      <rPr>
        <sz val="11"/>
        <color theme="1"/>
        <rFont val="ＭＳ Ｐゴシック"/>
        <family val="3"/>
        <charset val="134"/>
        <scheme val="minor"/>
      </rPr>
      <t>奖</t>
    </r>
    <r>
      <rPr>
        <sz val="11"/>
        <color theme="1"/>
        <rFont val="ＭＳ Ｐゴシック"/>
        <family val="3"/>
        <charset val="128"/>
        <scheme val="minor"/>
      </rPr>
      <t>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</si>
  <si>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果酒; 白干酒（中国白酒）; 葡萄酒; 食用酒精; 白酒</t>
    </r>
  </si>
  <si>
    <t>今牛事佳</t>
  </si>
  <si>
    <r>
      <t>杭州慧嫂食品科技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</si>
  <si>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水果汽酒; 威士忌;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果酒（含酒精）</t>
    </r>
  </si>
  <si>
    <r>
      <t>萨</t>
    </r>
    <r>
      <rPr>
        <sz val="11"/>
        <color theme="1"/>
        <rFont val="ＭＳ Ｐゴシック"/>
        <family val="3"/>
        <charset val="128"/>
        <scheme val="minor"/>
      </rPr>
      <t>尼</t>
    </r>
    <r>
      <rPr>
        <sz val="11"/>
        <color theme="1"/>
        <rFont val="ＭＳ Ｐゴシック"/>
        <family val="3"/>
        <charset val="134"/>
        <scheme val="minor"/>
      </rPr>
      <t>红岛</t>
    </r>
  </si>
  <si>
    <r>
      <t>四川省合作社白酒集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</si>
  <si>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</si>
  <si>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今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有</t>
    </r>
  </si>
  <si>
    <r>
      <t>江西江粮国</t>
    </r>
    <r>
      <rPr>
        <sz val="11"/>
        <color theme="1"/>
        <rFont val="ＭＳ Ｐゴシック"/>
        <family val="3"/>
        <charset val="134"/>
        <scheme val="minor"/>
      </rPr>
      <t>际农业资</t>
    </r>
    <r>
      <rPr>
        <sz val="11"/>
        <color theme="1"/>
        <rFont val="ＭＳ Ｐゴシック"/>
        <family val="3"/>
        <charset val="128"/>
        <scheme val="minor"/>
      </rPr>
      <t>源开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</si>
  <si>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</si>
  <si>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小恩</t>
    </r>
    <r>
      <rPr>
        <sz val="11"/>
        <color theme="1"/>
        <rFont val="ＭＳ Ｐゴシック"/>
        <family val="3"/>
        <charset val="134"/>
        <scheme val="minor"/>
      </rPr>
      <t>齐</t>
    </r>
  </si>
  <si>
    <r>
      <t>四川恩</t>
    </r>
    <r>
      <rPr>
        <sz val="11"/>
        <color theme="1"/>
        <rFont val="ＭＳ Ｐゴシック"/>
        <family val="3"/>
        <charset val="134"/>
        <scheme val="minor"/>
      </rPr>
      <t>齐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厂（个人独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</si>
  <si>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</si>
  <si>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法尼森</t>
  </si>
  <si>
    <r>
      <t>刘</t>
    </r>
    <r>
      <rPr>
        <sz val="11"/>
        <color theme="1"/>
        <rFont val="ＭＳ Ｐゴシック"/>
        <family val="3"/>
        <charset val="134"/>
        <scheme val="minor"/>
      </rPr>
      <t>觐顺</t>
    </r>
  </si>
  <si>
    <r>
      <t xml:space="preserve">开胃酒;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青稞酒;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</si>
  <si>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市珍品酒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</si>
  <si>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 xml:space="preserve">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果酒; 葡萄酒</t>
    </r>
  </si>
  <si>
    <t>童英富世代</t>
  </si>
  <si>
    <r>
      <t>三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富斯科商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</si>
  <si>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苹果酒; 葡萄酒; 白酒; 果酒（含酒精）; 开胃酒; 清酒; 烈酒; 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</si>
  <si>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旻坊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</si>
  <si>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诨</t>
    </r>
    <r>
      <rPr>
        <sz val="11"/>
        <color theme="1"/>
        <rFont val="ＭＳ Ｐゴシック"/>
        <family val="3"/>
        <charset val="128"/>
        <scheme val="minor"/>
      </rPr>
      <t>匠酒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</si>
  <si>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高粱酒;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青稞酒; 果酒（含酒精）</t>
    </r>
  </si>
  <si>
    <t>大地精穗</t>
  </si>
  <si>
    <r>
      <t>杭州千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湖啤酒有限公司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</si>
  <si>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含酒精的气泡水; 米酒; 开胃酒</t>
    </r>
  </si>
  <si>
    <t>湖畔琉璃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</si>
  <si>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含酒精的气泡水; 白酒</t>
    </r>
  </si>
  <si>
    <t>酩今逍</t>
  </si>
  <si>
    <r>
      <t>郑</t>
    </r>
    <r>
      <rPr>
        <sz val="11"/>
        <color theme="1"/>
        <rFont val="ＭＳ Ｐゴシック"/>
        <family val="3"/>
        <charset val="128"/>
        <scheme val="minor"/>
      </rPr>
      <t>彪</t>
    </r>
  </si>
  <si>
    <r>
      <t xml:space="preserve">威士忌; 开胃酒;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</si>
  <si>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乌</t>
    </r>
    <r>
      <rPr>
        <sz val="11"/>
        <color theme="1"/>
        <rFont val="ＭＳ Ｐゴシック"/>
        <family val="3"/>
        <charset val="128"/>
        <scheme val="minor"/>
      </rPr>
      <t>石港</t>
    </r>
  </si>
  <si>
    <t>湛江市麦海峰健康科技有限公司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</si>
  <si>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蒸煮提取物（利口酒和烈酒）;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甜果酒; 果酒（含酒精）; 米酒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</si>
  <si>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秉忠状元春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</si>
  <si>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文利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</si>
  <si>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米酒</t>
    </r>
  </si>
  <si>
    <r>
      <t>遥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的莓</t>
    </r>
    <r>
      <rPr>
        <sz val="11"/>
        <color theme="1"/>
        <rFont val="ＭＳ Ｐゴシック"/>
        <family val="3"/>
        <charset val="134"/>
        <scheme val="minor"/>
      </rPr>
      <t>乡</t>
    </r>
  </si>
  <si>
    <t>广州市瑞佛莱生命科技有限公司</t>
  </si>
  <si>
    <t>梅酒; 草莓酒; 葡萄酒; 白酒; 黄酒; 开胃酒; 威士忌; 果酒; 蜂蜜酒; 米酒</t>
  </si>
  <si>
    <t>众禾君叙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</si>
  <si>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州众禾君叙酒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</si>
  <si>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烈性干酒; 高粱酒;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</t>
    </r>
  </si>
  <si>
    <t>杲杲元气</t>
  </si>
  <si>
    <t>碳元素（成都）科技有限公司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</si>
  <si>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青稞酒; 伏特加酒;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蜂蜜酒</t>
    </r>
  </si>
  <si>
    <t>她昼</t>
  </si>
  <si>
    <t>王冰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</si>
  <si>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黄酒; 白酒; 果酒（含酒精）; 甜酒; 清酒（日本米酒）</t>
    </r>
  </si>
  <si>
    <r>
      <t>黎</t>
    </r>
    <r>
      <rPr>
        <sz val="11"/>
        <color theme="1"/>
        <rFont val="ＭＳ Ｐゴシック"/>
        <family val="3"/>
        <charset val="134"/>
        <scheme val="minor"/>
      </rPr>
      <t>爷爷</t>
    </r>
  </si>
  <si>
    <t>符海花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</si>
  <si>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日式甜米酒;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白酒</t>
    </r>
  </si>
  <si>
    <t>遵仁台尚品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</si>
  <si>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州遵仁台酒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</si>
  <si>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薄荷酒; 米酒</t>
    </r>
  </si>
  <si>
    <t>VIEWLANCER</t>
  </si>
  <si>
    <r>
      <t>览</t>
    </r>
    <r>
      <rPr>
        <sz val="11"/>
        <color theme="1"/>
        <rFont val="ＭＳ Ｐゴシック"/>
        <family val="3"/>
        <charset val="128"/>
        <scheme val="minor"/>
      </rPr>
      <t>者（北京）商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</si>
  <si>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果酒;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</si>
  <si>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魄</t>
    </r>
  </si>
  <si>
    <r>
      <t>高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娜</t>
    </r>
  </si>
  <si>
    <r>
      <t>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白干酒（中国白酒）; 高粱酒;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</si>
  <si>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昭田秋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</si>
  <si>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昭通土森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</si>
  <si>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威士忌; 葡萄酒; 白酒</t>
    </r>
  </si>
  <si>
    <r>
      <t>铁</t>
    </r>
    <r>
      <rPr>
        <sz val="11"/>
        <color theme="1"/>
        <rFont val="ＭＳ Ｐゴシック"/>
        <family val="3"/>
        <charset val="128"/>
        <scheme val="minor"/>
      </rPr>
      <t>九花</t>
    </r>
  </si>
  <si>
    <t>潘文件</t>
  </si>
  <si>
    <r>
      <t xml:space="preserve">果酒（含酒精）; 白酒; 食用酒精; 露酒; 白干酒（中国白酒）;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</si>
  <si>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沂酩志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</si>
  <si>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威士忌; 青稞酒;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</si>
  <si>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英国MK国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</si>
  <si>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清酒（日本米酒）; 米酒; 甜酒;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</si>
  <si>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匠九花</t>
  </si>
  <si>
    <r>
      <t xml:space="preserve">葡萄酒;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食用酒精; 露酒; 高粱酒</t>
    </r>
  </si>
  <si>
    <r>
      <t>澳</t>
    </r>
    <r>
      <rPr>
        <sz val="11"/>
        <color theme="1"/>
        <rFont val="ＭＳ Ｐゴシック"/>
        <family val="3"/>
        <charset val="134"/>
        <scheme val="minor"/>
      </rPr>
      <t>仑</t>
    </r>
    <r>
      <rPr>
        <sz val="11"/>
        <color theme="1"/>
        <rFont val="ＭＳ Ｐゴシック"/>
        <family val="3"/>
        <charset val="128"/>
        <scheme val="minor"/>
      </rPr>
      <t>森</t>
    </r>
  </si>
  <si>
    <r>
      <t>清酒（日本米酒）; 蜂蜜酒; 白酒; 开胃酒; 威士忌;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</si>
  <si>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可莞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</si>
  <si>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甜酒; 白酒;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利口酒</t>
    </r>
  </si>
  <si>
    <t>酣小生</t>
  </si>
  <si>
    <r>
      <t>龚</t>
    </r>
    <r>
      <rPr>
        <sz val="11"/>
        <color theme="1"/>
        <rFont val="ＭＳ Ｐゴシック"/>
        <family val="3"/>
        <charset val="128"/>
        <scheme val="minor"/>
      </rPr>
      <t>德明</t>
    </r>
  </si>
  <si>
    <r>
      <t>清酒（日本米酒）;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蜂蜜酒; 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</si>
  <si>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荡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</si>
  <si>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白酒; 开胃酒;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威士忌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</si>
  <si>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盛泰</t>
    </r>
  </si>
  <si>
    <r>
      <t>郭和</t>
    </r>
    <r>
      <rPr>
        <sz val="11"/>
        <color theme="1"/>
        <rFont val="ＭＳ Ｐゴシック"/>
        <family val="3"/>
        <charset val="134"/>
        <scheme val="minor"/>
      </rPr>
      <t>苍</t>
    </r>
  </si>
  <si>
    <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</si>
  <si>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</si>
  <si>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>陆</t>
    </r>
    <r>
      <rPr>
        <sz val="11"/>
        <color theme="1"/>
        <rFont val="ＭＳ Ｐゴシック"/>
        <family val="3"/>
        <charset val="128"/>
        <scheme val="minor"/>
      </rPr>
      <t>宝</t>
    </r>
  </si>
  <si>
    <r>
      <t>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葡萄酒; 白酒; 梨酒;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</si>
  <si>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秉忠状元酒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</si>
  <si>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</si>
  <si>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大恩</t>
    </r>
    <r>
      <rPr>
        <sz val="11"/>
        <color theme="1"/>
        <rFont val="ＭＳ Ｐゴシック"/>
        <family val="3"/>
        <charset val="134"/>
        <scheme val="minor"/>
      </rPr>
      <t>齐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</si>
  <si>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</si>
  <si>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谷祥曲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</si>
  <si>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蒸煮提取物（利口酒和烈酒）;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</si>
  <si>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酌公子</t>
  </si>
  <si>
    <r>
      <t>青稞酒; 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清酒（日本米酒）;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</si>
  <si>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凡</t>
    </r>
    <r>
      <rPr>
        <sz val="11"/>
        <color theme="1"/>
        <rFont val="ＭＳ Ｐゴシック"/>
        <family val="3"/>
        <charset val="134"/>
        <scheme val="minor"/>
      </rPr>
      <t>飘</t>
    </r>
  </si>
  <si>
    <r>
      <t>刘天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</si>
  <si>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黄酒; 高粱酒; 果酒; 甜酒; 白酒; 烈酒; 梅酒</t>
    </r>
  </si>
  <si>
    <t>采三色</t>
  </si>
  <si>
    <r>
      <t>银</t>
    </r>
    <r>
      <rPr>
        <sz val="11"/>
        <color theme="1"/>
        <rFont val="ＭＳ Ｐゴシック"/>
        <family val="3"/>
        <charset val="128"/>
        <scheme val="minor"/>
      </rPr>
      <t>川采三色有机食品有限公司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</si>
  <si>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果酒; 葡萄酒; 清酒;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</si>
  <si>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九酩令</t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</si>
  <si>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开胃酒; 清酒（日本米酒）; 蜂蜜酒;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</si>
  <si>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禧多福多</t>
  </si>
  <si>
    <r>
      <t>烈酒; 黄酒; 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白酒; 白干酒（中国白酒）; 食用酒精</t>
    </r>
  </si>
  <si>
    <t>星夜巷</t>
  </si>
  <si>
    <r>
      <t>孟祥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</si>
  <si>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青稞酒;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清酒; 杜松子酒; 葡萄酒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</si>
  <si>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钻</t>
    </r>
    <r>
      <rPr>
        <sz val="11"/>
        <color theme="1"/>
        <rFont val="ＭＳ Ｐゴシック"/>
        <family val="3"/>
        <charset val="128"/>
        <scheme val="minor"/>
      </rPr>
      <t>政</t>
    </r>
  </si>
  <si>
    <t>游光康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</si>
  <si>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果酒（含酒精）;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朗姆酒;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</si>
  <si>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银</t>
    </r>
    <r>
      <rPr>
        <sz val="11"/>
        <color theme="1"/>
        <rFont val="ＭＳ Ｐゴシック"/>
        <family val="3"/>
        <charset val="128"/>
        <scheme val="minor"/>
      </rPr>
      <t>九花</t>
    </r>
  </si>
  <si>
    <r>
      <t>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白干酒（中国白酒）; 高粱酒;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食用酒精; 果酒（含酒精）</t>
    </r>
  </si>
  <si>
    <t>酩清梦</t>
  </si>
  <si>
    <t>周阿梅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</si>
  <si>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威士忌; 青稞酒; 清酒（日本米酒）; 白酒; 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</t>
    </r>
  </si>
  <si>
    <r>
      <t>韵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年</t>
    </r>
  </si>
  <si>
    <r>
      <t>程</t>
    </r>
    <r>
      <rPr>
        <sz val="11"/>
        <color theme="1"/>
        <rFont val="ＭＳ Ｐゴシック"/>
        <family val="3"/>
        <charset val="134"/>
        <scheme val="minor"/>
      </rPr>
      <t>银风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</si>
  <si>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</si>
  <si>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t>正聚德</t>
  </si>
  <si>
    <r>
      <t>清徐晋汾商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</si>
  <si>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食用酒精; 果酒（含酒精）; 青稞酒; 黄酒; 米酒</t>
    </r>
  </si>
  <si>
    <t>盈小九</t>
  </si>
  <si>
    <r>
      <t>盈福七健康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（云南）有限公司</t>
    </r>
  </si>
  <si>
    <r>
      <t>白酒; 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</si>
  <si>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新</t>
    </r>
    <r>
      <rPr>
        <sz val="11"/>
        <color theme="1"/>
        <rFont val="ＭＳ Ｐゴシック"/>
        <family val="3"/>
        <charset val="134"/>
        <scheme val="minor"/>
      </rPr>
      <t>觉罗</t>
    </r>
    <r>
      <rPr>
        <sz val="11"/>
        <color theme="1"/>
        <rFont val="ＭＳ Ｐゴシック"/>
        <family val="3"/>
        <charset val="128"/>
        <scheme val="minor"/>
      </rPr>
      <t>黄婷婷</t>
    </r>
  </si>
  <si>
    <t>黄婷婷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</si>
  <si>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甘蔗制烈酒</t>
    </r>
  </si>
  <si>
    <r>
      <t>为汉</t>
    </r>
    <r>
      <rPr>
        <sz val="11"/>
        <color theme="1"/>
        <rFont val="ＭＳ Ｐゴシック"/>
        <family val="3"/>
        <charset val="128"/>
        <scheme val="minor"/>
      </rPr>
      <t>盛</t>
    </r>
  </si>
  <si>
    <r>
      <t xml:space="preserve">米酒;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高粱酒; 黄酒</t>
    </r>
  </si>
  <si>
    <r>
      <t>宠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爱</t>
    </r>
  </si>
  <si>
    <t>姜涛</t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</si>
  <si>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朗姆酒; 白酒; 果酒（含酒精）; 葡萄酒; 威士忌; 伏特加酒; 青稞酒</t>
    </r>
  </si>
  <si>
    <t>越州雪</t>
  </si>
  <si>
    <r>
      <t>绍兴岁</t>
    </r>
    <r>
      <rPr>
        <sz val="11"/>
        <color theme="1"/>
        <rFont val="ＭＳ Ｐゴシック"/>
        <family val="3"/>
        <charset val="128"/>
        <scheme val="minor"/>
      </rPr>
      <t>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</si>
  <si>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清酒（日本米酒）; 白酒; 米酒; 果酒（含酒精）; 黄酒; 露酒</t>
  </si>
  <si>
    <r>
      <t>贡</t>
    </r>
    <r>
      <rPr>
        <sz val="11"/>
        <color theme="1"/>
        <rFont val="ＭＳ Ｐゴシック"/>
        <family val="3"/>
        <charset val="128"/>
        <scheme val="minor"/>
      </rPr>
      <t>祥德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</si>
  <si>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蜂蜜酒; 青稞酒; 黄酒; 威士忌</t>
    </r>
  </si>
  <si>
    <r>
      <t>桂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潭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</si>
  <si>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开胃酒; 蜂蜜酒; 白酒;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</t>
    </r>
  </si>
  <si>
    <t>金液潭 JINYET</t>
  </si>
  <si>
    <r>
      <t>四川中晨瑞祥企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</si>
  <si>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果酒; 米酒; 食用酒精; 苹果酒;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</si>
  <si>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六品九礼</t>
  </si>
  <si>
    <r>
      <t>浙江澎湃酒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</si>
  <si>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甘蔗制烈酒; 葡萄酒; 白酒</t>
    </r>
  </si>
  <si>
    <t>滇二娃</t>
  </si>
  <si>
    <r>
      <t>昆明安金商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</si>
  <si>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蜂蜜酒; 青稞酒; 薄荷酒;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</si>
  <si>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湘圳府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</si>
  <si>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州桃源煮酒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</si>
  <si>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葡萄酒; 米酒;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清酒（日本米酒）; 开胃酒; 果酒（含酒精）;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</si>
  <si>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奇</t>
    </r>
    <r>
      <rPr>
        <sz val="11"/>
        <color theme="1"/>
        <rFont val="ＭＳ Ｐゴシック"/>
        <family val="3"/>
        <charset val="134"/>
        <scheme val="minor"/>
      </rPr>
      <t>闻</t>
    </r>
  </si>
  <si>
    <r>
      <t xml:space="preserve">黄酒; 烈酒;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清酒; 果酒; 露酒</t>
    </r>
  </si>
  <si>
    <t>普康人</t>
  </si>
  <si>
    <r>
      <t>银</t>
    </r>
    <r>
      <rPr>
        <sz val="11"/>
        <color theme="1"/>
        <rFont val="ＭＳ Ｐゴシック"/>
        <family val="3"/>
        <charset val="128"/>
        <scheme val="minor"/>
      </rPr>
      <t>川市沃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天康网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</si>
  <si>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</t>
    </r>
  </si>
  <si>
    <r>
      <t>森命</t>
    </r>
    <r>
      <rPr>
        <sz val="11"/>
        <color theme="1"/>
        <rFont val="ＭＳ Ｐゴシック"/>
        <family val="3"/>
        <charset val="134"/>
        <scheme val="minor"/>
      </rPr>
      <t>乐</t>
    </r>
  </si>
  <si>
    <t>周恒</t>
  </si>
  <si>
    <r>
      <t>米酒; 白酒; 黄酒; 葡萄酒; 食用酒精;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</si>
  <si>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轩诗玺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</si>
  <si>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蜂蜜酒;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</si>
  <si>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r>
      <t>嘉</t>
    </r>
    <r>
      <rPr>
        <sz val="11"/>
        <color theme="1"/>
        <rFont val="ＭＳ Ｐゴシック"/>
        <family val="3"/>
        <charset val="134"/>
        <scheme val="minor"/>
      </rPr>
      <t>觅岛</t>
    </r>
  </si>
  <si>
    <r>
      <t>杭州元友</t>
    </r>
    <r>
      <rPr>
        <sz val="11"/>
        <color theme="1"/>
        <rFont val="ＭＳ Ｐゴシック"/>
        <family val="3"/>
        <charset val="134"/>
        <scheme val="minor"/>
      </rPr>
      <t>荟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</si>
  <si>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主的中式白酒; 蒸煮提取物（利口酒和烈酒）;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</si>
  <si>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WHATSUB</t>
  </si>
  <si>
    <r>
      <t>安徽家和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</si>
  <si>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果酒; 利口酒;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</t>
    </r>
  </si>
  <si>
    <t>澳藤莱谷酒庄</t>
  </si>
  <si>
    <r>
      <t>陈</t>
    </r>
    <r>
      <rPr>
        <sz val="11"/>
        <color theme="1"/>
        <rFont val="ＭＳ Ｐゴシック"/>
        <family val="3"/>
        <charset val="128"/>
        <scheme val="minor"/>
      </rPr>
      <t>智富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</si>
  <si>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葡萄酒; 开胃酒;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</si>
  <si>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泉湖山</t>
  </si>
  <si>
    <r>
      <t>张兰</t>
    </r>
    <r>
      <rPr>
        <sz val="11"/>
        <color theme="1"/>
        <rFont val="ＭＳ Ｐゴシック"/>
        <family val="3"/>
        <charset val="128"/>
        <scheme val="minor"/>
      </rPr>
      <t>芝</t>
    </r>
  </si>
  <si>
    <r>
      <t>果酒（含酒精）;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含酒精的潘趣酒; 水果汽酒; 苹果酒;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含酒精的气泡水</t>
    </r>
  </si>
  <si>
    <t>涂二妹</t>
  </si>
  <si>
    <r>
      <t>四川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下佬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</si>
  <si>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</si>
  <si>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穗川元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</si>
  <si>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蜂蜜酒; 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青稞酒</t>
    </r>
  </si>
  <si>
    <r>
      <t>尊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方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</si>
  <si>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小英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</si>
  <si>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蜂蜜酒;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</si>
  <si>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金酌梦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</si>
  <si>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开胃酒; 蜂蜜酒;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青稞酒;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</si>
  <si>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酩</t>
    </r>
    <r>
      <rPr>
        <sz val="11"/>
        <color theme="1"/>
        <rFont val="ＭＳ Ｐゴシック"/>
        <family val="3"/>
        <charset val="134"/>
        <scheme val="minor"/>
      </rPr>
      <t>词</t>
    </r>
  </si>
  <si>
    <r>
      <t xml:space="preserve">开胃酒; 清酒（日本米酒）; 威士忌;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</si>
  <si>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蒙九伯</t>
  </si>
  <si>
    <r>
      <t xml:space="preserve">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青稞酒; 威士忌;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黄酒</t>
    </r>
  </si>
  <si>
    <r>
      <t>燕如</t>
    </r>
    <r>
      <rPr>
        <sz val="11"/>
        <color theme="1"/>
        <rFont val="ＭＳ Ｐゴシック"/>
        <family val="3"/>
        <charset val="134"/>
        <scheme val="minor"/>
      </rPr>
      <t>阔</t>
    </r>
  </si>
  <si>
    <r>
      <t>么</t>
    </r>
    <r>
      <rPr>
        <sz val="11"/>
        <color theme="1"/>
        <rFont val="ＭＳ Ｐゴシック"/>
        <family val="3"/>
        <charset val="134"/>
        <scheme val="minor"/>
      </rPr>
      <t>艳艳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</si>
  <si>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威士忌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</si>
  <si>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序</t>
    </r>
  </si>
  <si>
    <r>
      <t xml:space="preserve">清酒（日本米酒）; 威士忌; 青稞酒;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</si>
  <si>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鲜</t>
  </si>
  <si>
    <r>
      <t>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水果汽酒;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清酒（日本米酒）; 黄酒; 白酒</t>
    </r>
  </si>
  <si>
    <r>
      <t>李菜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</si>
  <si>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>浙江李菜生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零售有限公司</t>
    </r>
  </si>
  <si>
    <r>
      <t>葡萄酒; 白酒; 苹果酒; 汽酒; 果酒（含酒精）;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</si>
  <si>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r>
      <t>青府九州</t>
    </r>
    <r>
      <rPr>
        <sz val="11"/>
        <color theme="1"/>
        <rFont val="ＭＳ Ｐゴシック"/>
        <family val="3"/>
        <charset val="134"/>
        <scheme val="minor"/>
      </rPr>
      <t>赵</t>
    </r>
    <r>
      <rPr>
        <sz val="11"/>
        <color theme="1"/>
        <rFont val="ＭＳ Ｐゴシック"/>
        <family val="3"/>
        <charset val="128"/>
        <scheme val="minor"/>
      </rPr>
      <t>秉忠状元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</si>
  <si>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</t>
    </r>
  </si>
  <si>
    <r>
      <t>清</t>
    </r>
    <r>
      <rPr>
        <sz val="11"/>
        <color theme="1"/>
        <rFont val="ＭＳ Ｐゴシック"/>
        <family val="3"/>
        <charset val="134"/>
        <scheme val="minor"/>
      </rPr>
      <t>丝丝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</si>
  <si>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大春</t>
    </r>
  </si>
  <si>
    <r>
      <t xml:space="preserve">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</si>
  <si>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和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容与</t>
    </r>
  </si>
  <si>
    <r>
      <t>周登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</si>
  <si>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>白酒;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白干酒（中国白酒）;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烈酒</t>
    </r>
  </si>
  <si>
    <t>叙粮宵</t>
  </si>
  <si>
    <r>
      <t>郑</t>
    </r>
    <r>
      <rPr>
        <sz val="11"/>
        <color theme="1"/>
        <rFont val="ＭＳ Ｐゴシック"/>
        <family val="3"/>
        <charset val="128"/>
        <scheme val="minor"/>
      </rPr>
      <t>名</t>
    </r>
  </si>
  <si>
    <r>
      <t>威士忌; 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清酒（日本米酒）; 青稞酒;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</si>
  <si>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宁</t>
    </r>
    <r>
      <rPr>
        <sz val="11"/>
        <color theme="1"/>
        <rFont val="ＭＳ Ｐゴシック"/>
        <family val="3"/>
        <charset val="134"/>
        <scheme val="minor"/>
      </rPr>
      <t>飨</t>
    </r>
    <r>
      <rPr>
        <sz val="11"/>
        <color theme="1"/>
        <rFont val="ＭＳ Ｐゴシック"/>
        <family val="3"/>
        <charset val="128"/>
        <scheme val="minor"/>
      </rPr>
      <t>好物</t>
    </r>
  </si>
  <si>
    <r>
      <t>湖南回</t>
    </r>
    <r>
      <rPr>
        <sz val="11"/>
        <color theme="1"/>
        <rFont val="ＭＳ Ｐゴシック"/>
        <family val="3"/>
        <charset val="134"/>
        <scheme val="minor"/>
      </rPr>
      <t>车键</t>
    </r>
    <r>
      <rPr>
        <sz val="11"/>
        <color theme="1"/>
        <rFont val="ＭＳ Ｐゴシック"/>
        <family val="3"/>
        <charset val="128"/>
        <scheme val="minor"/>
      </rPr>
      <t>信息技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</si>
  <si>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苹果酒; 餐后酒（利口酒和烈酒）; 黄酒; 青稞酒;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</si>
  <si>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匠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福根</t>
    </r>
  </si>
  <si>
    <r>
      <t>四川福慈惠供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</si>
  <si>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薄荷酒</t>
    </r>
  </si>
  <si>
    <r>
      <t>昔</t>
    </r>
    <r>
      <rPr>
        <sz val="11"/>
        <color theme="1"/>
        <rFont val="ＭＳ Ｐゴシック"/>
        <family val="3"/>
        <charset val="134"/>
        <scheme val="minor"/>
      </rPr>
      <t>欢酿</t>
    </r>
  </si>
  <si>
    <r>
      <t>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</si>
  <si>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暮宴臣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</si>
  <si>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蒸煮提取物（利口酒和烈酒）;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食用酒精; 白酒</t>
    </r>
  </si>
  <si>
    <t>梅香千</t>
  </si>
  <si>
    <r>
      <t>宁德市余根</t>
    </r>
    <r>
      <rPr>
        <sz val="11"/>
        <color theme="1"/>
        <rFont val="ＭＳ Ｐゴシック"/>
        <family val="3"/>
        <charset val="134"/>
        <scheme val="minor"/>
      </rPr>
      <t>锋贸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</si>
  <si>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威士忌; 米酒; 果酒（含酒精）; 白酒; 葡萄酒;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薄荷酒; 朗姆酒; 黄酒</t>
    </r>
  </si>
  <si>
    <r>
      <t>四</t>
    </r>
    <r>
      <rPr>
        <sz val="11"/>
        <color theme="1"/>
        <rFont val="ＭＳ Ｐゴシック"/>
        <family val="3"/>
        <charset val="134"/>
        <scheme val="minor"/>
      </rPr>
      <t>谏</t>
    </r>
    <r>
      <rPr>
        <sz val="11"/>
        <color theme="1"/>
        <rFont val="ＭＳ Ｐゴシック"/>
        <family val="3"/>
        <charset val="128"/>
        <scheme val="minor"/>
      </rPr>
      <t>堂</t>
    </r>
  </si>
  <si>
    <r>
      <t>薄荷酒; 黄酒; 葡萄酒;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白酒; 朗姆酒; 米酒; 清酒（日本米酒）</t>
    </r>
  </si>
  <si>
    <t>粱道夫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</si>
  <si>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黄酒; 开胃酒; 青稞酒;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</t>
    </r>
  </si>
  <si>
    <t>平衡尺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</si>
  <si>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州万国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</si>
  <si>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黄酒; 威士忌;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餐后酒（利口酒和烈酒）; 利口酒;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</si>
  <si>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帟</t>
  </si>
  <si>
    <r>
      <t>刘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</si>
  <si>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高粱酒; 米酒; 白干酒（中国白酒）; 开胃酒;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果酒; 烈酒</t>
    </r>
  </si>
  <si>
    <t>晨光麦浪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</si>
  <si>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白酒; 葡萄酒; 果酒; 含酒精的气泡水</t>
    </r>
  </si>
  <si>
    <t>TB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</si>
  <si>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米酒; 清酒（日本米酒）;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</si>
  <si>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柃花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蜂园</t>
    </r>
  </si>
  <si>
    <r>
      <t>台州土蜂之魂蜂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养殖有限公司</t>
    </r>
  </si>
  <si>
    <r>
      <t>果酒（含酒精）; 葡萄酒; 食用酒精;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蜂蜜酒</t>
    </r>
  </si>
  <si>
    <r>
      <t>窖</t>
    </r>
    <r>
      <rPr>
        <sz val="11"/>
        <color theme="1"/>
        <rFont val="ＭＳ Ｐゴシック"/>
        <family val="3"/>
        <charset val="134"/>
        <scheme val="minor"/>
      </rPr>
      <t>飒</t>
    </r>
  </si>
  <si>
    <r>
      <t xml:space="preserve">威士忌;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</si>
  <si>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湘城</t>
    </r>
    <r>
      <rPr>
        <sz val="11"/>
        <color theme="1"/>
        <rFont val="ＭＳ Ｐゴシック"/>
        <family val="3"/>
        <charset val="134"/>
        <scheme val="minor"/>
      </rPr>
      <t>赋</t>
    </r>
  </si>
  <si>
    <r>
      <t>岳阳市湘城酒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</si>
  <si>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白葡萄酒; 青稞酒; 威士忌; 清酒（日本米酒）; 烈酒; 白酒; 梅酒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</si>
  <si>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源魂</t>
    </r>
  </si>
  <si>
    <r>
      <t xml:space="preserve">梅酒; 烈酒; 白酒;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白葡萄酒; 果酒; 黄酒; 清酒（日本米酒）; 威士忌</t>
    </r>
  </si>
  <si>
    <t>天佑芝花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</si>
  <si>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州遵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新停</t>
    </r>
    <r>
      <rPr>
        <sz val="11"/>
        <color theme="1"/>
        <rFont val="ＭＳ Ｐゴシック"/>
        <family val="3"/>
        <charset val="134"/>
        <scheme val="minor"/>
      </rPr>
      <t>浊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</si>
  <si>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清酒（日本米酒）; 果酒（含酒精）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</si>
  <si>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王道</t>
    </r>
  </si>
  <si>
    <r>
      <t>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</si>
  <si>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清樽序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</si>
  <si>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清酒（日本米酒）; 蜂蜜酒; 白酒;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青稞酒</t>
    </r>
  </si>
  <si>
    <t>殷殷之情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</si>
  <si>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威士忌; 葡萄酒; 黄酒; 高粱酒; 白酒</t>
    </r>
  </si>
  <si>
    <t>安韶</t>
  </si>
  <si>
    <t>漆召周******************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</si>
  <si>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苹果酒;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果酒（含酒精）; 白酒;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</si>
  <si>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t>中欣南洋</t>
  </si>
  <si>
    <r>
      <t>湖南中欣南洋投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控股有限公司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</si>
  <si>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青稞酒;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</si>
  <si>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r>
      <t>玉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关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</si>
  <si>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开胃酒; 清酒（日本米酒）; 黄酒</t>
    </r>
  </si>
  <si>
    <t>穗中喜</t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</si>
  <si>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青稞酒; 黄酒;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</t>
    </r>
  </si>
  <si>
    <r>
      <t>盏</t>
    </r>
    <r>
      <rPr>
        <sz val="11"/>
        <color theme="1"/>
        <rFont val="ＭＳ Ｐゴシック"/>
        <family val="3"/>
        <charset val="128"/>
        <scheme val="minor"/>
      </rPr>
      <t>中福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</si>
  <si>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</si>
  <si>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九花</t>
    </r>
  </si>
  <si>
    <r>
      <t>高粱酒; 白干酒（中国白酒）; 白酒; 露酒;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</si>
  <si>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云湖上的家</t>
  </si>
  <si>
    <t>石沁子</t>
  </si>
  <si>
    <r>
      <t>烈酒; 青稞酒; 露酒;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甜酒; 苹果酒; 葡萄酒; 黄酒; 加烈葡萄酒</t>
    </r>
  </si>
  <si>
    <t>秦楚云天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</si>
  <si>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</t>
    </r>
  </si>
  <si>
    <t>施王屯</t>
  </si>
  <si>
    <t>田珊珊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</si>
  <si>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加有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生素的朗姆酒; 葡萄酒; 黄酒</t>
    </r>
  </si>
  <si>
    <t>JIUZHONGREN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</si>
  <si>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州酒中人酒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</si>
  <si>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汽酒; 青稞酒;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食用酒精</t>
    </r>
  </si>
  <si>
    <t>LOUNGEFLY</t>
  </si>
  <si>
    <r>
      <t>繁寇有限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</si>
  <si>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起泡白葡萄酒;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</si>
  <si>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微</t>
    </r>
    <r>
      <rPr>
        <sz val="11"/>
        <color theme="1"/>
        <rFont val="ＭＳ Ｐゴシック"/>
        <family val="3"/>
        <charset val="134"/>
        <scheme val="minor"/>
      </rPr>
      <t>柠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</si>
  <si>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星憶</t>
    </r>
    <r>
      <rPr>
        <sz val="11"/>
        <color theme="1"/>
        <rFont val="ＭＳ Ｐゴシック"/>
        <family val="3"/>
        <charset val="134"/>
        <scheme val="minor"/>
      </rPr>
      <t>铃</t>
    </r>
  </si>
  <si>
    <r>
      <t xml:space="preserve">果酒（含酒精）; 米酒; 葡萄酒; 白酒; 露酒; 青稞酒; 青梅酒;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</t>
    </r>
  </si>
  <si>
    <r>
      <t>兴</t>
    </r>
    <r>
      <rPr>
        <sz val="11"/>
        <color theme="1"/>
        <rFont val="ＭＳ Ｐゴシック"/>
        <family val="3"/>
        <charset val="128"/>
        <scheme val="minor"/>
      </rPr>
      <t>水河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</si>
  <si>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中卓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保能源科技有限公司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</si>
  <si>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葡萄酒; 甜酒</t>
    </r>
  </si>
  <si>
    <t>诚仓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</si>
  <si>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蒸煮提取物（利口酒和烈酒）; 烈酒; 食用酒精; 白酒;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</si>
  <si>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铜</t>
    </r>
    <r>
      <rPr>
        <sz val="11"/>
        <color theme="1"/>
        <rFont val="ＭＳ Ｐゴシック"/>
        <family val="3"/>
        <charset val="128"/>
        <scheme val="minor"/>
      </rPr>
      <t>九花</t>
    </r>
  </si>
  <si>
    <r>
      <t>食用酒精;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葡萄酒; 白酒;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白干酒（中国白酒）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</si>
  <si>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荣侯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</si>
  <si>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蜂蜜酒; 开胃酒; 青稞酒; 威士忌;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</si>
  <si>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秉忠状元福酒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</si>
  <si>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米酒</t>
    </r>
  </si>
  <si>
    <t>法梦菲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</si>
  <si>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威士忌;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青稞酒; 黄酒; 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</si>
  <si>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宴清元</t>
  </si>
  <si>
    <r>
      <t xml:space="preserve">开胃酒; 清酒（日本米酒）;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蜂蜜酒;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</si>
  <si>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满贤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</si>
  <si>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姣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</si>
  <si>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 xml:space="preserve">清酒（日本米酒）;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蜂蜜酒;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</t>
    </r>
  </si>
  <si>
    <r>
      <t>清溪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珍</t>
    </r>
  </si>
  <si>
    <r>
      <t>益阳高新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</si>
  <si>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葡萄酒; 黄酒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</si>
  <si>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君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</si>
  <si>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开胃酒;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</si>
  <si>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裕江</t>
    </r>
    <r>
      <rPr>
        <sz val="11"/>
        <color theme="1"/>
        <rFont val="ＭＳ Ｐゴシック"/>
        <family val="3"/>
        <charset val="134"/>
        <scheme val="minor"/>
      </rPr>
      <t>叹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</si>
  <si>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青稞酒;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白酒; 开胃酒; 黄酒</t>
    </r>
  </si>
  <si>
    <r>
      <t>俏江</t>
    </r>
    <r>
      <rPr>
        <sz val="11"/>
        <color theme="1"/>
        <rFont val="ＭＳ Ｐゴシック"/>
        <family val="3"/>
        <charset val="134"/>
        <scheme val="minor"/>
      </rPr>
      <t>赋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</si>
  <si>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青稞酒;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蜂蜜酒</t>
    </r>
  </si>
  <si>
    <t>韵八方</t>
  </si>
  <si>
    <r>
      <t>邹</t>
    </r>
    <r>
      <rPr>
        <sz val="11"/>
        <color theme="1"/>
        <rFont val="ＭＳ Ｐゴシック"/>
        <family val="3"/>
        <charset val="128"/>
        <scheme val="minor"/>
      </rPr>
      <t>九妹</t>
    </r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</si>
  <si>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</t>
    </r>
  </si>
  <si>
    <t>吨吨嘿</t>
  </si>
  <si>
    <r>
      <t>宁波麒裕商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</si>
  <si>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</si>
  <si>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益普双</t>
    </r>
    <r>
      <rPr>
        <sz val="11"/>
        <color theme="1"/>
        <rFont val="ＭＳ Ｐゴシック"/>
        <family val="3"/>
        <charset val="134"/>
        <scheme val="minor"/>
      </rPr>
      <t>狮</t>
    </r>
    <r>
      <rPr>
        <sz val="11"/>
        <color theme="1"/>
        <rFont val="ＭＳ Ｐゴシック"/>
        <family val="3"/>
        <charset val="128"/>
        <scheme val="minor"/>
      </rPr>
      <t>号</t>
    </r>
  </si>
  <si>
    <r>
      <t>李巍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</si>
  <si>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食用酒精; 米酒</t>
    </r>
  </si>
  <si>
    <r>
      <t>崇</t>
    </r>
    <r>
      <rPr>
        <sz val="11"/>
        <color theme="1"/>
        <rFont val="ＭＳ Ｐゴシック"/>
        <family val="3"/>
        <charset val="134"/>
        <scheme val="minor"/>
      </rPr>
      <t>娇</t>
    </r>
    <r>
      <rPr>
        <sz val="11"/>
        <color theme="1"/>
        <rFont val="ＭＳ Ｐゴシック"/>
        <family val="3"/>
        <charset val="128"/>
        <scheme val="minor"/>
      </rPr>
      <t>子</t>
    </r>
  </si>
  <si>
    <r>
      <t>闵</t>
    </r>
    <r>
      <rPr>
        <sz val="11"/>
        <color theme="1"/>
        <rFont val="ＭＳ Ｐゴシック"/>
        <family val="3"/>
        <charset val="128"/>
        <scheme val="minor"/>
      </rPr>
      <t>文旭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</si>
  <si>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水果汽酒;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</si>
  <si>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渚</t>
    </r>
    <r>
      <rPr>
        <sz val="11"/>
        <color theme="1"/>
        <rFont val="ＭＳ Ｐゴシック"/>
        <family val="3"/>
        <charset val="134"/>
        <scheme val="minor"/>
      </rPr>
      <t>闲</t>
    </r>
    <r>
      <rPr>
        <sz val="11"/>
        <color theme="1"/>
        <rFont val="ＭＳ Ｐゴシック"/>
        <family val="3"/>
        <charset val="128"/>
        <scheme val="minor"/>
      </rPr>
      <t>清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</si>
  <si>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水果汽酒;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</si>
  <si>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亳草</t>
  </si>
  <si>
    <r>
      <t>黄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猛</t>
    </r>
  </si>
  <si>
    <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</si>
  <si>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老广食神</t>
  </si>
  <si>
    <t>上海佬广食品有限公司</t>
  </si>
  <si>
    <r>
      <t>白酒; 苹果酒; 高粱酒; 黄酒; 甜酒; 果酒; 梅酒;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</si>
  <si>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t>水玄谷</t>
  </si>
  <si>
    <r>
      <t>陈</t>
    </r>
    <r>
      <rPr>
        <sz val="11"/>
        <color theme="1"/>
        <rFont val="ＭＳ Ｐゴシック"/>
        <family val="3"/>
        <charset val="128"/>
        <scheme val="minor"/>
      </rPr>
      <t>音宇</t>
    </r>
  </si>
  <si>
    <r>
      <t>果酒（含酒精）; 米酒; 黄酒; 威士忌;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食用酒精;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</si>
  <si>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晖</t>
    </r>
    <r>
      <rPr>
        <sz val="11"/>
        <color theme="1"/>
        <rFont val="ＭＳ Ｐゴシック"/>
        <family val="3"/>
        <charset val="128"/>
        <scheme val="minor"/>
      </rPr>
      <t>礼台</t>
    </r>
  </si>
  <si>
    <r>
      <t>韦</t>
    </r>
    <r>
      <rPr>
        <sz val="11"/>
        <color theme="1"/>
        <rFont val="ＭＳ Ｐゴシック"/>
        <family val="3"/>
        <charset val="128"/>
        <scheme val="minor"/>
      </rPr>
      <t>少敏</t>
    </r>
  </si>
  <si>
    <r>
      <t>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</si>
  <si>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广州晶</t>
    </r>
    <r>
      <rPr>
        <sz val="11"/>
        <color theme="1"/>
        <rFont val="ＭＳ Ｐゴシック"/>
        <family val="3"/>
        <charset val="134"/>
        <scheme val="minor"/>
      </rPr>
      <t>娱实业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</si>
  <si>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</si>
  <si>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亳草</t>
    </r>
    <r>
      <rPr>
        <sz val="11"/>
        <color theme="1"/>
        <rFont val="ＭＳ Ｐゴシック"/>
        <family val="3"/>
        <charset val="134"/>
        <scheme val="minor"/>
      </rPr>
      <t>纲</t>
    </r>
    <r>
      <rPr>
        <sz val="11"/>
        <color theme="1"/>
        <rFont val="ＭＳ Ｐゴシック"/>
        <family val="3"/>
        <charset val="128"/>
        <scheme val="minor"/>
      </rPr>
      <t>目</t>
    </r>
  </si>
  <si>
    <r>
      <t>伏特加酒; 米酒; 葡萄酒;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</si>
  <si>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CARIBBEAN PUNCH</t>
  </si>
  <si>
    <t>夜店之王（中国）有限公司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</si>
  <si>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</si>
  <si>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r>
      <t>塔斯</t>
    </r>
    <r>
      <rPr>
        <sz val="11"/>
        <color theme="1"/>
        <rFont val="ＭＳ Ｐゴシック"/>
        <family val="3"/>
        <charset val="134"/>
        <scheme val="minor"/>
      </rPr>
      <t>队长</t>
    </r>
  </si>
  <si>
    <r>
      <t>章立</t>
    </r>
    <r>
      <rPr>
        <sz val="11"/>
        <color theme="1"/>
        <rFont val="ＭＳ Ｐゴシック"/>
        <family val="3"/>
        <charset val="134"/>
        <scheme val="minor"/>
      </rPr>
      <t>权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</si>
  <si>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蜂蜜酒;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</si>
  <si>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玺</t>
    </r>
    <r>
      <rPr>
        <sz val="11"/>
        <color theme="1"/>
        <rFont val="ＭＳ Ｐゴシック"/>
        <family val="3"/>
        <charset val="128"/>
        <scheme val="minor"/>
      </rPr>
      <t>罐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</si>
  <si>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元</t>
    </r>
    <r>
      <rPr>
        <sz val="11"/>
        <color theme="1"/>
        <rFont val="ＭＳ Ｐゴシック"/>
        <family val="3"/>
        <charset val="134"/>
        <scheme val="minor"/>
      </rPr>
      <t>庆</t>
    </r>
  </si>
  <si>
    <r>
      <t xml:space="preserve">威士忌; 白酒; 利口酒; 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</si>
  <si>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崇仙</t>
    </r>
    <r>
      <rPr>
        <sz val="11"/>
        <color theme="1"/>
        <rFont val="ＭＳ Ｐゴシック"/>
        <family val="3"/>
        <charset val="134"/>
        <scheme val="minor"/>
      </rPr>
      <t>岛</t>
    </r>
  </si>
  <si>
    <r>
      <t>崇海（上海）国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</si>
  <si>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米酒; 青稞酒; 黄酒; 清酒（日本米酒）;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</si>
  <si>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恒</t>
    </r>
    <r>
      <rPr>
        <sz val="11"/>
        <color theme="1"/>
        <rFont val="ＭＳ Ｐゴシック"/>
        <family val="3"/>
        <charset val="129"/>
        <scheme val="minor"/>
      </rPr>
      <t>燊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</si>
  <si>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</si>
  <si>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郓</t>
    </r>
    <r>
      <rPr>
        <sz val="11"/>
        <color theme="1"/>
        <rFont val="ＭＳ Ｐゴシック"/>
        <family val="3"/>
        <charset val="128"/>
        <scheme val="minor"/>
      </rPr>
      <t>都晨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</si>
  <si>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晨福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</si>
  <si>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薄荷酒; 果酒（含酒精）; 黄酒; 苹果酒; 威士忌;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</si>
  <si>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生瑶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</si>
  <si>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水果汽酒;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</si>
  <si>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与共樽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</si>
  <si>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水果汽酒; 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</si>
  <si>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峥嵘</t>
    </r>
    <r>
      <rPr>
        <sz val="11"/>
        <color theme="1"/>
        <rFont val="ＭＳ Ｐゴシック"/>
        <family val="3"/>
        <charset val="128"/>
        <scheme val="minor"/>
      </rPr>
      <t>江湖</t>
    </r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</si>
  <si>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果酒（含酒精）;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</si>
  <si>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TOSUOD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</si>
  <si>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蜂蜜酒</t>
    </r>
  </si>
  <si>
    <r>
      <t>庆谊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</si>
  <si>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清酒（日本米酒）;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</si>
  <si>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r>
      <t>龙权</t>
    </r>
    <r>
      <rPr>
        <sz val="11"/>
        <color theme="1"/>
        <rFont val="ＭＳ Ｐゴシック"/>
        <family val="3"/>
        <charset val="128"/>
        <scheme val="minor"/>
      </rPr>
      <t>醇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</si>
  <si>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元均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</si>
  <si>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</si>
  <si>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</si>
  <si>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畲元素</t>
  </si>
  <si>
    <r>
      <t>陈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</si>
  <si>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>果酒（含酒精）; 米酒; 梅酒; 白酒;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食用酒精;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</si>
  <si>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非常芝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</si>
  <si>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州金</t>
    </r>
    <r>
      <rPr>
        <sz val="11"/>
        <color theme="1"/>
        <rFont val="ＭＳ Ｐゴシック"/>
        <family val="3"/>
        <charset val="134"/>
        <scheme val="minor"/>
      </rPr>
      <t>纵</t>
    </r>
    <r>
      <rPr>
        <sz val="11"/>
        <color theme="1"/>
        <rFont val="ＭＳ Ｐゴシック"/>
        <family val="3"/>
        <charset val="128"/>
        <scheme val="minor"/>
      </rPr>
      <t>横控股集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</si>
  <si>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米酒; 白酒; 白干酒（中国白酒）; 果酒</t>
    </r>
  </si>
  <si>
    <t>雨漫</t>
  </si>
  <si>
    <r>
      <t>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汽酒; 白酒; 伏特加酒; 米酒; 黄酒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</si>
  <si>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来康</t>
    </r>
  </si>
  <si>
    <r>
      <t>曹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合昌</t>
    </r>
    <r>
      <rPr>
        <sz val="11"/>
        <color theme="1"/>
        <rFont val="ＭＳ Ｐゴシック"/>
        <family val="3"/>
        <charset val="134"/>
        <scheme val="minor"/>
      </rPr>
      <t>钰农产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</si>
  <si>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草本型利口酒; 利口酒;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佐餐酒;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</si>
  <si>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水湾</t>
  </si>
  <si>
    <r>
      <t>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伏特加酒;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</si>
  <si>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府城浙黄</t>
  </si>
  <si>
    <r>
      <t>台州市</t>
    </r>
    <r>
      <rPr>
        <sz val="11"/>
        <color theme="1"/>
        <rFont val="ＭＳ Ｐゴシック"/>
        <family val="3"/>
        <charset val="134"/>
        <scheme val="minor"/>
      </rPr>
      <t>蕴鹏农业发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</si>
  <si>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米酒;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烈酒;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</t>
    </r>
  </si>
  <si>
    <t>隆元吉</t>
  </si>
  <si>
    <r>
      <t>隆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明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</si>
  <si>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</si>
  <si>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杏</t>
    </r>
    <r>
      <rPr>
        <sz val="11"/>
        <color theme="1"/>
        <rFont val="ＭＳ Ｐゴシック"/>
        <family val="3"/>
        <charset val="134"/>
        <scheme val="minor"/>
      </rPr>
      <t>邻</t>
    </r>
  </si>
  <si>
    <t>王莉</t>
  </si>
  <si>
    <r>
      <t xml:space="preserve">黄酒; 高粱酒; 果酒; 葡萄酒; 汽酒; 青稞酒; 利口酒;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</si>
  <si>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云</t>
    </r>
    <r>
      <rPr>
        <sz val="11"/>
        <color theme="1"/>
        <rFont val="ＭＳ Ｐゴシック"/>
        <family val="3"/>
        <charset val="134"/>
        <scheme val="minor"/>
      </rPr>
      <t>宫</t>
    </r>
    <r>
      <rPr>
        <sz val="11"/>
        <color theme="1"/>
        <rFont val="ＭＳ Ｐゴシック"/>
        <family val="3"/>
        <charset val="128"/>
        <scheme val="minor"/>
      </rPr>
      <t>迅音</t>
    </r>
  </si>
  <si>
    <r>
      <t>山西清香干和酒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</si>
  <si>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</si>
  <si>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名示</t>
  </si>
  <si>
    <r>
      <t>王</t>
    </r>
    <r>
      <rPr>
        <sz val="11"/>
        <color theme="1"/>
        <rFont val="ＭＳ Ｐゴシック"/>
        <family val="3"/>
        <charset val="129"/>
        <scheme val="minor"/>
      </rPr>
      <t>朵</t>
    </r>
    <r>
      <rPr>
        <sz val="11"/>
        <color theme="1"/>
        <rFont val="ＭＳ Ｐゴシック"/>
        <family val="3"/>
        <charset val="128"/>
        <scheme val="minor"/>
      </rPr>
      <t>祥</t>
    </r>
  </si>
  <si>
    <r>
      <t xml:space="preserve">葡萄酒; 白酒;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</si>
  <si>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IMOGY</t>
  </si>
  <si>
    <r>
      <t>嘉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众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</si>
  <si>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汽酒;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</si>
  <si>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毛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人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</si>
  <si>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鑫酒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</si>
  <si>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烈酒;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</si>
  <si>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众知享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</si>
  <si>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通酒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</si>
  <si>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葡萄酒; 白酒; 黄酒; 食用酒精;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</si>
  <si>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AFALI</t>
  </si>
  <si>
    <r>
      <t>三</t>
    </r>
    <r>
      <rPr>
        <sz val="11"/>
        <color theme="1"/>
        <rFont val="ＭＳ Ｐゴシック"/>
        <family val="3"/>
        <charset val="134"/>
        <scheme val="minor"/>
      </rPr>
      <t>亚农</t>
    </r>
    <r>
      <rPr>
        <sz val="11"/>
        <color theme="1"/>
        <rFont val="ＭＳ Ｐゴシック"/>
        <family val="3"/>
        <charset val="128"/>
        <scheme val="minor"/>
      </rPr>
      <t>民哥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</si>
  <si>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</si>
  <si>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葫</t>
    </r>
    <r>
      <rPr>
        <sz val="11"/>
        <color theme="1"/>
        <rFont val="ＭＳ Ｐゴシック"/>
        <family val="3"/>
        <charset val="134"/>
        <scheme val="minor"/>
      </rPr>
      <t>陆</t>
    </r>
  </si>
  <si>
    <t>海小花（杭州）生物科技有限公司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</si>
  <si>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天然汽酒;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日本梅子酒;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咖啡利口酒; 混合威士忌酒; 米酒</t>
    </r>
  </si>
  <si>
    <r>
      <t>林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 xml:space="preserve"> 宣哥</t>
    </r>
  </si>
  <si>
    <t>林启宣</t>
  </si>
  <si>
    <r>
      <t xml:space="preserve">白酒; 黄酒; 葡萄酒; 清酒（日本米酒）; 青稞酒; 朗姆酒;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威士忌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</si>
  <si>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氏千秋万代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</si>
  <si>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敬利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</si>
  <si>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</si>
  <si>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爱玺</t>
    </r>
    <r>
      <rPr>
        <sz val="11"/>
        <color theme="1"/>
        <rFont val="ＭＳ Ｐゴシック"/>
        <family val="3"/>
        <charset val="128"/>
        <scheme val="minor"/>
      </rPr>
      <t>唐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</si>
  <si>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志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</si>
  <si>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含酒精的气泡水;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</si>
  <si>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仙舟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</si>
  <si>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祥</t>
    </r>
  </si>
  <si>
    <r>
      <t>果酒（含酒精）; 葡萄酒; 白酒; 烈酒; 黄酒; 开胃酒;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</si>
  <si>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裔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</si>
  <si>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先</t>
    </r>
  </si>
  <si>
    <r>
      <t xml:space="preserve">黄酒; 高粱酒; 果酒;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葡萄酒;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</si>
  <si>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来八量</t>
  </si>
  <si>
    <t>付江永</t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</si>
  <si>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青稞酒</t>
    </r>
  </si>
  <si>
    <r>
      <t>春</t>
    </r>
    <r>
      <rPr>
        <sz val="11"/>
        <color theme="1"/>
        <rFont val="ＭＳ Ｐゴシック"/>
        <family val="3"/>
        <charset val="134"/>
        <scheme val="minor"/>
      </rPr>
      <t>绪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</si>
  <si>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齐飞</t>
    </r>
  </si>
  <si>
    <r>
      <t>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清酒（日本米酒）; 威士忌;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</si>
  <si>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麓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翠</t>
    </r>
  </si>
  <si>
    <r>
      <t>宁夏圣</t>
    </r>
    <r>
      <rPr>
        <sz val="11"/>
        <color theme="1"/>
        <rFont val="ＭＳ Ｐゴシック"/>
        <family val="3"/>
        <charset val="134"/>
        <scheme val="minor"/>
      </rPr>
      <t>沣农业发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</si>
  <si>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含酒精的气泡水;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</t>
    </r>
  </si>
  <si>
    <t>JARDIN DE LUCIA</t>
  </si>
  <si>
    <r>
      <t>法国路西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的花园集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香港有限公司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</si>
  <si>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蜂蜜酒</t>
    </r>
  </si>
  <si>
    <t>沐海无名</t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</si>
  <si>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莞市沐海酒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</si>
  <si>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白酒; 果酒; 葡萄酒; 烈酒</t>
    </r>
  </si>
  <si>
    <t>鹤龙门</t>
  </si>
  <si>
    <r>
      <t>全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达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</si>
  <si>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</si>
  <si>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福禄庭</t>
    </r>
    <r>
      <rPr>
        <sz val="11"/>
        <color theme="1"/>
        <rFont val="ＭＳ Ｐゴシック"/>
        <family val="3"/>
        <charset val="134"/>
        <scheme val="minor"/>
      </rPr>
      <t>阅</t>
    </r>
  </si>
  <si>
    <r>
      <t>南京紫卉臻文化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</si>
  <si>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果酒（含酒精）;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威士忌; 白酒</t>
    </r>
  </si>
  <si>
    <t>粹青山</t>
  </si>
  <si>
    <t>王培</t>
  </si>
  <si>
    <r>
      <t>黄酒; 烈酒;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果酒（含酒精）; 清酒（日本米酒）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</si>
  <si>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穗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</si>
  <si>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博</t>
    </r>
    <r>
      <rPr>
        <sz val="11"/>
        <color theme="1"/>
        <rFont val="ＭＳ Ｐゴシック"/>
        <family val="3"/>
        <charset val="134"/>
        <scheme val="minor"/>
      </rPr>
      <t>闻</t>
    </r>
  </si>
  <si>
    <r>
      <t xml:space="preserve">开胃酒;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白酒; 威士忌;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</si>
  <si>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t>翡翠葫芦</t>
  </si>
  <si>
    <r>
      <t>北京国享久品商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</si>
  <si>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黄酒; 烈酒;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露酒; 威士忌;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</si>
  <si>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懋源玖香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</si>
  <si>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市懋源酒</t>
    </r>
    <r>
      <rPr>
        <sz val="11"/>
        <color theme="1"/>
        <rFont val="ＭＳ Ｐゴシック"/>
        <family val="3"/>
        <charset val="134"/>
        <scheme val="minor"/>
      </rPr>
      <t>类销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</si>
  <si>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葡萄酒; 甜果酒;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蜂蜜酒;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</t>
    </r>
  </si>
  <si>
    <r>
      <t>芜</t>
    </r>
    <r>
      <rPr>
        <sz val="11"/>
        <color theme="1"/>
        <rFont val="ＭＳ Ｐゴシック"/>
        <family val="3"/>
        <charset val="128"/>
        <scheme val="minor"/>
      </rPr>
      <t>小园</t>
    </r>
  </si>
  <si>
    <r>
      <t>芜</t>
    </r>
    <r>
      <rPr>
        <sz val="11"/>
        <color theme="1"/>
        <rFont val="ＭＳ Ｐゴシック"/>
        <family val="3"/>
        <charset val="128"/>
        <scheme val="minor"/>
      </rPr>
      <t>湖</t>
    </r>
    <r>
      <rPr>
        <sz val="11"/>
        <color theme="1"/>
        <rFont val="ＭＳ Ｐゴシック"/>
        <family val="3"/>
        <charset val="134"/>
        <scheme val="minor"/>
      </rPr>
      <t>亲</t>
    </r>
    <r>
      <rPr>
        <sz val="11"/>
        <color theme="1"/>
        <rFont val="ＭＳ Ｐゴシック"/>
        <family val="3"/>
        <charset val="128"/>
        <scheme val="minor"/>
      </rPr>
      <t>睦堂企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</si>
  <si>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果酒（含酒精）;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黄酒</t>
    </r>
  </si>
  <si>
    <t>五之谷</t>
  </si>
  <si>
    <r>
      <t>宜</t>
    </r>
    <r>
      <rPr>
        <sz val="11"/>
        <color theme="1"/>
        <rFont val="ＭＳ Ｐゴシック"/>
        <family val="3"/>
        <charset val="134"/>
        <scheme val="minor"/>
      </rPr>
      <t>宾邓</t>
    </r>
    <r>
      <rPr>
        <sz val="11"/>
        <color theme="1"/>
        <rFont val="ＭＳ Ｐゴシック"/>
        <family val="3"/>
        <charset val="128"/>
        <scheme val="minor"/>
      </rPr>
      <t>祖企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</si>
  <si>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利口酒; 烈酒; 黄酒; 白酒; 青稞酒;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白干酒（中国白酒）;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</si>
  <si>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善港壹佰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</si>
  <si>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善港生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</si>
  <si>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开胃酒;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黄酒; 白酒</t>
    </r>
  </si>
  <si>
    <t>柏疆水磨</t>
  </si>
  <si>
    <r>
      <t>内蒙古中峰置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</si>
  <si>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葡萄酒; 青稞酒</t>
    </r>
  </si>
  <si>
    <t>观庐</t>
  </si>
  <si>
    <r>
      <t>浙江九天</t>
    </r>
    <r>
      <rPr>
        <sz val="11"/>
        <color theme="1"/>
        <rFont val="ＭＳ Ｐゴシック"/>
        <family val="3"/>
        <charset val="134"/>
        <scheme val="minor"/>
      </rPr>
      <t>阁观庐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</si>
  <si>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食用酒精; 威士忌; 利口酒; 米酒; 伏特加酒; 葡萄酒</t>
    </r>
  </si>
  <si>
    <r>
      <t>上德</t>
    </r>
    <r>
      <rPr>
        <sz val="11"/>
        <color theme="1"/>
        <rFont val="ＭＳ Ｐゴシック"/>
        <family val="3"/>
        <charset val="134"/>
        <scheme val="minor"/>
      </rPr>
      <t>义</t>
    </r>
  </si>
  <si>
    <r>
      <t>沧</t>
    </r>
    <r>
      <rPr>
        <sz val="11"/>
        <color theme="1"/>
        <rFont val="ＭＳ Ｐゴシック"/>
        <family val="3"/>
        <charset val="128"/>
        <scheme val="minor"/>
      </rPr>
      <t>州宏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印刷有限公司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</si>
  <si>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米酒; 含酒精的气泡水; 黄酒; 汽酒;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</si>
  <si>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清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扶光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</si>
  <si>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之悦酒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</si>
  <si>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白酒; 高粱酒;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食用酒精; 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</si>
  <si>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四川盛达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</si>
  <si>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伏特加酒; 威士忌; 青稞酒; 清酒; 白酒; 葡萄酒; 果酒</t>
    </r>
  </si>
  <si>
    <t>粱匠清花</t>
  </si>
  <si>
    <r>
      <t>开胃酒;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</si>
  <si>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OMYLOV</t>
  </si>
  <si>
    <t>深圳魅杜科技有限公司</t>
  </si>
  <si>
    <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</si>
  <si>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蜀瑶池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</si>
  <si>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</t>
    </r>
  </si>
  <si>
    <r>
      <t>斯</t>
    </r>
    <r>
      <rPr>
        <sz val="11"/>
        <color theme="1"/>
        <rFont val="ＭＳ Ｐゴシック"/>
        <family val="3"/>
        <charset val="134"/>
        <scheme val="minor"/>
      </rPr>
      <t>钰</t>
    </r>
  </si>
  <si>
    <r>
      <t>诺</t>
    </r>
    <r>
      <rPr>
        <sz val="11"/>
        <color theme="1"/>
        <rFont val="ＭＳ Ｐゴシック"/>
        <family val="3"/>
        <charset val="128"/>
        <scheme val="minor"/>
      </rPr>
      <t>必</t>
    </r>
    <r>
      <rPr>
        <sz val="11"/>
        <color theme="1"/>
        <rFont val="ＭＳ Ｐゴシック"/>
        <family val="3"/>
        <charset val="134"/>
        <scheme val="minor"/>
      </rPr>
      <t>赞</t>
    </r>
    <r>
      <rPr>
        <sz val="11"/>
        <color theme="1"/>
        <rFont val="ＭＳ Ｐゴシック"/>
        <family val="3"/>
        <charset val="128"/>
        <scheme val="minor"/>
      </rPr>
      <t>（广州）健康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</si>
  <si>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汽酒;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</si>
  <si>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PODERE LA REGOLA</t>
  </si>
  <si>
    <r>
      <t>制定</t>
    </r>
    <r>
      <rPr>
        <sz val="11"/>
        <color theme="1"/>
        <rFont val="ＭＳ Ｐゴシック"/>
        <family val="3"/>
        <charset val="134"/>
        <scheme val="minor"/>
      </rPr>
      <t>规则农业协</t>
    </r>
    <r>
      <rPr>
        <sz val="11"/>
        <color theme="1"/>
        <rFont val="ＭＳ Ｐゴシック"/>
        <family val="3"/>
        <charset val="128"/>
        <scheme val="minor"/>
      </rPr>
      <t>会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</si>
  <si>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利口酒; 开胃酒;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</si>
  <si>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瑧美人</t>
  </si>
  <si>
    <r>
      <t>赵</t>
    </r>
    <r>
      <rPr>
        <sz val="11"/>
        <color theme="1"/>
        <rFont val="ＭＳ Ｐゴシック"/>
        <family val="3"/>
        <charset val="128"/>
        <scheme val="minor"/>
      </rPr>
      <t>文霞</t>
    </r>
  </si>
  <si>
    <r>
      <t xml:space="preserve">水果汽酒; 清酒（日本米酒）; 烈酒; 白酒; 薄荷酒;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白葡萄酒; 青稞酒; 果酒（含酒精）; 黄酒</t>
    </r>
  </si>
  <si>
    <t>武林堂</t>
  </si>
  <si>
    <r>
      <t>安徽武林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</si>
  <si>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朗姆酒; 伏特加酒; 露酒; 果酒; 威士忌</t>
    </r>
  </si>
  <si>
    <r>
      <t>雾</t>
    </r>
    <r>
      <rPr>
        <sz val="11"/>
        <color theme="1"/>
        <rFont val="ＭＳ Ｐゴシック"/>
        <family val="3"/>
        <charset val="128"/>
        <scheme val="minor"/>
      </rPr>
      <t>漫川</t>
    </r>
  </si>
  <si>
    <t>袁文惠</t>
  </si>
  <si>
    <r>
      <t>杨</t>
    </r>
    <r>
      <rPr>
        <sz val="11"/>
        <color theme="1"/>
        <rFont val="ＭＳ Ｐゴシック"/>
        <family val="3"/>
        <charset val="128"/>
        <scheme val="minor"/>
      </rPr>
      <t>梅酒; 白葡萄酒; 白酒; 青稞酒; 水果汽酒; 果酒（含酒精）; 薄荷酒; 黄酒; 烈酒; 清酒（日本米酒）</t>
    </r>
  </si>
  <si>
    <t>盛京宏泰</t>
  </si>
  <si>
    <t>沈阳盛京酒坊有限公司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</si>
  <si>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梅酒; 露酒; 日本波布蛇酒; 白酒; 白干酒（中国白酒）;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</si>
  <si>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怜白</t>
    </r>
    <r>
      <rPr>
        <sz val="11"/>
        <color theme="1"/>
        <rFont val="ＭＳ Ｐゴシック"/>
        <family val="3"/>
        <charset val="134"/>
        <scheme val="minor"/>
      </rPr>
      <t>盏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</si>
  <si>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食用酒精; 蒸煮提取物（利口酒和烈酒）;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</t>
    </r>
  </si>
  <si>
    <t>始信峰</t>
  </si>
  <si>
    <t>王双喜</t>
  </si>
  <si>
    <r>
      <t xml:space="preserve">白酒; 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</si>
  <si>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银</t>
    </r>
    <r>
      <rPr>
        <sz val="11"/>
        <color theme="1"/>
        <rFont val="ＭＳ Ｐゴシック"/>
        <family val="3"/>
        <charset val="128"/>
        <scheme val="minor"/>
      </rPr>
      <t>方印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</si>
  <si>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洋青</t>
    </r>
  </si>
  <si>
    <r>
      <t xml:space="preserve">葡萄酒;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烈酒; 苹果酒; 食用酒精; 汽酒; 果酒（含酒精）</t>
    </r>
  </si>
  <si>
    <r>
      <t>同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京学</t>
    </r>
  </si>
  <si>
    <r>
      <t xml:space="preserve">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果酒; 米酒;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</t>
    </r>
  </si>
  <si>
    <t>如精</t>
  </si>
  <si>
    <r>
      <t>广州如精国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</si>
  <si>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葡萄酒; 威士忌;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白酒</t>
    </r>
  </si>
  <si>
    <r>
      <t>赴醺</t>
    </r>
    <r>
      <rPr>
        <sz val="11"/>
        <color theme="1"/>
        <rFont val="ＭＳ Ｐゴシック"/>
        <family val="3"/>
        <charset val="134"/>
        <scheme val="minor"/>
      </rPr>
      <t>乡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</si>
  <si>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蒸煮提取物（利口酒和烈酒）;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</si>
  <si>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缘</t>
    </r>
    <r>
      <rPr>
        <sz val="11"/>
        <color theme="1"/>
        <rFont val="ＭＳ Ｐゴシック"/>
        <family val="3"/>
        <charset val="128"/>
        <scheme val="minor"/>
      </rPr>
      <t>叶</t>
    </r>
  </si>
  <si>
    <r>
      <t>福建康正隆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茶文化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</si>
  <si>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果酒（含酒精）; 汽酒; 开胃酒</t>
    </r>
  </si>
  <si>
    <r>
      <t>谈</t>
    </r>
    <r>
      <rPr>
        <sz val="11"/>
        <color theme="1"/>
        <rFont val="ＭＳ Ｐゴシック"/>
        <family val="3"/>
        <charset val="128"/>
        <scheme val="minor"/>
      </rPr>
      <t>小白</t>
    </r>
  </si>
  <si>
    <r>
      <t>谈</t>
    </r>
    <r>
      <rPr>
        <sz val="11"/>
        <color theme="1"/>
        <rFont val="ＭＳ Ｐゴシック"/>
        <family val="3"/>
        <charset val="128"/>
        <scheme val="minor"/>
      </rPr>
      <t>大志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</si>
  <si>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白酒; 米酒</t>
    </r>
  </si>
  <si>
    <r>
      <t>斟</t>
    </r>
    <r>
      <rPr>
        <sz val="11"/>
        <color theme="1"/>
        <rFont val="ＭＳ Ｐゴシック"/>
        <family val="3"/>
        <charset val="134"/>
        <scheme val="minor"/>
      </rPr>
      <t>纪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</si>
  <si>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斌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</si>
  <si>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黄酒; 威士忌; 葡萄酒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</si>
  <si>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福匠</t>
    </r>
  </si>
  <si>
    <t>萌娃生活有限公司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</si>
  <si>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葡萄酒; 米酒;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</si>
  <si>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邓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</si>
  <si>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白干酒（中国白酒）; 梨酒; 青稞酒;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</t>
    </r>
  </si>
  <si>
    <r>
      <t>邓</t>
    </r>
    <r>
      <rPr>
        <sz val="11"/>
        <color theme="1"/>
        <rFont val="ＭＳ Ｐゴシック"/>
        <family val="3"/>
        <charset val="128"/>
        <scheme val="minor"/>
      </rPr>
      <t>嘉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</si>
  <si>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梨酒; 青稞酒; 白干酒（中国白酒）;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黄酒; 利口酒</t>
    </r>
  </si>
  <si>
    <r>
      <t>禾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美</t>
    </r>
    <r>
      <rPr>
        <sz val="11"/>
        <color theme="1"/>
        <rFont val="ＭＳ Ｐゴシック"/>
        <family val="3"/>
        <charset val="134"/>
        <scheme val="minor"/>
      </rPr>
      <t>泽</t>
    </r>
  </si>
  <si>
    <r>
      <t>韩</t>
    </r>
    <r>
      <rPr>
        <sz val="11"/>
        <color theme="1"/>
        <rFont val="ＭＳ Ｐゴシック"/>
        <family val="3"/>
        <charset val="128"/>
        <scheme val="minor"/>
      </rPr>
      <t>石柱</t>
    </r>
  </si>
  <si>
    <r>
      <t>葡萄酒; 白酒;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果酒（含酒精）; 黄酒; 米酒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</si>
  <si>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听者</t>
    </r>
  </si>
  <si>
    <r>
      <t>河南众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星商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</si>
  <si>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薄荷酒; 米酒; 白酒; 威士忌; 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</si>
  <si>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横</t>
    </r>
    <r>
      <rPr>
        <sz val="11"/>
        <color theme="1"/>
        <rFont val="ＭＳ Ｐゴシック"/>
        <family val="3"/>
        <charset val="134"/>
        <scheme val="minor"/>
      </rPr>
      <t>扫</t>
    </r>
    <r>
      <rPr>
        <sz val="11"/>
        <color theme="1"/>
        <rFont val="ＭＳ Ｐゴシック"/>
        <family val="3"/>
        <charset val="128"/>
        <scheme val="minor"/>
      </rPr>
      <t>春秋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</si>
  <si>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</t>
    </r>
  </si>
  <si>
    <r>
      <t>禹</t>
    </r>
    <r>
      <rPr>
        <sz val="11"/>
        <color theme="1"/>
        <rFont val="ＭＳ Ｐゴシック"/>
        <family val="3"/>
        <charset val="134"/>
        <scheme val="minor"/>
      </rPr>
      <t>帅</t>
    </r>
  </si>
  <si>
    <r>
      <t>禹明</t>
    </r>
    <r>
      <rPr>
        <sz val="11"/>
        <color theme="1"/>
        <rFont val="ＭＳ Ｐゴシック"/>
        <family val="3"/>
        <charset val="134"/>
        <scheme val="minor"/>
      </rPr>
      <t>帅</t>
    </r>
  </si>
  <si>
    <r>
      <t>葡萄酒; 高粱酒; 米酒; 白酒; 烈酒;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果酒</t>
    </r>
  </si>
  <si>
    <t>道恩</t>
  </si>
  <si>
    <r>
      <t>国</t>
    </r>
    <r>
      <rPr>
        <sz val="11"/>
        <color theme="1"/>
        <rFont val="ＭＳ Ｐゴシック"/>
        <family val="3"/>
        <charset val="134"/>
        <scheme val="minor"/>
      </rPr>
      <t>蕴</t>
    </r>
    <r>
      <rPr>
        <sz val="11"/>
        <color theme="1"/>
        <rFont val="ＭＳ Ｐゴシック"/>
        <family val="3"/>
        <charset val="128"/>
        <scheme val="minor"/>
      </rPr>
      <t>食品科技（山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</si>
  <si>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开胃酒; 白酒; 葡萄酒; 黄酒; 高粱酒; 果酒; 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</si>
  <si>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中毅品樽</t>
  </si>
  <si>
    <r>
      <t xml:space="preserve">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烈酒; 高粱酒; 青稞酒;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</t>
    </r>
  </si>
  <si>
    <t>吉林省人参娃人参科技有限公司</t>
  </si>
  <si>
    <r>
      <t xml:space="preserve">果酒（含酒精）; 黄酒;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</t>
    </r>
  </si>
  <si>
    <r>
      <t>鹤</t>
    </r>
    <r>
      <rPr>
        <sz val="11"/>
        <color theme="1"/>
        <rFont val="ＭＳ Ｐゴシック"/>
        <family val="3"/>
        <charset val="128"/>
        <scheme val="minor"/>
      </rPr>
      <t>春秋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</si>
  <si>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</si>
  <si>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仁</t>
    </r>
    <r>
      <rPr>
        <sz val="11"/>
        <color theme="1"/>
        <rFont val="ＭＳ Ｐゴシック"/>
        <family val="3"/>
        <charset val="134"/>
        <scheme val="minor"/>
      </rPr>
      <t>酿赋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</si>
  <si>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开胃酒; 葡萄酒</t>
    </r>
  </si>
  <si>
    <r>
      <t>选</t>
    </r>
    <r>
      <rPr>
        <sz val="11"/>
        <color theme="1"/>
        <rFont val="ＭＳ Ｐゴシック"/>
        <family val="3"/>
        <charset val="128"/>
        <scheme val="minor"/>
      </rPr>
      <t>溪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</si>
  <si>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婷婷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</si>
  <si>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</si>
  <si>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黔山道</t>
  </si>
  <si>
    <r>
      <t>精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大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）啤酒有限公司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</si>
  <si>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</si>
  <si>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听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棠</t>
    </r>
  </si>
  <si>
    <t>周平</t>
  </si>
  <si>
    <r>
      <t>白酒; 清酒（日本米酒）;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</si>
  <si>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落杯年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</si>
  <si>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白酒</t>
    </r>
  </si>
  <si>
    <r>
      <t>八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姐娘</t>
    </r>
  </si>
  <si>
    <r>
      <t>廖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燕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</si>
  <si>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米酒; 葡萄酒</t>
    </r>
  </si>
  <si>
    <r>
      <t>临</t>
    </r>
    <r>
      <rPr>
        <sz val="11"/>
        <color theme="1"/>
        <rFont val="ＭＳ Ｐゴシック"/>
        <family val="3"/>
        <charset val="128"/>
        <scheme val="minor"/>
      </rPr>
      <t>黄塔</t>
    </r>
  </si>
  <si>
    <r>
      <t>山西</t>
    </r>
    <r>
      <rPr>
        <sz val="11"/>
        <color theme="1"/>
        <rFont val="ＭＳ Ｐゴシック"/>
        <family val="3"/>
        <charset val="134"/>
        <scheme val="minor"/>
      </rPr>
      <t>郑兴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</si>
  <si>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汽酒;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蜂蜜酒; 米酒; 高粱酒; 食用酒精</t>
    </r>
  </si>
  <si>
    <t>JKJK</t>
  </si>
  <si>
    <r>
      <t>新西</t>
    </r>
    <r>
      <rPr>
        <sz val="11"/>
        <color theme="1"/>
        <rFont val="ＭＳ Ｐゴシック"/>
        <family val="3"/>
        <charset val="134"/>
        <scheme val="minor"/>
      </rPr>
      <t>兰宠</t>
    </r>
    <r>
      <rPr>
        <sz val="11"/>
        <color theme="1"/>
        <rFont val="ＭＳ Ｐゴシック"/>
        <family val="3"/>
        <charset val="128"/>
        <scheme val="minor"/>
      </rPr>
      <t>物制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</si>
  <si>
    <r>
      <t xml:space="preserve">利口酒;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</si>
  <si>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塘燕山</t>
    </r>
  </si>
  <si>
    <r>
      <t>覃光</t>
    </r>
    <r>
      <rPr>
        <sz val="11"/>
        <color theme="1"/>
        <rFont val="ＭＳ Ｐゴシック"/>
        <family val="3"/>
        <charset val="134"/>
        <scheme val="minor"/>
      </rPr>
      <t>庆</t>
    </r>
  </si>
  <si>
    <r>
      <t>开胃酒;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食用酒精; 葡萄酒; 果酒（含酒精）</t>
    </r>
  </si>
  <si>
    <r>
      <t>福山</t>
    </r>
    <r>
      <rPr>
        <sz val="11"/>
        <color theme="1"/>
        <rFont val="ＭＳ Ｐゴシック"/>
        <family val="3"/>
        <charset val="134"/>
        <scheme val="minor"/>
      </rPr>
      <t>赋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</si>
  <si>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烟台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酒有限公司醴泉酒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分公司</t>
    </r>
  </si>
  <si>
    <r>
      <t xml:space="preserve">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威士忌; 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</si>
  <si>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邓</t>
    </r>
    <r>
      <rPr>
        <sz val="11"/>
        <color theme="1"/>
        <rFont val="ＭＳ Ｐゴシック"/>
        <family val="3"/>
        <charset val="128"/>
        <scheme val="minor"/>
      </rPr>
      <t>祖致富人</t>
    </r>
  </si>
  <si>
    <r>
      <t xml:space="preserve">利口酒;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白酒; 梨酒;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</t>
    </r>
  </si>
  <si>
    <r>
      <t>贰</t>
    </r>
    <r>
      <rPr>
        <sz val="11"/>
        <color theme="1"/>
        <rFont val="ＭＳ Ｐゴシック"/>
        <family val="3"/>
        <charset val="128"/>
        <scheme val="minor"/>
      </rPr>
      <t>肆禾合</t>
    </r>
  </si>
  <si>
    <r>
      <t>江西仙</t>
    </r>
    <r>
      <rPr>
        <sz val="11"/>
        <color theme="1"/>
        <rFont val="ＭＳ Ｐゴシック"/>
        <family val="3"/>
        <charset val="134"/>
        <scheme val="minor"/>
      </rPr>
      <t>风农业发</t>
    </r>
    <r>
      <rPr>
        <sz val="11"/>
        <color theme="1"/>
        <rFont val="ＭＳ Ｐゴシック"/>
        <family val="3"/>
        <charset val="128"/>
        <scheme val="minor"/>
      </rPr>
      <t>展有限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</si>
  <si>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汽酒; 甜酒; 果酒（含酒精）;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</si>
  <si>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t>翡翠玉福禄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</si>
  <si>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露酒; 烈酒; 米酒; 威士忌; 葡萄酒; 白酒</t>
    </r>
  </si>
  <si>
    <t>ONSAI</t>
  </si>
  <si>
    <r>
      <t>深圳市黛舒茵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</si>
  <si>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烈酒(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料);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食用酒精;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果酒(含酒精); 伏特加酒; 清酒(日本米酒)</t>
    </r>
  </si>
  <si>
    <r>
      <t>大拱</t>
    </r>
    <r>
      <rPr>
        <sz val="11"/>
        <color theme="1"/>
        <rFont val="ＭＳ Ｐゴシック"/>
        <family val="3"/>
        <charset val="134"/>
        <scheme val="minor"/>
      </rPr>
      <t>桥</t>
    </r>
  </si>
  <si>
    <t>蒋勤波</t>
  </si>
  <si>
    <r>
      <t>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黄酒;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</si>
  <si>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r>
      <t>深圳市特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小梅沙投</t>
    </r>
    <r>
      <rPr>
        <sz val="11"/>
        <color theme="1"/>
        <rFont val="ＭＳ Ｐゴシック"/>
        <family val="3"/>
        <charset val="134"/>
        <scheme val="minor"/>
      </rPr>
      <t>资发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</si>
  <si>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食用酒精;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含酒精的气泡水;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</si>
  <si>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木莉青</t>
  </si>
  <si>
    <t>福建建州酒厂有限公司</t>
  </si>
  <si>
    <r>
      <t xml:space="preserve">果酒（含酒精）; 清酒（日本米酒）;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</si>
  <si>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鹤骄</t>
    </r>
    <r>
      <rPr>
        <sz val="11"/>
        <color theme="1"/>
        <rFont val="ＭＳ Ｐゴシック"/>
        <family val="3"/>
        <charset val="128"/>
        <scheme val="minor"/>
      </rPr>
      <t>子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</si>
  <si>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开胃酒</t>
    </r>
  </si>
  <si>
    <r>
      <t>颂</t>
    </r>
    <r>
      <rPr>
        <sz val="11"/>
        <color theme="1"/>
        <rFont val="ＭＳ Ｐゴシック"/>
        <family val="3"/>
        <charset val="128"/>
        <scheme val="minor"/>
      </rPr>
      <t>酒明珠</t>
    </r>
  </si>
  <si>
    <r>
      <t>开胃酒; 果酒（含酒精）; 葡萄酒;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</si>
  <si>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昊子的酒友</t>
  </si>
  <si>
    <r>
      <t>董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</si>
  <si>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 xml:space="preserve">果酒（含酒精）; 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果酒; 白酒; 青稞酒;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</si>
  <si>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BFBEISINY</t>
  </si>
  <si>
    <r>
      <t>果酒（含酒精）;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蒸煮提取物（利口酒和烈酒）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</si>
  <si>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塘燕山情</t>
    </r>
  </si>
  <si>
    <r>
      <t>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汽酒; 米酒;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白酒</t>
    </r>
  </si>
  <si>
    <t>嘉鼎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</si>
  <si>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嘉</t>
    </r>
    <r>
      <rPr>
        <sz val="11"/>
        <color theme="1"/>
        <rFont val="ＭＳ Ｐゴシック"/>
        <family val="3"/>
        <charset val="134"/>
        <scheme val="minor"/>
      </rPr>
      <t>庆汇</t>
    </r>
    <r>
      <rPr>
        <sz val="11"/>
        <color theme="1"/>
        <rFont val="ＭＳ Ｐゴシック"/>
        <family val="3"/>
        <charset val="128"/>
        <scheme val="minor"/>
      </rPr>
      <t>鑫集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</si>
  <si>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伏特加酒;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茴香酒;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</si>
  <si>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泥福池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</si>
  <si>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首晶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</si>
  <si>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高粱酒;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</si>
  <si>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上海真玖供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</si>
  <si>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清酒（日本米酒）; 白葡萄酒; 开胃酒; 白酒; 黄酒</t>
    </r>
  </si>
  <si>
    <t>SDOOPY</t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</si>
  <si>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莞市金莱酒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</si>
  <si>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青稞酒;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黄酒;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</si>
  <si>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四季从容</t>
  </si>
  <si>
    <r>
      <t>湖南民族酒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</si>
  <si>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烈酒;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</si>
  <si>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傣口福</t>
  </si>
  <si>
    <r>
      <t>德宏川盈商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</si>
  <si>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高粱酒; 白酒;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</si>
  <si>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清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望舒</t>
    </r>
  </si>
  <si>
    <r>
      <t>葡萄酒; 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米酒; 食用酒精; 高粱酒; 黄酒</t>
    </r>
  </si>
  <si>
    <t>全福韵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</si>
  <si>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州醉酒醇酒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</si>
  <si>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开胃酒;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</t>
    </r>
  </si>
  <si>
    <r>
      <t>蒿</t>
    </r>
    <r>
      <rPr>
        <sz val="11"/>
        <color theme="1"/>
        <rFont val="ＭＳ Ｐゴシック"/>
        <family val="3"/>
        <charset val="134"/>
        <scheme val="minor"/>
      </rPr>
      <t>娅</t>
    </r>
    <r>
      <rPr>
        <sz val="11"/>
        <color theme="1"/>
        <rFont val="ＭＳ Ｐゴシック"/>
        <family val="3"/>
        <charset val="128"/>
        <scheme val="minor"/>
      </rPr>
      <t>俵</t>
    </r>
  </si>
  <si>
    <r>
      <t>三都水族自治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豪濉酒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</si>
  <si>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开胃酒; 蒸煮提取物（利口酒和烈酒）; 果酒（含酒精）;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</si>
  <si>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拾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露</t>
    </r>
  </si>
  <si>
    <r>
      <t>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</t>
    </r>
  </si>
  <si>
    <t>目莉青</t>
  </si>
  <si>
    <r>
      <t>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米酒; 白酒; 果酒（含酒精）; 清酒（日本米酒）;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</si>
  <si>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善</t>
    </r>
    <r>
      <rPr>
        <sz val="11"/>
        <color theme="1"/>
        <rFont val="ＭＳ Ｐゴシック"/>
        <family val="3"/>
        <charset val="134"/>
        <scheme val="minor"/>
      </rPr>
      <t>龙门</t>
    </r>
  </si>
  <si>
    <r>
      <t>果酒（含酒精）;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</t>
    </r>
  </si>
  <si>
    <r>
      <t>谭</t>
    </r>
    <r>
      <rPr>
        <sz val="11"/>
        <color theme="1"/>
        <rFont val="ＭＳ Ｐゴシック"/>
        <family val="3"/>
        <charset val="128"/>
        <scheme val="minor"/>
      </rPr>
      <t>甄十</t>
    </r>
    <r>
      <rPr>
        <sz val="11"/>
        <color theme="1"/>
        <rFont val="ＭＳ Ｐゴシック"/>
        <family val="3"/>
        <charset val="134"/>
        <scheme val="minor"/>
      </rPr>
      <t>坛</t>
    </r>
  </si>
  <si>
    <r>
      <t>谭</t>
    </r>
    <r>
      <rPr>
        <sz val="11"/>
        <color theme="1"/>
        <rFont val="ＭＳ Ｐゴシック"/>
        <family val="3"/>
        <charset val="128"/>
        <scheme val="minor"/>
      </rPr>
      <t>毅波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</si>
  <si>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苦味酒;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米酒; 葡萄酒; 开胃酒</t>
    </r>
  </si>
  <si>
    <r>
      <t>维</t>
    </r>
    <r>
      <rPr>
        <sz val="11"/>
        <color theme="1"/>
        <rFont val="ＭＳ Ｐゴシック"/>
        <family val="3"/>
        <charset val="128"/>
        <scheme val="minor"/>
      </rPr>
      <t>他美仕</t>
    </r>
  </si>
  <si>
    <t>向其</t>
  </si>
  <si>
    <r>
      <t xml:space="preserve">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青稞酒;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汽酒</t>
    </r>
  </si>
  <si>
    <t>冬后春</t>
  </si>
  <si>
    <r>
      <t>吕</t>
    </r>
    <r>
      <rPr>
        <sz val="11"/>
        <color theme="1"/>
        <rFont val="ＭＳ Ｐゴシック"/>
        <family val="3"/>
        <charset val="128"/>
        <scheme val="minor"/>
      </rPr>
      <t>梁六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花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</si>
  <si>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清酒（日本米酒）</t>
    </r>
  </si>
  <si>
    <t>嘉酉好</t>
  </si>
  <si>
    <t>魏新明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</si>
  <si>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食用酒精;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</t>
    </r>
  </si>
  <si>
    <r>
      <t>川正</t>
    </r>
    <r>
      <rPr>
        <sz val="11"/>
        <color theme="1"/>
        <rFont val="ＭＳ Ｐゴシック"/>
        <family val="3"/>
        <charset val="134"/>
        <scheme val="minor"/>
      </rPr>
      <t>浓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</si>
  <si>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州川正</t>
    </r>
    <r>
      <rPr>
        <sz val="11"/>
        <color theme="1"/>
        <rFont val="ＭＳ Ｐゴシック"/>
        <family val="3"/>
        <charset val="134"/>
        <scheme val="minor"/>
      </rPr>
      <t>浓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</si>
  <si>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利口酒;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</si>
  <si>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舒虎自在</t>
  </si>
  <si>
    <r>
      <t>上海永隆商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</si>
  <si>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</t>
    </r>
  </si>
  <si>
    <t>何小娟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</si>
  <si>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开胃酒</t>
    </r>
  </si>
  <si>
    <t>武志源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</si>
  <si>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米酒</t>
    </r>
  </si>
  <si>
    <t>尚邑杰尼斯</t>
  </si>
  <si>
    <r>
      <t>上海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翼莱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</si>
  <si>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葡萄酒;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果酒（含酒精）</t>
    </r>
  </si>
  <si>
    <r>
      <t>赋</t>
    </r>
    <r>
      <rPr>
        <sz val="11"/>
        <color theme="1"/>
        <rFont val="ＭＳ Ｐゴシック"/>
        <family val="3"/>
        <charset val="128"/>
        <scheme val="minor"/>
      </rPr>
      <t>大唐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</si>
  <si>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</si>
  <si>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君仕</t>
    </r>
    <r>
      <rPr>
        <sz val="11"/>
        <color theme="1"/>
        <rFont val="ＭＳ Ｐゴシック"/>
        <family val="3"/>
        <charset val="134"/>
        <scheme val="minor"/>
      </rPr>
      <t>缘</t>
    </r>
  </si>
  <si>
    <t>章君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</si>
  <si>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黄酒; 白酒</t>
    </r>
  </si>
  <si>
    <t>蜀泥古窖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</si>
  <si>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果酒（含酒精）; 葡萄酒; 开胃酒; 白酒; 米酒</t>
    </r>
  </si>
  <si>
    <r>
      <t>秒淼富</t>
    </r>
    <r>
      <rPr>
        <sz val="11"/>
        <color theme="1"/>
        <rFont val="ＭＳ Ｐゴシック"/>
        <family val="3"/>
        <charset val="134"/>
        <scheme val="minor"/>
      </rPr>
      <t>贡</t>
    </r>
  </si>
  <si>
    <r>
      <t>安徽聚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食品科技有限公司</t>
    </r>
  </si>
  <si>
    <r>
      <t>白酒; 葡萄酒;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威士忌; 果酒</t>
    </r>
  </si>
  <si>
    <r>
      <t>仁</t>
    </r>
    <r>
      <rPr>
        <sz val="11"/>
        <color theme="1"/>
        <rFont val="ＭＳ Ｐゴシック"/>
        <family val="3"/>
        <charset val="134"/>
        <scheme val="minor"/>
      </rPr>
      <t>酿颂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</si>
  <si>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</si>
  <si>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羿鑫</t>
  </si>
  <si>
    <r>
      <t>四川</t>
    </r>
    <r>
      <rPr>
        <sz val="11"/>
        <color theme="1"/>
        <rFont val="ＭＳ Ｐゴシック"/>
        <family val="3"/>
        <charset val="134"/>
        <scheme val="minor"/>
      </rPr>
      <t>请</t>
    </r>
    <r>
      <rPr>
        <sz val="11"/>
        <color theme="1"/>
        <rFont val="ＭＳ Ｐゴシック"/>
        <family val="3"/>
        <charset val="128"/>
        <scheme val="minor"/>
      </rPr>
      <t>君酌酒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</si>
  <si>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白酒; 白干酒（中国白酒）;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</si>
  <si>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羞羞</t>
    </r>
  </si>
  <si>
    <r>
      <t>吕宫</t>
    </r>
    <r>
      <rPr>
        <sz val="11"/>
        <color theme="1"/>
        <rFont val="ＭＳ Ｐゴシック"/>
        <family val="3"/>
        <charset val="128"/>
        <scheme val="minor"/>
      </rPr>
      <t>（海南）投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</si>
  <si>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葡萄酒; 利口酒;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</t>
    </r>
  </si>
  <si>
    <r>
      <t>梦</t>
    </r>
    <r>
      <rPr>
        <sz val="11"/>
        <color theme="1"/>
        <rFont val="ＭＳ Ｐゴシック"/>
        <family val="3"/>
        <charset val="134"/>
        <scheme val="minor"/>
      </rPr>
      <t>迟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</si>
  <si>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梅酒; 白葡萄酒; 烈酒; 白酒; 水果汽酒; 青稞酒; 清酒（日本米酒）; 果酒（含酒精）; 薄荷酒; 黄酒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</si>
  <si>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安唐菓</t>
    </r>
    <r>
      <rPr>
        <sz val="11"/>
        <color theme="1"/>
        <rFont val="ＭＳ Ｐゴシック"/>
        <family val="3"/>
        <charset val="134"/>
        <scheme val="minor"/>
      </rPr>
      <t>赋</t>
    </r>
  </si>
  <si>
    <r>
      <t>施克（北京)国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家居文化有限公司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</si>
  <si>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葡萄酒; 白酒;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</si>
  <si>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启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</si>
  <si>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>海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瑞航商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</si>
  <si>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蒸煮提取物（利口酒和烈酒）</t>
    </r>
  </si>
  <si>
    <t>武林大会</t>
  </si>
  <si>
    <r>
      <t xml:space="preserve">果酒; 露酒; 葡萄酒; 烈酒;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朗姆酒; 白酒</t>
    </r>
  </si>
  <si>
    <r>
      <t>万</t>
    </r>
    <r>
      <rPr>
        <sz val="11"/>
        <color theme="1"/>
        <rFont val="ＭＳ Ｐゴシック"/>
        <family val="3"/>
        <charset val="134"/>
        <scheme val="minor"/>
      </rPr>
      <t>啸</t>
    </r>
  </si>
  <si>
    <t>杜治涛</t>
  </si>
  <si>
    <r>
      <t xml:space="preserve">黄酒;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葡萄酒; 威士忌;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</si>
  <si>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麒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舌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</si>
  <si>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肇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市鼎和国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</si>
  <si>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舌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</si>
  <si>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BLUE KYLIN AGAVE</t>
  </si>
  <si>
    <t>董仲舒王府</t>
  </si>
  <si>
    <t>王余生******************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</si>
  <si>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</t>
    </r>
  </si>
  <si>
    <t>坤潭</t>
  </si>
  <si>
    <t>胡垠盈</t>
  </si>
  <si>
    <r>
      <t xml:space="preserve">果酒（含酒精）;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</si>
  <si>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宗川</t>
  </si>
  <si>
    <r>
      <t>山西杏花元盛泉酒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</si>
  <si>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果酒（含酒精）;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</si>
  <si>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市因吹四挺影</t>
    </r>
    <r>
      <rPr>
        <sz val="11"/>
        <color theme="1"/>
        <rFont val="ＭＳ Ｐゴシック"/>
        <family val="3"/>
        <charset val="134"/>
        <scheme val="minor"/>
      </rPr>
      <t>视</t>
    </r>
    <r>
      <rPr>
        <sz val="11"/>
        <color theme="1"/>
        <rFont val="ＭＳ Ｐゴシック"/>
        <family val="3"/>
        <charset val="128"/>
        <scheme val="minor"/>
      </rPr>
      <t>文化工作室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</si>
  <si>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果酒; 威士忌; 朗姆酒;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葡萄酒; 清酒</t>
    </r>
  </si>
  <si>
    <r>
      <t>象子茶</t>
    </r>
    <r>
      <rPr>
        <sz val="11"/>
        <color theme="1"/>
        <rFont val="ＭＳ Ｐゴシック"/>
        <family val="3"/>
        <charset val="134"/>
        <scheme val="minor"/>
      </rPr>
      <t>铺</t>
    </r>
  </si>
  <si>
    <t>王茜茜******************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</si>
  <si>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黄酒; 果酒（含酒精）;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</si>
  <si>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闰</t>
    </r>
    <r>
      <rPr>
        <sz val="11"/>
        <color theme="1"/>
        <rFont val="ＭＳ Ｐゴシック"/>
        <family val="3"/>
        <charset val="128"/>
        <scheme val="minor"/>
      </rPr>
      <t>城八景</t>
    </r>
  </si>
  <si>
    <r>
      <t>唐山市豹子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</si>
  <si>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烈酒; 露酒; 果酒; 白酒; 米酒;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餐后酒（利口酒和烈酒）;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</si>
  <si>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湖南省笑笑食品有限公司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</si>
  <si>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伏特加酒; 黄酒; 葡萄酒; 果酒（含酒精）</t>
    </r>
  </si>
  <si>
    <t>客来达</t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</si>
  <si>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市克来达餐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</si>
  <si>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薄荷酒;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烈性干酒; 高粱酒;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威士忌;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</si>
  <si>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胡</t>
    </r>
    <r>
      <rPr>
        <sz val="11"/>
        <color theme="1"/>
        <rFont val="ＭＳ Ｐゴシック"/>
        <family val="3"/>
        <charset val="134"/>
        <scheme val="minor"/>
      </rPr>
      <t>贝</t>
    </r>
    <r>
      <rPr>
        <sz val="11"/>
        <color theme="1"/>
        <rFont val="ＭＳ Ｐゴシック"/>
        <family val="3"/>
        <charset val="128"/>
        <scheme val="minor"/>
      </rPr>
      <t>儿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己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</si>
  <si>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</si>
  <si>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葡萄酒; 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含酒精的气泡水;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</si>
  <si>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威士忌; 高粱酒;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</si>
  <si>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烽烟</t>
  </si>
  <si>
    <t>方李昆</t>
  </si>
  <si>
    <r>
      <t xml:space="preserve">烈酒;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黄酒; 白酒; 高粱酒; 餐后酒（利口酒和烈酒）; 葡萄酒; 米酒</t>
    </r>
  </si>
  <si>
    <r>
      <t>谦</t>
    </r>
    <r>
      <rPr>
        <sz val="11"/>
        <color theme="1"/>
        <rFont val="ＭＳ Ｐゴシック"/>
        <family val="3"/>
        <charset val="128"/>
        <scheme val="minor"/>
      </rPr>
      <t>菲庄园</t>
    </r>
  </si>
  <si>
    <r>
      <t>深圳市柏菲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</si>
  <si>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朗姆酒; 果酒（含酒精）; 汽酒;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伏特加酒; 葡萄酒</t>
    </r>
  </si>
  <si>
    <t>TONGHUASHAN.COM</t>
  </si>
  <si>
    <r>
      <t>四川地方印象文化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</si>
  <si>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利口酒; 白酒; 烈酒; 黄酒; 米酒; 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</si>
  <si>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祥</t>
    </r>
    <r>
      <rPr>
        <sz val="11"/>
        <color theme="1"/>
        <rFont val="ＭＳ Ｐゴシック"/>
        <family val="3"/>
        <charset val="134"/>
        <scheme val="minor"/>
      </rPr>
      <t>鲲</t>
    </r>
    <r>
      <rPr>
        <sz val="11"/>
        <color theme="1"/>
        <rFont val="ＭＳ Ｐゴシック"/>
        <family val="3"/>
        <charset val="128"/>
        <scheme val="minor"/>
      </rPr>
      <t>和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</si>
  <si>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>孙颖</t>
    </r>
    <r>
      <rPr>
        <sz val="11"/>
        <color theme="1"/>
        <rFont val="ＭＳ Ｐゴシック"/>
        <family val="3"/>
        <charset val="128"/>
        <scheme val="minor"/>
      </rPr>
      <t>州</t>
    </r>
  </si>
  <si>
    <r>
      <t>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威士忌; 朗姆酒; 黄酒; 果酒（含酒精）; 食用酒精; 葡萄酒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</si>
  <si>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吟天下</t>
    </r>
  </si>
  <si>
    <r>
      <t xml:space="preserve">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高粱酒; 白酒; 果酒（含酒精）; 葡萄酒; 露酒; 米酒; 烈酒</t>
    </r>
  </si>
  <si>
    <t>季周文化</t>
  </si>
  <si>
    <t>宁波季周文化有限公司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</si>
  <si>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白酒; 蜂蜜酒; 黄酒</t>
    </r>
  </si>
  <si>
    <r>
      <t>乎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人酒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</si>
  <si>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白干酒（中国白酒）; 蒸煮提取物（利口酒和烈酒）;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</si>
  <si>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MASAN CONSUMER</t>
  </si>
  <si>
    <r>
      <t>玛</t>
    </r>
    <r>
      <rPr>
        <sz val="11"/>
        <color theme="1"/>
        <rFont val="ＭＳ Ｐゴシック"/>
        <family val="3"/>
        <charset val="128"/>
        <scheme val="minor"/>
      </rPr>
      <t>杉消</t>
    </r>
    <r>
      <rPr>
        <sz val="11"/>
        <color theme="1"/>
        <rFont val="ＭＳ Ｐゴシック"/>
        <family val="3"/>
        <charset val="134"/>
        <scheme val="minor"/>
      </rPr>
      <t>费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</si>
  <si>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</si>
  <si>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斋</t>
    </r>
    <r>
      <rPr>
        <sz val="11"/>
        <color theme="1"/>
        <rFont val="ＭＳ Ｐゴシック"/>
        <family val="3"/>
        <charset val="128"/>
        <scheme val="minor"/>
      </rPr>
      <t>小六</t>
    </r>
  </si>
  <si>
    <r>
      <t>汕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市若烔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</si>
  <si>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伏特加酒;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</si>
  <si>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慧</t>
    </r>
    <r>
      <rPr>
        <sz val="11"/>
        <color theme="1"/>
        <rFont val="ＭＳ Ｐゴシック"/>
        <family val="3"/>
        <charset val="134"/>
        <scheme val="minor"/>
      </rPr>
      <t>蕴</t>
    </r>
    <r>
      <rPr>
        <sz val="11"/>
        <color theme="1"/>
        <rFont val="ＭＳ Ｐゴシック"/>
        <family val="3"/>
        <charset val="128"/>
        <scheme val="minor"/>
      </rPr>
      <t>唅春</t>
    </r>
  </si>
  <si>
    <r>
      <t>段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其</t>
    </r>
  </si>
  <si>
    <r>
      <t xml:space="preserve">开胃酒;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薄荷酒;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</t>
    </r>
  </si>
  <si>
    <r>
      <t>极兔速</t>
    </r>
    <r>
      <rPr>
        <sz val="11"/>
        <color theme="1"/>
        <rFont val="ＭＳ Ｐゴシック"/>
        <family val="3"/>
        <charset val="134"/>
        <scheme val="minor"/>
      </rPr>
      <t>递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</si>
  <si>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蜂蜜酒;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果酒（含酒精）;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朗姆酒; 白酒</t>
    </r>
  </si>
  <si>
    <t>美养延</t>
  </si>
  <si>
    <t>姚狄</t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</si>
  <si>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果酒;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威士忌</t>
    </r>
  </si>
  <si>
    <r>
      <t>清溪</t>
    </r>
    <r>
      <rPr>
        <sz val="11"/>
        <color theme="1"/>
        <rFont val="ＭＳ Ｐゴシック"/>
        <family val="3"/>
        <charset val="134"/>
        <scheme val="minor"/>
      </rPr>
      <t>润泽</t>
    </r>
    <r>
      <rPr>
        <sz val="11"/>
        <color theme="1"/>
        <rFont val="ＭＳ Ｐゴシック"/>
        <family val="3"/>
        <charset val="128"/>
        <scheme val="minor"/>
      </rPr>
      <t>源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</si>
  <si>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</t>
    </r>
    <r>
      <rPr>
        <sz val="11"/>
        <color theme="1"/>
        <rFont val="ＭＳ Ｐゴシック"/>
        <family val="3"/>
        <charset val="134"/>
        <scheme val="minor"/>
      </rPr>
      <t>润泽</t>
    </r>
    <r>
      <rPr>
        <sz val="11"/>
        <color theme="1"/>
        <rFont val="ＭＳ Ｐゴシック"/>
        <family val="3"/>
        <charset val="128"/>
        <scheme val="minor"/>
      </rPr>
      <t>源</t>
    </r>
    <r>
      <rPr>
        <sz val="11"/>
        <color theme="1"/>
        <rFont val="ＭＳ Ｐゴシック"/>
        <family val="3"/>
        <charset val="134"/>
        <scheme val="minor"/>
      </rPr>
      <t>农业专业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</si>
  <si>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汽酒; 梅酒; 米酒</t>
    </r>
  </si>
  <si>
    <r>
      <t>月云</t>
    </r>
    <r>
      <rPr>
        <sz val="11"/>
        <color theme="1"/>
        <rFont val="ＭＳ Ｐゴシック"/>
        <family val="3"/>
        <charset val="134"/>
        <scheme val="minor"/>
      </rPr>
      <t>阁</t>
    </r>
  </si>
  <si>
    <r>
      <t>舒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科</t>
    </r>
  </si>
  <si>
    <r>
      <t xml:space="preserve">果酒（含酒精）;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</si>
  <si>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三百山</t>
    </r>
    <r>
      <rPr>
        <sz val="11"/>
        <color theme="1"/>
        <rFont val="ＭＳ Ｐゴシック"/>
        <family val="3"/>
        <charset val="134"/>
        <scheme val="minor"/>
      </rPr>
      <t>赣</t>
    </r>
    <r>
      <rPr>
        <sz val="11"/>
        <color theme="1"/>
        <rFont val="ＭＳ Ｐゴシック"/>
        <family val="3"/>
        <charset val="128"/>
        <scheme val="minor"/>
      </rPr>
      <t>巨人</t>
    </r>
  </si>
  <si>
    <r>
      <t>江西</t>
    </r>
    <r>
      <rPr>
        <sz val="11"/>
        <color theme="1"/>
        <rFont val="ＭＳ Ｐゴシック"/>
        <family val="3"/>
        <charset val="134"/>
        <scheme val="minor"/>
      </rPr>
      <t>陨</t>
    </r>
    <r>
      <rPr>
        <sz val="11"/>
        <color theme="1"/>
        <rFont val="ＭＳ Ｐゴシック"/>
        <family val="3"/>
        <charset val="128"/>
        <scheme val="minor"/>
      </rPr>
      <t>石健康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</si>
  <si>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</si>
  <si>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t>水金云</t>
  </si>
  <si>
    <r>
      <t>邹</t>
    </r>
    <r>
      <rPr>
        <sz val="11"/>
        <color theme="1"/>
        <rFont val="ＭＳ Ｐゴシック"/>
        <family val="3"/>
        <charset val="128"/>
        <scheme val="minor"/>
      </rPr>
      <t>春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</si>
  <si>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食用酒精;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果酒（含酒精）;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</si>
  <si>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天下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</si>
  <si>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高粱酒; 烈酒; 餐后酒（利口酒和烈酒）; 米酒; 白酒; 露酒; 果酒（含酒精）; 葡萄酒; 黄酒</t>
    </r>
  </si>
  <si>
    <t>嫩江湖畔</t>
  </si>
  <si>
    <r>
      <t>叶</t>
    </r>
    <r>
      <rPr>
        <sz val="11"/>
        <color theme="1"/>
        <rFont val="ＭＳ Ｐゴシック"/>
        <family val="3"/>
        <charset val="134"/>
        <scheme val="minor"/>
      </rPr>
      <t>谨</t>
    </r>
    <r>
      <rPr>
        <sz val="11"/>
        <color theme="1"/>
        <rFont val="ＭＳ Ｐゴシック"/>
        <family val="3"/>
        <charset val="128"/>
        <scheme val="minor"/>
      </rPr>
      <t>言（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莞市）精</t>
    </r>
    <r>
      <rPr>
        <sz val="11"/>
        <color theme="1"/>
        <rFont val="ＭＳ Ｐゴシック"/>
        <family val="3"/>
        <charset val="134"/>
        <scheme val="minor"/>
      </rPr>
      <t>细</t>
    </r>
    <r>
      <rPr>
        <sz val="11"/>
        <color theme="1"/>
        <rFont val="ＭＳ Ｐゴシック"/>
        <family val="3"/>
        <charset val="128"/>
        <scheme val="minor"/>
      </rPr>
      <t>化工有限公司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</si>
  <si>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利口酒</t>
    </r>
  </si>
  <si>
    <r>
      <t>忍</t>
    </r>
    <r>
      <rPr>
        <sz val="11"/>
        <color theme="1"/>
        <rFont val="ＭＳ Ｐゴシック"/>
        <family val="3"/>
        <charset val="134"/>
        <scheme val="minor"/>
      </rPr>
      <t>经</t>
    </r>
  </si>
  <si>
    <t>毛亮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</si>
  <si>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</si>
  <si>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己享</t>
  </si>
  <si>
    <t>丁朋</t>
  </si>
  <si>
    <r>
      <t>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</si>
  <si>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文瀛杏源酒</t>
  </si>
  <si>
    <r>
      <t>山西杏花源酒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</si>
  <si>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果酒（含酒精）; 露酒; 利口酒;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清酒; 葡萄酒</t>
    </r>
  </si>
  <si>
    <t>老凰侯</t>
  </si>
  <si>
    <t>江佳平</t>
  </si>
  <si>
    <r>
      <t>果酒（含酒精）; 清酒（日本米酒）; 烈酒;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黄酒; 葡萄酒; 白酒</t>
    </r>
  </si>
  <si>
    <r>
      <t>兴</t>
    </r>
    <r>
      <rPr>
        <sz val="11"/>
        <color theme="1"/>
        <rFont val="ＭＳ Ｐゴシック"/>
        <family val="3"/>
        <charset val="128"/>
        <scheme val="minor"/>
      </rPr>
      <t>瓮</t>
    </r>
    <r>
      <rPr>
        <sz val="11"/>
        <color theme="1"/>
        <rFont val="ＭＳ Ｐゴシック"/>
        <family val="3"/>
        <charset val="134"/>
        <scheme val="minor"/>
      </rPr>
      <t>飞练</t>
    </r>
  </si>
  <si>
    <r>
      <t>瓮安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瓮酒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</si>
  <si>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食用酒精;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米酒; 黄酒</t>
    </r>
  </si>
  <si>
    <r>
      <t>鹤</t>
    </r>
    <r>
      <rPr>
        <sz val="11"/>
        <color theme="1"/>
        <rFont val="ＭＳ Ｐゴシック"/>
        <family val="3"/>
        <charset val="128"/>
        <scheme val="minor"/>
      </rPr>
      <t>二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</si>
  <si>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西八安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</si>
  <si>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</si>
  <si>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龙啸</t>
    </r>
    <r>
      <rPr>
        <sz val="11"/>
        <color theme="1"/>
        <rFont val="ＭＳ Ｐゴシック"/>
        <family val="3"/>
        <charset val="128"/>
        <scheme val="minor"/>
      </rPr>
      <t>天下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</si>
  <si>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黄酒; 白酒; 露酒; 高粱酒; 果酒（含酒精）; 米酒; 烈酒; 葡萄酒</t>
    </r>
  </si>
  <si>
    <t>王佳俊******************</t>
  </si>
  <si>
    <r>
      <t xml:space="preserve">烈酒; 葡萄酒; 高粱酒;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</t>
    </r>
  </si>
  <si>
    <t>昂立方</t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</si>
  <si>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吉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</si>
  <si>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青稞酒; 米酒; 蒸煮提取物（利口酒和烈酒）; 烈酒;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果酒（含酒精）</t>
    </r>
  </si>
  <si>
    <t>唐宣公</t>
  </si>
  <si>
    <t>宣宁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</si>
  <si>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米酒; 开胃酒;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</si>
  <si>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荷状元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</si>
  <si>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开胃酒</t>
    </r>
  </si>
  <si>
    <t>南江江</t>
  </si>
  <si>
    <r>
      <t>衡水峰</t>
    </r>
    <r>
      <rPr>
        <sz val="11"/>
        <color theme="1"/>
        <rFont val="ＭＳ Ｐゴシック"/>
        <family val="3"/>
        <charset val="134"/>
        <scheme val="minor"/>
      </rPr>
      <t>窝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</si>
  <si>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烈酒;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果酒; 黄酒; 米酒</t>
    </r>
  </si>
  <si>
    <t>知山人</t>
  </si>
  <si>
    <r>
      <t>巩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</si>
  <si>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梅酒;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</si>
  <si>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己境</t>
  </si>
  <si>
    <r>
      <t>葡萄酒;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</t>
    </r>
  </si>
  <si>
    <r>
      <t>SHYIRE 率</t>
    </r>
    <r>
      <rPr>
        <sz val="11"/>
        <color theme="1"/>
        <rFont val="ＭＳ Ｐゴシック"/>
        <family val="3"/>
        <charset val="134"/>
        <scheme val="minor"/>
      </rPr>
      <t>尔</t>
    </r>
  </si>
  <si>
    <r>
      <t>率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（深圳）数</t>
    </r>
    <r>
      <rPr>
        <sz val="11"/>
        <color theme="1"/>
        <rFont val="ＭＳ Ｐゴシック"/>
        <family val="3"/>
        <charset val="134"/>
        <scheme val="minor"/>
      </rPr>
      <t>码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</si>
  <si>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威士忌; 葡萄酒;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</si>
  <si>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敢派</t>
  </si>
  <si>
    <t>阿西体布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</si>
  <si>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食用酒精;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</si>
  <si>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聚福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阳</t>
    </r>
  </si>
  <si>
    <t>刘丹利</t>
  </si>
  <si>
    <r>
      <t>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青稞酒; 清酒; 烈酒</t>
    </r>
  </si>
  <si>
    <r>
      <t>金六福福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花开</t>
    </r>
  </si>
  <si>
    <r>
      <t>云南金六福投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</si>
  <si>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葡萄酒; 威士忌;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</si>
  <si>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BOHRBO DUO KEN</t>
  </si>
  <si>
    <r>
      <t>波多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（深圳）有限公司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</si>
  <si>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葡萄酒; 伏特加酒;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</t>
    </r>
  </si>
  <si>
    <r>
      <t>美</t>
    </r>
    <r>
      <rPr>
        <sz val="11"/>
        <color theme="1"/>
        <rFont val="ＭＳ Ｐゴシック"/>
        <family val="3"/>
        <charset val="129"/>
        <scheme val="minor"/>
      </rPr>
      <t>伢</t>
    </r>
    <r>
      <rPr>
        <sz val="11"/>
        <color theme="1"/>
        <rFont val="ＭＳ Ｐゴシック"/>
        <family val="3"/>
        <charset val="128"/>
        <scheme val="minor"/>
      </rPr>
      <t>家</t>
    </r>
  </si>
  <si>
    <t>广州晨美食品有限公司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</si>
  <si>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葡萄酒;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果酒（含酒精）; 利口酒;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</si>
  <si>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开心木</t>
  </si>
  <si>
    <t>余培林******************</t>
  </si>
  <si>
    <r>
      <t xml:space="preserve">白酒; 葡萄酒; 水果汽酒; 黄酒; 青稞酒; 清酒;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</t>
    </r>
  </si>
  <si>
    <t>朱仙酒庄</t>
  </si>
  <si>
    <r>
      <t>河南豫游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</si>
  <si>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米酒;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高粱酒</t>
    </r>
  </si>
  <si>
    <t>刈淮</t>
  </si>
  <si>
    <t>段耀</t>
  </si>
  <si>
    <r>
      <t>黄酒; 米酒; 食用酒精;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</si>
  <si>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桑步嘉</t>
  </si>
  <si>
    <r>
      <t>不起泡葡萄酒; 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葡萄汽酒; 甜酒;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</t>
    </r>
  </si>
  <si>
    <r>
      <t>芜</t>
    </r>
    <r>
      <rPr>
        <sz val="11"/>
        <color theme="1"/>
        <rFont val="ＭＳ Ｐゴシック"/>
        <family val="3"/>
        <charset val="128"/>
        <scheme val="minor"/>
      </rPr>
      <t>湖品悦商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</si>
  <si>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</si>
  <si>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写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河</t>
    </r>
  </si>
  <si>
    <t>王恒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</si>
  <si>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餐后酒（利口酒和烈酒）;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</si>
  <si>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岳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河</t>
    </r>
  </si>
  <si>
    <t>刘嘉星</t>
  </si>
  <si>
    <r>
      <t xml:space="preserve">黄酒; 白酒;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</si>
  <si>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元周礼</t>
  </si>
  <si>
    <t>周震杰</t>
  </si>
  <si>
    <r>
      <t>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白酒; 葡萄酒; 梨酒; 含酒精的气泡水;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</si>
  <si>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府之</t>
    </r>
    <r>
      <rPr>
        <sz val="11"/>
        <color theme="1"/>
        <rFont val="ＭＳ Ｐゴシック"/>
        <family val="3"/>
        <charset val="129"/>
        <scheme val="minor"/>
      </rPr>
      <t>优</t>
    </r>
  </si>
  <si>
    <r>
      <t>滨</t>
    </r>
    <r>
      <rPr>
        <sz val="11"/>
        <color theme="1"/>
        <rFont val="ＭＳ Ｐゴシック"/>
        <family val="3"/>
        <charset val="128"/>
        <scheme val="minor"/>
      </rPr>
      <t>州市嘉林食品有限公司</t>
    </r>
  </si>
  <si>
    <r>
      <t>青梅酒;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酸酒（低等葡萄酒）;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白干酒（中国白酒）</t>
    </r>
  </si>
  <si>
    <r>
      <t>鹤</t>
    </r>
    <r>
      <rPr>
        <sz val="11"/>
        <color theme="1"/>
        <rFont val="ＭＳ Ｐゴシック"/>
        <family val="3"/>
        <charset val="128"/>
        <scheme val="minor"/>
      </rPr>
      <t>瑶台</t>
    </r>
  </si>
  <si>
    <r>
      <t>开胃酒;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</si>
  <si>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晓</t>
    </r>
    <r>
      <rPr>
        <sz val="11"/>
        <color theme="1"/>
        <rFont val="ＭＳ Ｐゴシック"/>
        <family val="3"/>
        <charset val="128"/>
        <scheme val="minor"/>
      </rPr>
      <t>山藏</t>
    </r>
  </si>
  <si>
    <r>
      <t>睿尚和供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科技（北京）有限公司</t>
    </r>
  </si>
  <si>
    <r>
      <t>蒸煮提取物（利口酒和烈酒）;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果酒（含酒精）; 开胃酒; 白酒; 汽酒</t>
    </r>
  </si>
  <si>
    <r>
      <t>忆</t>
    </r>
    <r>
      <rPr>
        <sz val="11"/>
        <color theme="1"/>
        <rFont val="ＭＳ Ｐゴシック"/>
        <family val="3"/>
        <charset val="128"/>
        <scheme val="minor"/>
      </rPr>
      <t>十八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</si>
  <si>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沙上通文化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</si>
  <si>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白干酒（中国白酒）; 果酒（含酒精）</t>
    </r>
  </si>
  <si>
    <t>SMOU</t>
  </si>
  <si>
    <r>
      <t>德国奇</t>
    </r>
    <r>
      <rPr>
        <sz val="11"/>
        <color theme="1"/>
        <rFont val="ＭＳ Ｐゴシック"/>
        <family val="3"/>
        <charset val="134"/>
        <scheme val="minor"/>
      </rPr>
      <t>丽贸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</si>
  <si>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葡萄酒; 开胃酒; 白干酒（中国白酒）; 白酒</t>
    </r>
  </si>
  <si>
    <t>底洞</t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</si>
  <si>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金曲村酒坊有限公司</t>
    </r>
  </si>
  <si>
    <r>
      <t xml:space="preserve">果酒（含酒精）; 白干酒（中国白酒）; 白酒; 葡萄酒;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蜂蜜酒</t>
    </r>
  </si>
  <si>
    <r>
      <t>玺</t>
    </r>
    <r>
      <rPr>
        <sz val="11"/>
        <color theme="1"/>
        <rFont val="ＭＳ Ｐゴシック"/>
        <family val="3"/>
        <charset val="128"/>
        <scheme val="minor"/>
      </rPr>
      <t>双祥</t>
    </r>
  </si>
  <si>
    <t>塔拉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</si>
  <si>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含酒精的气泡水;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</si>
  <si>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杞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森</t>
    </r>
  </si>
  <si>
    <r>
      <t>党高</t>
    </r>
    <r>
      <rPr>
        <sz val="11"/>
        <color theme="1"/>
        <rFont val="ＭＳ Ｐゴシック"/>
        <family val="3"/>
        <charset val="134"/>
        <scheme val="minor"/>
      </rPr>
      <t>锋</t>
    </r>
  </si>
  <si>
    <r>
      <t>食用酒精; 葡萄酒; 米酒;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黄酒</t>
    </r>
  </si>
  <si>
    <t>朱仙老</t>
  </si>
  <si>
    <r>
      <t>果酒;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</t>
    </r>
  </si>
  <si>
    <r>
      <t>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仙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</si>
  <si>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艾森</t>
    </r>
    <r>
      <rPr>
        <sz val="11"/>
        <color theme="1"/>
        <rFont val="ＭＳ Ｐゴシック"/>
        <family val="3"/>
        <charset val="134"/>
        <scheme val="minor"/>
      </rPr>
      <t>维尔</t>
    </r>
    <r>
      <rPr>
        <sz val="11"/>
        <color theme="1"/>
        <rFont val="ＭＳ Ｐゴシック"/>
        <family val="3"/>
        <charset val="128"/>
        <scheme val="minor"/>
      </rPr>
      <t>（北京）蜂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</si>
  <si>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白葡萄酒; 草本型利口酒;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 xml:space="preserve">族米酒;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咖啡利口酒; 甜酒; 米酒</t>
    </r>
  </si>
  <si>
    <t>蒲孃孃</t>
  </si>
  <si>
    <r>
      <t>田</t>
    </r>
    <r>
      <rPr>
        <sz val="11"/>
        <color theme="1"/>
        <rFont val="ＭＳ Ｐゴシック"/>
        <family val="3"/>
        <charset val="134"/>
        <scheme val="minor"/>
      </rPr>
      <t>兴华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</si>
  <si>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汽酒; 葡萄酒; 果酒; 白酒; 黄酒</t>
    </r>
  </si>
  <si>
    <t>垠城八景</t>
  </si>
  <si>
    <r>
      <t xml:space="preserve">米酒; 烈酒; 餐后酒（利口酒和烈酒）;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葡萄酒; 伏特加酒; 白酒</t>
    </r>
  </si>
  <si>
    <t>翠袖</t>
  </si>
  <si>
    <r>
      <t>怀</t>
    </r>
    <r>
      <rPr>
        <sz val="11"/>
        <color theme="1"/>
        <rFont val="ＭＳ Ｐゴシック"/>
        <family val="3"/>
        <charset val="128"/>
        <scheme val="minor"/>
      </rPr>
      <t>来森雅商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</si>
  <si>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青梅酒; 白酒; 利口酒;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葡萄汽酒;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</si>
  <si>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恭福清花</t>
  </si>
  <si>
    <r>
      <t>龙</t>
    </r>
    <r>
      <rPr>
        <sz val="11"/>
        <color theme="1"/>
        <rFont val="ＭＳ Ｐゴシック"/>
        <family val="3"/>
        <charset val="128"/>
        <scheme val="minor"/>
      </rPr>
      <t>柏尚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</si>
  <si>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黄酒</t>
    </r>
  </si>
  <si>
    <r>
      <t>三花</t>
    </r>
    <r>
      <rPr>
        <sz val="11"/>
        <color theme="1"/>
        <rFont val="ＭＳ Ｐゴシック"/>
        <family val="3"/>
        <charset val="134"/>
        <scheme val="minor"/>
      </rPr>
      <t>树</t>
    </r>
  </si>
  <si>
    <r>
      <t>果酒（含酒精）;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</si>
  <si>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葡萄酒; 白酒; 威士忌;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</si>
  <si>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高黍黄</t>
  </si>
  <si>
    <r>
      <t>济</t>
    </r>
    <r>
      <rPr>
        <sz val="11"/>
        <color theme="1"/>
        <rFont val="ＭＳ Ｐゴシック"/>
        <family val="3"/>
        <charset val="128"/>
        <scheme val="minor"/>
      </rPr>
      <t>南网特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</si>
  <si>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葡萄酒; 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</si>
  <si>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战纪</t>
  </si>
  <si>
    <t>蒋开友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</si>
  <si>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葡萄酒; 黄酒; 米酒;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</si>
  <si>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刈</t>
    </r>
    <r>
      <rPr>
        <sz val="11"/>
        <color theme="1"/>
        <rFont val="ＭＳ Ｐゴシック"/>
        <family val="3"/>
        <charset val="134"/>
        <scheme val="minor"/>
      </rPr>
      <t>汉</t>
    </r>
  </si>
  <si>
    <r>
      <t>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</t>
    </r>
  </si>
  <si>
    <t>升云渡</t>
  </si>
  <si>
    <r>
      <t xml:space="preserve">餐后酒（利口酒和烈酒）; 黄酒; 烈酒; 米酒; 露酒; 白酒; 果酒（含酒精）; 葡萄酒;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</si>
  <si>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万</t>
    </r>
    <r>
      <rPr>
        <sz val="11"/>
        <color theme="1"/>
        <rFont val="ＭＳ Ｐゴシック"/>
        <family val="3"/>
        <charset val="134"/>
        <scheme val="minor"/>
      </rPr>
      <t>柠</t>
    </r>
  </si>
  <si>
    <t>海南逗留文化有限公司</t>
  </si>
  <si>
    <r>
      <t xml:space="preserve">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</si>
  <si>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THE BREEZE BROTHERS</t>
  </si>
  <si>
    <r>
      <t>宿迁凡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</si>
  <si>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威士忌;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</si>
  <si>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恪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尊</t>
    </r>
    <r>
      <rPr>
        <sz val="11"/>
        <color theme="1"/>
        <rFont val="ＭＳ Ｐゴシック"/>
        <family val="3"/>
        <charset val="134"/>
        <scheme val="minor"/>
      </rPr>
      <t>蓝</t>
    </r>
  </si>
  <si>
    <r>
      <t>武安市德文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</si>
  <si>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高粱酒; 利口酒; 白酒; 干型苹果酒;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</si>
  <si>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弛文武</t>
    </r>
  </si>
  <si>
    <r>
      <t xml:space="preserve">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</si>
  <si>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飞涧</t>
  </si>
  <si>
    <r>
      <t>王双</t>
    </r>
    <r>
      <rPr>
        <sz val="11"/>
        <color theme="1"/>
        <rFont val="ＭＳ Ｐゴシック"/>
        <family val="3"/>
        <charset val="134"/>
        <scheme val="minor"/>
      </rPr>
      <t>宾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</si>
  <si>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开胃酒; 果酒; 白酒</t>
    </r>
  </si>
  <si>
    <t>SUNB</t>
  </si>
  <si>
    <r>
      <t>刘旭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</si>
  <si>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伏特加酒; 果酒（含酒精）; 葡萄酒; 白酒</t>
    </r>
  </si>
  <si>
    <r>
      <t>恪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尊雅</t>
    </r>
  </si>
  <si>
    <r>
      <t>干型苹果酒;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利口酒; 白酒;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</si>
  <si>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LOUIS FABEL</t>
  </si>
  <si>
    <t>李涛</t>
  </si>
  <si>
    <r>
      <t>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汽酒; 葡萄酒;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</si>
  <si>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r>
      <t>特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敏佳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</si>
  <si>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圣桐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养食品有限公司</t>
    </r>
  </si>
  <si>
    <r>
      <t>葡萄酒;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</si>
  <si>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满长</t>
    </r>
    <r>
      <rPr>
        <sz val="11"/>
        <color theme="1"/>
        <rFont val="ＭＳ Ｐゴシック"/>
        <family val="3"/>
        <charset val="128"/>
        <scheme val="minor"/>
      </rPr>
      <t>河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</si>
  <si>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白酒; 餐后酒（利口酒和烈酒）;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</si>
  <si>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融与中</t>
  </si>
  <si>
    <r>
      <t>闻</t>
    </r>
    <r>
      <rPr>
        <sz val="11"/>
        <color theme="1"/>
        <rFont val="ＭＳ Ｐゴシック"/>
        <family val="3"/>
        <charset val="128"/>
        <scheme val="minor"/>
      </rPr>
      <t>正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（宁波）</t>
    </r>
    <r>
      <rPr>
        <sz val="11"/>
        <color theme="1"/>
        <rFont val="ＭＳ Ｐゴシック"/>
        <family val="3"/>
        <charset val="134"/>
        <scheme val="minor"/>
      </rPr>
      <t>创业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</si>
  <si>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蜂蜜酒; 米酒; 黄酒; 青梅酒</t>
    </r>
  </si>
  <si>
    <r>
      <t>艾山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翠园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</si>
  <si>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岛锦</t>
    </r>
    <r>
      <rPr>
        <sz val="11"/>
        <color theme="1"/>
        <rFont val="ＭＳ Ｐゴシック"/>
        <family val="3"/>
        <charset val="128"/>
        <scheme val="minor"/>
      </rPr>
      <t>翠园</t>
    </r>
    <r>
      <rPr>
        <sz val="11"/>
        <color theme="1"/>
        <rFont val="ＭＳ Ｐゴシック"/>
        <family val="3"/>
        <charset val="134"/>
        <scheme val="minor"/>
      </rPr>
      <t>农业专业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</si>
  <si>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白干酒（中国白酒）; 白酒; 黄酒; 甜果酒;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五加皮酒（中国混合烈酒）; 米酒; 青梅酒</t>
    </r>
  </si>
  <si>
    <t>笑笑不老</t>
  </si>
  <si>
    <r>
      <t>福州笑笑不老网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</si>
  <si>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青稞酒;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</si>
  <si>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集思会</t>
    </r>
    <r>
      <rPr>
        <sz val="11"/>
        <color theme="1"/>
        <rFont val="ＭＳ Ｐゴシック"/>
        <family val="3"/>
        <charset val="134"/>
        <scheme val="minor"/>
      </rPr>
      <t>馆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</si>
  <si>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州酉心酒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</si>
  <si>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</si>
  <si>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嘉桀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</si>
  <si>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葵田食品有限公司</t>
    </r>
  </si>
  <si>
    <r>
      <t xml:space="preserve">白酒; 果酒;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开胃酒; 清酒（日本米酒）; 黄酒; 米酒; 食用酒精</t>
    </r>
  </si>
  <si>
    <t>蟹坤山</t>
  </si>
  <si>
    <r>
      <t>昆山市七只蟹水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</si>
  <si>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白酒; 果酒（含酒精）;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开胃酒;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</si>
  <si>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秦源福</t>
  </si>
  <si>
    <r>
      <t>邵道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</si>
  <si>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葡萄酒; 果酒（含酒精）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</si>
  <si>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翎</t>
    </r>
  </si>
  <si>
    <t>郭六秀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</si>
  <si>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白酒;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果酒; 黄酒; 米酒</t>
    </r>
  </si>
  <si>
    <t>ISAINTE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</si>
  <si>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</si>
  <si>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淮香念</t>
  </si>
  <si>
    <t>杞付平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</si>
  <si>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白酒;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威士忌</t>
    </r>
  </si>
  <si>
    <r>
      <t>恪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尊致</t>
    </r>
  </si>
  <si>
    <r>
      <t xml:space="preserve">白酒; 高粱酒;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 xml:space="preserve">力酒;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干型苹果酒</t>
    </r>
  </si>
  <si>
    <r>
      <t>淳哥</t>
    </r>
    <r>
      <rPr>
        <sz val="11"/>
        <color theme="1"/>
        <rFont val="ＭＳ Ｐゴシック"/>
        <family val="3"/>
        <charset val="134"/>
        <scheme val="minor"/>
      </rPr>
      <t>们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</si>
  <si>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志勤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</si>
  <si>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开胃酒; 果酒; 葡萄酒; 威士忌;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</si>
  <si>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白酒; 朗姆酒; 伏特加酒; 利口酒;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葡萄酒</t>
    </r>
  </si>
  <si>
    <t>泮鑫源</t>
  </si>
  <si>
    <r>
      <t>廖平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</si>
  <si>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葡萄酒; 清酒（日本米酒）; 果酒（含酒精）; 威士忌</t>
    </r>
  </si>
  <si>
    <t>苗芊年</t>
  </si>
  <si>
    <r>
      <t>四川藏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堂生物科技有限公司</t>
    </r>
  </si>
  <si>
    <r>
      <t>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开胃酒; 利口酒;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</si>
  <si>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和富酒庄</t>
  </si>
  <si>
    <r>
      <t>浙江</t>
    </r>
    <r>
      <rPr>
        <sz val="11"/>
        <color theme="1"/>
        <rFont val="ＭＳ Ｐゴシック"/>
        <family val="3"/>
        <charset val="134"/>
        <scheme val="minor"/>
      </rPr>
      <t>贝</t>
    </r>
    <r>
      <rPr>
        <sz val="11"/>
        <color theme="1"/>
        <rFont val="ＭＳ Ｐゴシック"/>
        <family val="3"/>
        <charset val="128"/>
        <scheme val="minor"/>
      </rPr>
      <t>桐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</si>
  <si>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水果汽酒; 混合威士忌酒;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</si>
  <si>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动</t>
    </r>
    <r>
      <rPr>
        <sz val="11"/>
        <color theme="1"/>
        <rFont val="ＭＳ Ｐゴシック"/>
        <family val="3"/>
        <charset val="128"/>
        <scheme val="minor"/>
      </rPr>
      <t>力梦想 WINGS FOR DREAMS</t>
    </r>
  </si>
  <si>
    <r>
      <t>齐凤</t>
    </r>
    <r>
      <rPr>
        <sz val="11"/>
        <color theme="1"/>
        <rFont val="ＭＳ Ｐゴシック"/>
        <family val="3"/>
        <charset val="128"/>
        <scheme val="minor"/>
      </rPr>
      <t>美</t>
    </r>
  </si>
  <si>
    <r>
      <t>威士忌; 葡萄酒; 米酒;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青稞酒</t>
    </r>
  </si>
  <si>
    <t>己巡</t>
  </si>
  <si>
    <r>
      <t>白金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</si>
  <si>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 xml:space="preserve">葡萄酒;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食用酒精</t>
    </r>
  </si>
  <si>
    <t>聚福青木</t>
  </si>
  <si>
    <r>
      <t xml:space="preserve">白酒; 青稞酒; 葡萄酒; 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清酒;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</si>
  <si>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朝</t>
    </r>
    <r>
      <rPr>
        <sz val="11"/>
        <color theme="1"/>
        <rFont val="ＭＳ Ｐゴシック"/>
        <family val="3"/>
        <charset val="134"/>
        <scheme val="minor"/>
      </rPr>
      <t>岛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</si>
  <si>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亮亮</t>
    </r>
  </si>
  <si>
    <r>
      <t>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黄酒; 伏特加酒;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</si>
  <si>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汴派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</si>
  <si>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果酒; 米酒; 黄酒; 开胃酒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</si>
  <si>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梵踏</t>
    </r>
  </si>
  <si>
    <t>王森虎</t>
  </si>
  <si>
    <r>
      <t>咖啡利口酒;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甜酒; 果酒; 黄酒; 水果汽酒; 烈酒;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</si>
  <si>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金六福</t>
    </r>
    <r>
      <rPr>
        <sz val="11"/>
        <color theme="1"/>
        <rFont val="ＭＳ Ｐゴシック"/>
        <family val="3"/>
        <charset val="134"/>
        <scheme val="minor"/>
      </rPr>
      <t>财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</si>
  <si>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清酒;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米酒; 青稞酒;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</si>
  <si>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BHUA</t>
  </si>
  <si>
    <t>夏微微</t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</si>
  <si>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白酒; 利口酒;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</si>
  <si>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语</t>
    </r>
  </si>
  <si>
    <r>
      <t>太和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税</t>
    </r>
    <r>
      <rPr>
        <sz val="11"/>
        <color theme="1"/>
        <rFont val="ＭＳ Ｐゴシック"/>
        <family val="3"/>
        <charset val="134"/>
        <scheme val="minor"/>
      </rPr>
      <t>镇镇</t>
    </r>
    <r>
      <rPr>
        <sz val="11"/>
        <color theme="1"/>
        <rFont val="ＭＳ Ｐゴシック"/>
        <family val="3"/>
        <charset val="128"/>
        <scheme val="minor"/>
      </rPr>
      <t>粮全粮酒坊</t>
    </r>
  </si>
  <si>
    <r>
      <t>果酒（含酒精）;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黄酒; 白酒</t>
    </r>
  </si>
  <si>
    <t>舒吟</t>
  </si>
  <si>
    <t>莫麒令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</si>
  <si>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威士忌;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</t>
    </r>
  </si>
  <si>
    <r>
      <t>阜</t>
    </r>
    <r>
      <rPr>
        <sz val="11"/>
        <color theme="1"/>
        <rFont val="ＭＳ Ｐゴシック"/>
        <family val="3"/>
        <charset val="134"/>
        <scheme val="minor"/>
      </rPr>
      <t>旸</t>
    </r>
    <r>
      <rPr>
        <sz val="11"/>
        <color theme="1"/>
        <rFont val="ＭＳ Ｐゴシック"/>
        <family val="3"/>
        <charset val="128"/>
        <scheme val="minor"/>
      </rPr>
      <t>年份</t>
    </r>
    <r>
      <rPr>
        <sz val="11"/>
        <color theme="1"/>
        <rFont val="ＭＳ Ｐゴシック"/>
        <family val="3"/>
        <charset val="134"/>
        <scheme val="minor"/>
      </rPr>
      <t>贡</t>
    </r>
  </si>
  <si>
    <r>
      <t>安徽</t>
    </r>
    <r>
      <rPr>
        <sz val="11"/>
        <color theme="1"/>
        <rFont val="ＭＳ Ｐゴシック"/>
        <family val="3"/>
        <charset val="134"/>
        <scheme val="minor"/>
      </rPr>
      <t>鲲</t>
    </r>
    <r>
      <rPr>
        <sz val="11"/>
        <color theme="1"/>
        <rFont val="ＭＳ Ｐゴシック"/>
        <family val="3"/>
        <charset val="128"/>
        <scheme val="minor"/>
      </rPr>
      <t>德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</si>
  <si>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米酒; 黄酒;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朗姆酒; 葡萄酒</t>
    </r>
  </si>
  <si>
    <t>YD</t>
  </si>
  <si>
    <r>
      <t>心海</t>
    </r>
    <r>
      <rPr>
        <sz val="11"/>
        <color theme="1"/>
        <rFont val="ＭＳ Ｐゴシック"/>
        <family val="3"/>
        <charset val="134"/>
        <scheme val="minor"/>
      </rPr>
      <t>显</t>
    </r>
    <r>
      <rPr>
        <sz val="11"/>
        <color theme="1"/>
        <rFont val="ＭＳ Ｐゴシック"/>
        <family val="3"/>
        <charset val="128"/>
        <scheme val="minor"/>
      </rPr>
      <t>示科技（深圳）有限公司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</si>
  <si>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蒸煮提取物（利口酒和烈酒）;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</t>
    </r>
  </si>
  <si>
    <t>湛井</t>
  </si>
  <si>
    <t>黄金洲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</si>
  <si>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</si>
  <si>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潇</t>
    </r>
    <r>
      <rPr>
        <sz val="11"/>
        <color theme="1"/>
        <rFont val="ＭＳ Ｐゴシック"/>
        <family val="3"/>
        <charset val="128"/>
        <scheme val="minor"/>
      </rPr>
      <t>己</t>
    </r>
  </si>
  <si>
    <r>
      <t>李桂</t>
    </r>
    <r>
      <rPr>
        <sz val="11"/>
        <color theme="1"/>
        <rFont val="ＭＳ Ｐゴシック"/>
        <family val="3"/>
        <charset val="134"/>
        <scheme val="minor"/>
      </rPr>
      <t>权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</si>
  <si>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食用酒精</t>
    </r>
  </si>
  <si>
    <t>LONGING&amp;DREAM</t>
  </si>
  <si>
    <r>
      <t>小神</t>
    </r>
    <r>
      <rPr>
        <sz val="11"/>
        <color theme="1"/>
        <rFont val="ＭＳ Ｐゴシック"/>
        <family val="3"/>
        <charset val="134"/>
        <scheme val="minor"/>
      </rPr>
      <t>兽</t>
    </r>
    <r>
      <rPr>
        <sz val="11"/>
        <color theme="1"/>
        <rFont val="ＭＳ Ｐゴシック"/>
        <family val="3"/>
        <charset val="128"/>
        <scheme val="minor"/>
      </rPr>
      <t>（重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）国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</si>
  <si>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甜果酒;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白酒; 露酒; 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草莓酒; 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黄酒</t>
    </r>
  </si>
  <si>
    <t>熊猫包</t>
  </si>
  <si>
    <r>
      <t>陈庆</t>
    </r>
    <r>
      <rPr>
        <sz val="11"/>
        <color theme="1"/>
        <rFont val="ＭＳ Ｐゴシック"/>
        <family val="3"/>
        <charset val="128"/>
        <scheme val="minor"/>
      </rPr>
      <t>松</t>
    </r>
  </si>
  <si>
    <r>
      <t xml:space="preserve">高粱酒;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米酒; 葡萄酒; 黄酒; 食用酒精; 白葡萄酒;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</si>
  <si>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骄骄</t>
    </r>
    <r>
      <rPr>
        <sz val="11"/>
        <color theme="1"/>
        <rFont val="ＭＳ Ｐゴシック"/>
        <family val="3"/>
        <charset val="128"/>
        <scheme val="minor"/>
      </rPr>
      <t>者</t>
    </r>
  </si>
  <si>
    <t>新疆牛啊信息科技有限公司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</si>
  <si>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果酒; 烈酒; 米酒; 黄酒; 蜂蜜酒; 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</si>
  <si>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露娜米斯</t>
  </si>
  <si>
    <r>
      <t>上海睹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文化有限公司</t>
    </r>
  </si>
  <si>
    <r>
      <t xml:space="preserve">米酒; 果酒;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</t>
    </r>
  </si>
  <si>
    <r>
      <t>怡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仙</t>
    </r>
  </si>
  <si>
    <t>李怡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</si>
  <si>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含酒精的气泡水; 米酒; 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</si>
  <si>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r>
      <t>华</t>
    </r>
    <r>
      <rPr>
        <sz val="11"/>
        <color theme="1"/>
        <rFont val="ＭＳ Ｐゴシック"/>
        <family val="3"/>
        <charset val="129"/>
        <scheme val="minor"/>
      </rPr>
      <t>茥</t>
    </r>
  </si>
  <si>
    <r>
      <t>烟台海茂健康咨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</si>
  <si>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黑覆盆子酒; 白酒; 蒸煮提取物（利口酒和烈酒）; 葡萄酒; 果酒（含酒精）; 黄酒;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甜果酒; 汽酒</t>
    </r>
  </si>
  <si>
    <t>皖陵泉</t>
  </si>
  <si>
    <r>
      <t>安徽散良酒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</si>
  <si>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果酒（含酒精）; 烈酒;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</si>
  <si>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酒凰渊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</si>
  <si>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西大漠醇香酒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</si>
  <si>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</si>
  <si>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陆</t>
    </r>
    <r>
      <rPr>
        <sz val="11"/>
        <color theme="1"/>
        <rFont val="ＭＳ Ｐゴシック"/>
        <family val="3"/>
        <charset val="128"/>
        <scheme val="minor"/>
      </rPr>
      <t>零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 xml:space="preserve">月酒 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迹</t>
    </r>
  </si>
  <si>
    <r>
      <t>成都九鼎酒酒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</si>
  <si>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梅酒; 葡萄酒; 果酒（含酒精）; 米酒;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</si>
  <si>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香窖世家</t>
  </si>
  <si>
    <r>
      <t xml:space="preserve">黄酒;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白酒; 果酒; 米酒</t>
    </r>
  </si>
  <si>
    <t>CHANGXIAOTUN</t>
  </si>
  <si>
    <r>
      <t>常州江</t>
    </r>
    <r>
      <rPr>
        <sz val="11"/>
        <color theme="1"/>
        <rFont val="ＭＳ Ｐゴシック"/>
        <family val="3"/>
        <charset val="134"/>
        <scheme val="minor"/>
      </rPr>
      <t>澜</t>
    </r>
    <r>
      <rPr>
        <sz val="11"/>
        <color theme="1"/>
        <rFont val="ＭＳ Ｐゴシック"/>
        <family val="3"/>
        <charset val="128"/>
        <scheme val="minor"/>
      </rPr>
      <t>文旅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</si>
  <si>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米酒; 果酒; 露酒; 清酒;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葡萄酒; 青稞酒; 白酒</t>
    </r>
  </si>
  <si>
    <t>洞王魂</t>
  </si>
  <si>
    <t>李朋超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</si>
  <si>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青梅酒;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米酒; 蒸煮提取物（利口酒和烈酒）;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</si>
  <si>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汲下</t>
  </si>
  <si>
    <r>
      <t>赵</t>
    </r>
    <r>
      <rPr>
        <sz val="11"/>
        <color theme="1"/>
        <rFont val="ＭＳ Ｐゴシック"/>
        <family val="3"/>
        <charset val="128"/>
        <scheme val="minor"/>
      </rPr>
      <t>献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</si>
  <si>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蒸煮提取物（利口酒和烈酒）; 果酒（含酒精）; 白酒</t>
    </r>
  </si>
  <si>
    <t>厄廷根</t>
  </si>
  <si>
    <r>
      <t>欧廷格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</si>
  <si>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 xml:space="preserve">杜松子酒; 伏特加酒; 果酒（含酒精）; 葡萄酒;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苦味酒;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</si>
  <si>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旺佳和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</si>
  <si>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仁德酒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</si>
  <si>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白干酒（中国白酒）; 米酒; 食用酒精</t>
    </r>
  </si>
  <si>
    <t>将九关</t>
  </si>
  <si>
    <r>
      <t>杨</t>
    </r>
    <r>
      <rPr>
        <sz val="11"/>
        <color theme="1"/>
        <rFont val="ＭＳ Ｐゴシック"/>
        <family val="3"/>
        <charset val="128"/>
        <scheme val="minor"/>
      </rPr>
      <t>懿新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</si>
  <si>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黄酒; 开胃酒; 米酒; 利口酒</t>
    </r>
  </si>
  <si>
    <t>韵凰</t>
  </si>
  <si>
    <t>刘子群</t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</si>
  <si>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葡萄酒; 白酒; 威士忌; 清酒（日本米酒）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</si>
  <si>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凰痕</t>
    </r>
  </si>
  <si>
    <r>
      <t>陈锃</t>
    </r>
    <r>
      <rPr>
        <sz val="11"/>
        <color theme="1"/>
        <rFont val="ＭＳ Ｐゴシック"/>
        <family val="3"/>
        <charset val="128"/>
        <scheme val="minor"/>
      </rPr>
      <t>才</t>
    </r>
  </si>
  <si>
    <r>
      <t>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清酒（日本米酒）;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</si>
  <si>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路</t>
    </r>
    <r>
      <rPr>
        <sz val="11"/>
        <color theme="1"/>
        <rFont val="ＭＳ Ｐゴシック"/>
        <family val="3"/>
        <charset val="134"/>
        <scheme val="minor"/>
      </rPr>
      <t>马龙</t>
    </r>
  </si>
  <si>
    <t>吴博洪</t>
  </si>
  <si>
    <r>
      <t xml:space="preserve">葡萄酒;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威士忌; 米酒; 清酒</t>
    </r>
  </si>
  <si>
    <t>酌振</t>
  </si>
  <si>
    <r>
      <t>李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</si>
  <si>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苹果酒;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</si>
  <si>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养栖堂</t>
  </si>
  <si>
    <r>
      <t>邢</t>
    </r>
    <r>
      <rPr>
        <sz val="11"/>
        <color theme="1"/>
        <rFont val="ＭＳ Ｐゴシック"/>
        <family val="3"/>
        <charset val="134"/>
        <scheme val="minor"/>
      </rPr>
      <t>灿辉</t>
    </r>
  </si>
  <si>
    <r>
      <t>黄酒; 威士忌;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</si>
  <si>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小高</t>
    </r>
  </si>
  <si>
    <t>田保林</t>
  </si>
  <si>
    <r>
      <t xml:space="preserve">蒸煮提取物（利口酒和烈酒）;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</si>
  <si>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聿脩</t>
  </si>
  <si>
    <r>
      <t>东</t>
    </r>
    <r>
      <rPr>
        <sz val="11"/>
        <color theme="1"/>
        <rFont val="ＭＳ Ｐゴシック"/>
        <family val="3"/>
        <charset val="128"/>
        <scheme val="minor"/>
      </rPr>
      <t>莞聿修文化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</si>
  <si>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青稞酒;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汽酒; 含酒精的气泡水; 食用酒精;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</t>
    </r>
  </si>
  <si>
    <r>
      <t>右</t>
    </r>
    <r>
      <rPr>
        <sz val="11"/>
        <color theme="1"/>
        <rFont val="ＭＳ Ｐゴシック"/>
        <family val="3"/>
        <charset val="134"/>
        <scheme val="minor"/>
      </rPr>
      <t>澜</t>
    </r>
  </si>
  <si>
    <r>
      <t>上海全</t>
    </r>
    <r>
      <rPr>
        <sz val="11"/>
        <color theme="1"/>
        <rFont val="ＭＳ Ｐゴシック"/>
        <family val="3"/>
        <charset val="134"/>
        <scheme val="minor"/>
      </rPr>
      <t>发实业发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</si>
  <si>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苦味酒;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餐后酒（利口酒和烈酒）;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开胃酒; 米酒; 白酒</t>
    </r>
  </si>
  <si>
    <r>
      <t>四</t>
    </r>
    <r>
      <rPr>
        <sz val="11"/>
        <color theme="1"/>
        <rFont val="ＭＳ Ｐゴシック"/>
        <family val="3"/>
        <charset val="134"/>
        <scheme val="minor"/>
      </rPr>
      <t>龛</t>
    </r>
    <r>
      <rPr>
        <sz val="11"/>
        <color theme="1"/>
        <rFont val="ＭＳ Ｐゴシック"/>
        <family val="3"/>
        <charset val="128"/>
        <scheme val="minor"/>
      </rPr>
      <t>城</t>
    </r>
  </si>
  <si>
    <r>
      <t>巴中市巴城</t>
    </r>
    <r>
      <rPr>
        <sz val="11"/>
        <color theme="1"/>
        <rFont val="ＭＳ Ｐゴシック"/>
        <family val="3"/>
        <charset val="134"/>
        <scheme val="minor"/>
      </rPr>
      <t>记忆</t>
    </r>
    <r>
      <rPr>
        <sz val="11"/>
        <color theme="1"/>
        <rFont val="ＭＳ Ｐゴシック"/>
        <family val="3"/>
        <charset val="128"/>
        <scheme val="minor"/>
      </rPr>
      <t>文化旅游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</si>
  <si>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威士忌; 米酒; 果酒; 烈酒; 青梅酒;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</t>
    </r>
  </si>
  <si>
    <t>宁婉玉</t>
  </si>
  <si>
    <r>
      <t>北京市裕皓酒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</si>
  <si>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伏特加酒; 果酒（含酒精）; 威士忌; 开胃酒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</si>
  <si>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州茅台酒厂（集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）保健酒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</si>
  <si>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黄酒; 米酒; 威士忌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</si>
  <si>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士超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</si>
  <si>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</si>
  <si>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铁</t>
    </r>
    <r>
      <rPr>
        <sz val="11"/>
        <color theme="1"/>
        <rFont val="ＭＳ Ｐゴシック"/>
        <family val="3"/>
        <charset val="128"/>
        <scheme val="minor"/>
      </rPr>
      <t>功夫</t>
    </r>
  </si>
  <si>
    <r>
      <t>洪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</si>
  <si>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汽酒; 米酒; 白酒; 烈酒; 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</si>
  <si>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荔外</t>
  </si>
  <si>
    <r>
      <t>广州市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昌源酒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</si>
  <si>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威士忌; 葡萄酒; 伏特加酒</t>
    </r>
  </si>
  <si>
    <t>誉三十</t>
  </si>
  <si>
    <t>田震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</si>
  <si>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葡萄酒; 烈酒; 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白酒</t>
    </r>
  </si>
  <si>
    <t>播三十</t>
  </si>
  <si>
    <r>
      <t>张</t>
    </r>
    <r>
      <rPr>
        <sz val="11"/>
        <color theme="1"/>
        <rFont val="ＭＳ Ｐゴシック"/>
        <family val="3"/>
        <charset val="128"/>
        <scheme val="minor"/>
      </rPr>
      <t>永波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</si>
  <si>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烈酒; 白酒; 葡萄酒; 高粱酒</t>
    </r>
  </si>
  <si>
    <t>市井十洲城文旅</t>
  </si>
  <si>
    <r>
      <t>泉州市十洲城文旅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</si>
  <si>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白酒</t>
    </r>
  </si>
  <si>
    <t>粮山情</t>
  </si>
  <si>
    <r>
      <t>黄明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</si>
  <si>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 xml:space="preserve">米酒;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利口酒;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</si>
  <si>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忆</t>
    </r>
    <r>
      <rPr>
        <sz val="11"/>
        <color theme="1"/>
        <rFont val="ＭＳ Ｐゴシック"/>
        <family val="3"/>
        <charset val="128"/>
        <scheme val="minor"/>
      </rPr>
      <t>古道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</si>
  <si>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成林</t>
    </r>
  </si>
  <si>
    <r>
      <t xml:space="preserve">威士忌;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清酒（日本米酒）</t>
    </r>
  </si>
  <si>
    <t>盛怡泉</t>
  </si>
  <si>
    <r>
      <t>叶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</si>
  <si>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 xml:space="preserve">果酒（含酒精）;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甘蔗制烈酒; 高粱酒</t>
    </r>
  </si>
  <si>
    <t>S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</si>
  <si>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州山王果健康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</si>
  <si>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</si>
  <si>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极匣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</si>
  <si>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漯河市舞阳</t>
    </r>
    <r>
      <rPr>
        <sz val="11"/>
        <color theme="1"/>
        <rFont val="ＭＳ Ｐゴシック"/>
        <family val="3"/>
        <charset val="134"/>
        <scheme val="minor"/>
      </rPr>
      <t>县飘</t>
    </r>
    <r>
      <rPr>
        <sz val="11"/>
        <color theme="1"/>
        <rFont val="ＭＳ Ｐゴシック"/>
        <family val="3"/>
        <charset val="128"/>
        <scheme val="minor"/>
      </rPr>
      <t>娣百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)</t>
    </r>
  </si>
  <si>
    <r>
      <t xml:space="preserve">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</si>
  <si>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之原</t>
    </r>
  </si>
  <si>
    <t>朱春燕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</si>
  <si>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清酒; 黄酒; 米酒;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</si>
  <si>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明</t>
    </r>
    <r>
      <rPr>
        <sz val="11"/>
        <color theme="1"/>
        <rFont val="ＭＳ Ｐゴシック"/>
        <family val="3"/>
        <charset val="134"/>
        <scheme val="minor"/>
      </rPr>
      <t>贤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</si>
  <si>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明日教育科技股份有限公司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</si>
  <si>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食用酒精; 米酒; 果酒（含酒精）;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</t>
    </r>
  </si>
  <si>
    <t>TAIMABABA</t>
  </si>
  <si>
    <t>王建</t>
  </si>
  <si>
    <r>
      <t>烈酒; 青稞酒; 甜果酒;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果酒;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</si>
  <si>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驼</t>
    </r>
    <r>
      <rPr>
        <sz val="11"/>
        <color theme="1"/>
        <rFont val="ＭＳ Ｐゴシック"/>
        <family val="3"/>
        <charset val="128"/>
        <scheme val="minor"/>
      </rPr>
      <t>登</t>
    </r>
  </si>
  <si>
    <r>
      <t>喀什寰宇</t>
    </r>
    <r>
      <rPr>
        <sz val="11"/>
        <color theme="1"/>
        <rFont val="ＭＳ Ｐゴシック"/>
        <family val="3"/>
        <charset val="134"/>
        <scheme val="minor"/>
      </rPr>
      <t>视</t>
    </r>
    <r>
      <rPr>
        <sz val="11"/>
        <color theme="1"/>
        <rFont val="ＭＳ Ｐゴシック"/>
        <family val="3"/>
        <charset val="128"/>
        <scheme val="minor"/>
      </rPr>
      <t>界文化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</si>
  <si>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黄酒</t>
    </r>
  </si>
  <si>
    <t>李忘愁</t>
  </si>
  <si>
    <r>
      <t>李肖</t>
    </r>
    <r>
      <rPr>
        <sz val="11"/>
        <color theme="1"/>
        <rFont val="ＭＳ Ｐゴシック"/>
        <family val="3"/>
        <charset val="134"/>
        <scheme val="minor"/>
      </rPr>
      <t>颖</t>
    </r>
  </si>
  <si>
    <r>
      <t>白酒; 黄酒; 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</si>
  <si>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丰豆金水</t>
    </r>
    <r>
      <rPr>
        <sz val="11"/>
        <color theme="1"/>
        <rFont val="ＭＳ Ｐゴシック"/>
        <family val="3"/>
        <charset val="134"/>
        <scheme val="minor"/>
      </rPr>
      <t>桥</t>
    </r>
  </si>
  <si>
    <r>
      <t>山西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河丰豆酒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</si>
  <si>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葡萄酒; 米酒; 白酒; 高粱酒; 威士忌; 果酒（含酒精）; 利口酒; 黄酒; 食用酒精; 开胃酒</t>
  </si>
  <si>
    <r>
      <t>苏</t>
    </r>
    <r>
      <rPr>
        <sz val="11"/>
        <color theme="1"/>
        <rFont val="ＭＳ Ｐゴシック"/>
        <family val="3"/>
        <charset val="128"/>
        <scheme val="minor"/>
      </rPr>
      <t>小美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</si>
  <si>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</si>
  <si>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豫薛</t>
  </si>
  <si>
    <t>薛氏文化有限公司</t>
  </si>
  <si>
    <r>
      <t>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葡萄酒; 白酒</t>
    </r>
  </si>
  <si>
    <t>从景</t>
  </si>
  <si>
    <r>
      <t>南京从景生物技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</si>
  <si>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</si>
  <si>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KHE SHAN ART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</si>
  <si>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市溪山文化</t>
    </r>
    <r>
      <rPr>
        <sz val="11"/>
        <color theme="1"/>
        <rFont val="ＭＳ Ｐゴシック"/>
        <family val="3"/>
        <charset val="134"/>
        <scheme val="minor"/>
      </rPr>
      <t>艺术馆</t>
    </r>
    <r>
      <rPr>
        <sz val="11"/>
        <color theme="1"/>
        <rFont val="ＭＳ Ｐゴシック"/>
        <family val="3"/>
        <charset val="128"/>
        <scheme val="minor"/>
      </rPr>
      <t>（个人独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</si>
  <si>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 xml:space="preserve">清酒（日本米酒）;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</si>
  <si>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禧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君品</t>
    </r>
  </si>
  <si>
    <r>
      <t>伏特加酒; 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白酒; 米酒;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</si>
  <si>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满满</t>
    </r>
    <r>
      <rPr>
        <sz val="11"/>
        <color theme="1"/>
        <rFont val="ＭＳ Ｐゴシック"/>
        <family val="3"/>
        <charset val="128"/>
        <scheme val="minor"/>
      </rPr>
      <t>星餐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管理（廊坊）有限公司</t>
    </r>
  </si>
  <si>
    <r>
      <t xml:space="preserve">葡萄酒;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清酒; 白酒</t>
    </r>
  </si>
  <si>
    <t>DOS EQUIS XX</t>
  </si>
  <si>
    <r>
      <t>秋奥泰莫克莫克泰族</t>
    </r>
    <r>
      <rPr>
        <sz val="11"/>
        <color theme="1"/>
        <rFont val="ＭＳ Ｐゴシック"/>
        <family val="3"/>
        <charset val="134"/>
        <scheme val="minor"/>
      </rPr>
      <t>玛</t>
    </r>
    <r>
      <rPr>
        <sz val="11"/>
        <color theme="1"/>
        <rFont val="ＭＳ Ｐゴシック"/>
        <family val="3"/>
        <charset val="128"/>
        <scheme val="minor"/>
      </rPr>
      <t>啤酒公司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</si>
  <si>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含酒精的气泡水; 葡萄酒; 利口酒;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</si>
  <si>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 xml:space="preserve">汽酒;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葡萄酒; 白酒; 米酒; 青稞酒; 露酒; 果酒</t>
    </r>
  </si>
  <si>
    <r>
      <t>五彩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方韵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</si>
  <si>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大衣哥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</si>
  <si>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食用酒精; 白酒; 蒸煮提取物（利口酒和烈酒）; 米酒; 葡萄酒; 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</si>
  <si>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芳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香</t>
    </r>
  </si>
  <si>
    <r>
      <t>深圳市沉香之美工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</si>
  <si>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果酒（含酒精）; 白酒;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</t>
    </r>
  </si>
  <si>
    <t>酌气</t>
  </si>
  <si>
    <r>
      <t>李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</si>
  <si>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 xml:space="preserve">食用酒精;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</si>
  <si>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绿</t>
    </r>
    <r>
      <rPr>
        <sz val="11"/>
        <color theme="1"/>
        <rFont val="ＭＳ Ｐゴシック"/>
        <family val="3"/>
        <charset val="128"/>
        <scheme val="minor"/>
      </rPr>
      <t>海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</si>
  <si>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>海南山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酒博物</t>
    </r>
    <r>
      <rPr>
        <sz val="11"/>
        <color theme="1"/>
        <rFont val="ＭＳ Ｐゴシック"/>
        <family val="3"/>
        <charset val="134"/>
        <scheme val="minor"/>
      </rPr>
      <t>馆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</si>
  <si>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苦艾酒;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苦味酒; 白酒;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汽酒</t>
    </r>
  </si>
  <si>
    <t>浩然醉唐</t>
  </si>
  <si>
    <r>
      <t>襄阳三六五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</si>
  <si>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烈酒; 果酒; 葡萄酒;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</si>
  <si>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幽德</t>
    </r>
    <r>
      <rPr>
        <sz val="11"/>
        <color theme="1"/>
        <rFont val="ＭＳ Ｐゴシック"/>
        <family val="3"/>
        <charset val="134"/>
        <scheme val="minor"/>
      </rPr>
      <t>铭</t>
    </r>
    <r>
      <rPr>
        <sz val="11"/>
        <color theme="1"/>
        <rFont val="ＭＳ Ｐゴシック"/>
        <family val="3"/>
        <charset val="129"/>
        <scheme val="minor"/>
      </rPr>
      <t>胜</t>
    </r>
  </si>
  <si>
    <t>北京航广尚西科技有限公司</t>
  </si>
  <si>
    <r>
      <t>果酒（含酒精）; 葡萄酒; 白酒; 开胃酒; 威士忌; 蒸煮提取物（利口酒和烈酒）;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</si>
  <si>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两千加一</t>
  </si>
  <si>
    <r>
      <t>惠州宝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丰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</si>
  <si>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威士忌; 白酒; 米酒; 葡萄酒</t>
    </r>
  </si>
  <si>
    <t>马临</t>
  </si>
  <si>
    <t>王彦</t>
  </si>
  <si>
    <r>
      <t xml:space="preserve">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</si>
  <si>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渔</t>
    </r>
    <r>
      <rPr>
        <sz val="11"/>
        <color theme="1"/>
        <rFont val="ＭＳ Ｐゴシック"/>
        <family val="3"/>
        <charset val="128"/>
        <scheme val="minor"/>
      </rPr>
      <t>月湾</t>
    </r>
  </si>
  <si>
    <r>
      <t>海南</t>
    </r>
    <r>
      <rPr>
        <sz val="11"/>
        <color theme="1"/>
        <rFont val="ＭＳ Ｐゴシック"/>
        <family val="3"/>
        <charset val="134"/>
        <scheme val="minor"/>
      </rPr>
      <t>渔</t>
    </r>
    <r>
      <rPr>
        <sz val="11"/>
        <color theme="1"/>
        <rFont val="ＭＳ Ｐゴシック"/>
        <family val="3"/>
        <charset val="128"/>
        <scheme val="minor"/>
      </rPr>
      <t>月湾文化旅游开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</si>
  <si>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果酒; 葡萄酒; 白酒;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</si>
  <si>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ZHENG YUE DIAN</t>
  </si>
  <si>
    <r>
      <t>佛山市南海玥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生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食品配送部（普通合伙）</t>
    </r>
  </si>
  <si>
    <r>
      <t>果酒（含酒精）; 烈酒; 葡萄酒; 威士忌;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</t>
    </r>
  </si>
  <si>
    <r>
      <t>台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九熙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</si>
  <si>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州台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</si>
  <si>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清酒; 威士忌;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</si>
  <si>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稻天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</si>
  <si>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 xml:space="preserve">开胃酒; 黄酒; 白酒; 威士忌;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果酒</t>
    </r>
  </si>
  <si>
    <r>
      <t>胸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山海</t>
    </r>
  </si>
  <si>
    <r>
      <t>天津山海天健康管理集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</si>
  <si>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青稞酒; 开胃酒; 葡萄酒; 威士忌; 米酒; 果酒（含酒精）; 黄酒</t>
    </r>
  </si>
  <si>
    <r>
      <t>上酒下</t>
    </r>
    <r>
      <rPr>
        <sz val="11"/>
        <color theme="1"/>
        <rFont val="ＭＳ Ｐゴシック"/>
        <family val="3"/>
        <charset val="134"/>
        <scheme val="minor"/>
      </rPr>
      <t>诗</t>
    </r>
  </si>
  <si>
    <r>
      <t xml:space="preserve">葡萄酒;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米酒; 朗姆酒; 伏特加酒; 果酒（含酒精）; 汽酒</t>
    </r>
  </si>
  <si>
    <t>葛壮壮</t>
  </si>
  <si>
    <r>
      <t>中青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食同源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养指</t>
    </r>
    <r>
      <rPr>
        <sz val="11"/>
        <color theme="1"/>
        <rFont val="ＭＳ Ｐゴシック"/>
        <family val="3"/>
        <charset val="134"/>
        <scheme val="minor"/>
      </rPr>
      <t>导</t>
    </r>
    <r>
      <rPr>
        <sz val="11"/>
        <color theme="1"/>
        <rFont val="ＭＳ Ｐゴシック"/>
        <family val="3"/>
        <charset val="128"/>
        <scheme val="minor"/>
      </rPr>
      <t>中心（海口）有限公司</t>
    </r>
  </si>
  <si>
    <r>
      <t>果酒（含酒精）; 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白酒; 米酒;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</si>
  <si>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r>
      <t>闫</t>
    </r>
    <r>
      <rPr>
        <sz val="11"/>
        <color theme="1"/>
        <rFont val="ＭＳ Ｐゴシック"/>
        <family val="3"/>
        <charset val="128"/>
        <scheme val="minor"/>
      </rPr>
      <t>雅醇</t>
    </r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</si>
  <si>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田里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</si>
  <si>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</si>
  <si>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九</t>
    </r>
    <r>
      <rPr>
        <sz val="11"/>
        <color theme="1"/>
        <rFont val="ＭＳ Ｐゴシック"/>
        <family val="3"/>
        <charset val="134"/>
        <scheme val="minor"/>
      </rPr>
      <t>珑</t>
    </r>
  </si>
  <si>
    <t>林焱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</si>
  <si>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果酒（含酒精）; 蒸煮提取物（利口酒和烈酒）;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</t>
    </r>
  </si>
  <si>
    <t>渝三十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</si>
  <si>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高粱酒; 果酒; 葡萄酒; 烈酒; 黄酒;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</si>
  <si>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和之</t>
    </r>
    <r>
      <rPr>
        <sz val="11"/>
        <color theme="1"/>
        <rFont val="ＭＳ Ｐゴシック"/>
        <family val="3"/>
        <charset val="134"/>
        <scheme val="minor"/>
      </rPr>
      <t>艺</t>
    </r>
  </si>
  <si>
    <r>
      <t>深圳市紫藤</t>
    </r>
    <r>
      <rPr>
        <sz val="11"/>
        <color theme="1"/>
        <rFont val="ＭＳ Ｐゴシック"/>
        <family val="3"/>
        <charset val="134"/>
        <scheme val="minor"/>
      </rPr>
      <t>阁贸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</si>
  <si>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</si>
  <si>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梁山运</t>
  </si>
  <si>
    <r>
      <t xml:space="preserve">米酒; 果酒; 白酒; 葡萄酒;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</si>
  <si>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瑰宝丙乾</t>
  </si>
  <si>
    <r>
      <t xml:space="preserve">果酒; 葡萄酒;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黄酒; 清酒;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</si>
  <si>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祥</t>
    </r>
    <r>
      <rPr>
        <sz val="11"/>
        <color theme="1"/>
        <rFont val="ＭＳ Ｐゴシック"/>
        <family val="3"/>
        <charset val="134"/>
        <scheme val="minor"/>
      </rPr>
      <t>龙斋</t>
    </r>
    <r>
      <rPr>
        <sz val="11"/>
        <color theme="1"/>
        <rFont val="ＭＳ Ｐゴシック"/>
        <family val="3"/>
        <charset val="128"/>
        <scheme val="minor"/>
      </rPr>
      <t>李勇</t>
    </r>
  </si>
  <si>
    <t>保定市李勇食品加工有限公司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</si>
  <si>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米酒; 食用酒精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</si>
  <si>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丰</t>
    </r>
    <r>
      <rPr>
        <sz val="11"/>
        <color theme="1"/>
        <rFont val="ＭＳ Ｐゴシック"/>
        <family val="3"/>
        <charset val="134"/>
        <scheme val="minor"/>
      </rPr>
      <t>亿创</t>
    </r>
  </si>
  <si>
    <r>
      <t>安徽松田智能</t>
    </r>
    <r>
      <rPr>
        <sz val="11"/>
        <color theme="1"/>
        <rFont val="ＭＳ Ｐゴシック"/>
        <family val="3"/>
        <charset val="134"/>
        <scheme val="minor"/>
      </rPr>
      <t>设备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</si>
  <si>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米酒;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</si>
  <si>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尚</t>
    </r>
    <r>
      <rPr>
        <sz val="11"/>
        <color theme="1"/>
        <rFont val="ＭＳ Ｐゴシック"/>
        <family val="3"/>
        <charset val="134"/>
        <scheme val="minor"/>
      </rPr>
      <t>闽</t>
    </r>
  </si>
  <si>
    <r>
      <t>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葡萄酒; 威士忌;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</si>
  <si>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榕利威</t>
  </si>
  <si>
    <t>程超豪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</si>
  <si>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五加皮酒（中国混合烈酒）;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米酒; 白葡萄酒;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白干酒（中国白酒）</t>
    </r>
  </si>
  <si>
    <t>随辰家医</t>
  </si>
  <si>
    <r>
      <t>邓</t>
    </r>
    <r>
      <rPr>
        <sz val="11"/>
        <color theme="1"/>
        <rFont val="ＭＳ Ｐゴシック"/>
        <family val="3"/>
        <charset val="128"/>
        <scheme val="minor"/>
      </rPr>
      <t>琳薏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</si>
  <si>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果酒（含酒精）; 蜂蜜酒;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</si>
  <si>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思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酥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</si>
  <si>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汽酒</t>
    </r>
  </si>
  <si>
    <r>
      <t>泸杨</t>
    </r>
    <r>
      <rPr>
        <sz val="11"/>
        <color theme="1"/>
        <rFont val="ＭＳ Ｐゴシック"/>
        <family val="3"/>
        <charset val="128"/>
        <scheme val="minor"/>
      </rPr>
      <t>金窖</t>
    </r>
  </si>
  <si>
    <r>
      <t>河北森虹宇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境科技有限公司</t>
    </r>
  </si>
  <si>
    <r>
      <t xml:space="preserve">白酒; 烈酒; 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葡萄酒; 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</si>
  <si>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九吟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</si>
  <si>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苹果酒; 蒸煮提取物（利口酒和烈酒）; 果酒（含酒精）; 米酒;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</si>
  <si>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葡萄酒; 米酒; 开胃酒;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</si>
  <si>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魏洲王</t>
  </si>
  <si>
    <r>
      <t>河北魏洲酒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</si>
  <si>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米酒;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</t>
    </r>
  </si>
  <si>
    <r>
      <t>忆</t>
    </r>
    <r>
      <rPr>
        <sz val="11"/>
        <color theme="1"/>
        <rFont val="ＭＳ Ｐゴシック"/>
        <family val="3"/>
        <charset val="128"/>
        <scheme val="minor"/>
      </rPr>
      <t>参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 xml:space="preserve"> ESSENCE IN FUSONG</t>
    </r>
  </si>
  <si>
    <r>
      <t>抚</t>
    </r>
    <r>
      <rPr>
        <sz val="11"/>
        <color theme="1"/>
        <rFont val="ＭＳ Ｐゴシック"/>
        <family val="3"/>
        <charset val="128"/>
        <scheme val="minor"/>
      </rPr>
      <t>松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人参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</si>
  <si>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汽酒; 果酒（含酒精）</t>
    </r>
  </si>
  <si>
    <r>
      <t>岑</t>
    </r>
    <r>
      <rPr>
        <sz val="11"/>
        <color theme="1"/>
        <rFont val="ＭＳ Ｐゴシック"/>
        <family val="3"/>
        <charset val="134"/>
        <scheme val="minor"/>
      </rPr>
      <t>鉴</t>
    </r>
    <r>
      <rPr>
        <sz val="11"/>
        <color theme="1"/>
        <rFont val="ＭＳ Ｐゴシック"/>
        <family val="3"/>
        <charset val="128"/>
        <scheme val="minor"/>
      </rPr>
      <t>忘</t>
    </r>
    <r>
      <rPr>
        <sz val="11"/>
        <color theme="1"/>
        <rFont val="ＭＳ Ｐゴシック"/>
        <family val="3"/>
        <charset val="134"/>
        <scheme val="minor"/>
      </rPr>
      <t>忧</t>
    </r>
  </si>
  <si>
    <r>
      <t>秦皇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鑫熠文化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</si>
  <si>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果酒（含酒精）;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青稞酒; 米酒;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葡萄酒;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</si>
  <si>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广西雷列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气有限公司</t>
    </r>
  </si>
  <si>
    <r>
      <t>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黄酒; 汽酒; 米酒; 烈酒; 果酒</t>
    </r>
  </si>
  <si>
    <t>松田</t>
  </si>
  <si>
    <r>
      <t>葡萄酒; 白酒; 果酒（含酒精）; 威士忌;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</si>
  <si>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毂</t>
  </si>
  <si>
    <r>
      <t>毕贵</t>
    </r>
    <r>
      <rPr>
        <sz val="11"/>
        <color theme="1"/>
        <rFont val="ＭＳ Ｐゴシック"/>
        <family val="3"/>
        <charset val="128"/>
        <scheme val="minor"/>
      </rPr>
      <t>群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</si>
  <si>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清酒（日本米酒）</t>
    </r>
  </si>
  <si>
    <r>
      <t xml:space="preserve">开胃酒;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</si>
  <si>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越惠</t>
  </si>
  <si>
    <t>滕晨</t>
  </si>
  <si>
    <r>
      <t>黄酒; 白酒;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葡萄酒; 米酒; 白干酒（中国白酒）;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</si>
  <si>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樱獭</t>
  </si>
  <si>
    <r>
      <t xml:space="preserve">果酒（含酒精）; 葡萄酒; 清酒（日本米酒）; 白酒; 青稞酒; 杜松子酒;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</si>
  <si>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再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</si>
  <si>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餐后酒（利口酒和烈酒）; 白酒; 露酒; 苹果酒;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</si>
  <si>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MHF AOK</t>
  </si>
  <si>
    <r>
      <t>葡萄酒; 威士忌;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</si>
  <si>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苗圣山</t>
  </si>
  <si>
    <r>
      <t>广州苗湘村酒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</si>
  <si>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餐后酒（利口酒和烈酒）; 葡萄酒; 汽酒</t>
    </r>
  </si>
  <si>
    <r>
      <t>吟</t>
    </r>
    <r>
      <rPr>
        <sz val="11"/>
        <color theme="1"/>
        <rFont val="ＭＳ Ｐゴシック"/>
        <family val="3"/>
        <charset val="134"/>
        <scheme val="minor"/>
      </rPr>
      <t>鉴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</si>
  <si>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白酒; 威士忌;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</si>
  <si>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几复</t>
  </si>
  <si>
    <r>
      <t>杭州好</t>
    </r>
    <r>
      <rPr>
        <sz val="11"/>
        <color theme="1"/>
        <rFont val="ＭＳ Ｐゴシック"/>
        <family val="3"/>
        <charset val="134"/>
        <scheme val="minor"/>
      </rPr>
      <t>贷</t>
    </r>
    <r>
      <rPr>
        <sz val="11"/>
        <color theme="1"/>
        <rFont val="ＭＳ Ｐゴシック"/>
        <family val="3"/>
        <charset val="128"/>
        <scheme val="minor"/>
      </rPr>
      <t>鼠投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</si>
  <si>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果酒（含酒精）;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白酒; 米酒; 烈酒</t>
    </r>
  </si>
  <si>
    <t>善源美</t>
  </si>
  <si>
    <r>
      <t>亳州市上水坊酒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</si>
  <si>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果酒（含酒精）</t>
    </r>
  </si>
  <si>
    <t>BAI NIAN JIN SHUI</t>
  </si>
  <si>
    <r>
      <t>山西金水德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</si>
  <si>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</si>
  <si>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丁佬怪</t>
  </si>
  <si>
    <r>
      <t>广西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翔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</si>
  <si>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</si>
  <si>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酉听</t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</si>
  <si>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铭马</t>
    </r>
    <r>
      <rPr>
        <sz val="11"/>
        <color theme="1"/>
        <rFont val="ＭＳ Ｐゴシック"/>
        <family val="3"/>
        <charset val="128"/>
        <scheme val="minor"/>
      </rPr>
      <t>光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</si>
  <si>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</t>
    </r>
  </si>
  <si>
    <t>祁芝康</t>
  </si>
  <si>
    <r>
      <t>河北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康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</si>
  <si>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朗姆酒; 食用酒精;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</si>
  <si>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鹿天</t>
    </r>
    <r>
      <rPr>
        <sz val="11"/>
        <color theme="1"/>
        <rFont val="ＭＳ Ｐゴシック"/>
        <family val="3"/>
        <charset val="134"/>
        <scheme val="minor"/>
      </rPr>
      <t>骄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</si>
  <si>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宽宽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</si>
  <si>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青梅酒;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</t>
    </r>
  </si>
  <si>
    <t>酌崇</t>
  </si>
  <si>
    <r>
      <t>食用酒精; 青梅酒;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葡萄酒;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</si>
  <si>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黄冰玉</t>
  </si>
  <si>
    <r>
      <t>成都四真坊酒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</si>
  <si>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葡萄酒;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米酒</t>
    </r>
  </si>
  <si>
    <r>
      <t>娇娇</t>
    </r>
    <r>
      <rPr>
        <sz val="11"/>
        <color theme="1"/>
        <rFont val="ＭＳ Ｐゴシック"/>
        <family val="3"/>
        <charset val="128"/>
        <scheme val="minor"/>
      </rPr>
      <t>者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</si>
  <si>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果酒; 葡萄酒; 黄酒; 白酒; 米酒; 烈酒; 蜂蜜酒</t>
    </r>
  </si>
  <si>
    <t>七甜三秋</t>
  </si>
  <si>
    <r>
      <t>祁</t>
    </r>
    <r>
      <rPr>
        <sz val="11"/>
        <color theme="1"/>
        <rFont val="ＭＳ Ｐゴシック"/>
        <family val="3"/>
        <charset val="129"/>
        <scheme val="minor"/>
      </rPr>
      <t>洁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</si>
  <si>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蜂蜜酒;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</si>
  <si>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枕仙禾</t>
  </si>
  <si>
    <r>
      <t>既白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承文化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播（宁波）有限公司</t>
    </r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</si>
  <si>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清酒;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黄酒; 含酒精的气泡水</t>
    </r>
  </si>
  <si>
    <r>
      <t>云天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9"/>
        <scheme val="minor"/>
      </rPr>
      <t>优</t>
    </r>
  </si>
  <si>
    <r>
      <t>云天</t>
    </r>
    <r>
      <rPr>
        <sz val="11"/>
        <color theme="1"/>
        <rFont val="ＭＳ Ｐゴシック"/>
        <family val="3"/>
        <charset val="134"/>
        <scheme val="minor"/>
      </rPr>
      <t>现</t>
    </r>
    <r>
      <rPr>
        <sz val="11"/>
        <color theme="1"/>
        <rFont val="ＭＳ Ｐゴシック"/>
        <family val="3"/>
        <charset val="128"/>
        <scheme val="minor"/>
      </rPr>
      <t>代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展(深圳)有限公司</t>
    </r>
  </si>
  <si>
    <r>
      <t>白干酒（中国白酒）;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甜酒; 白酒; 汽酒</t>
    </r>
  </si>
  <si>
    <r>
      <t>坚</t>
    </r>
    <r>
      <rPr>
        <sz val="11"/>
        <color theme="1"/>
        <rFont val="ＭＳ Ｐゴシック"/>
        <family val="3"/>
        <charset val="128"/>
        <scheme val="minor"/>
      </rPr>
      <t>博士</t>
    </r>
  </si>
  <si>
    <r>
      <t>广西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辰文化集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</si>
  <si>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</t>
    </r>
  </si>
  <si>
    <t>唇香大丰收</t>
  </si>
  <si>
    <r>
      <t>果酒;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蒸煮提取物（利口酒和烈酒）; 葡萄酒;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</si>
  <si>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t>缘圆满满</t>
  </si>
  <si>
    <r>
      <t>四川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鑫酒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</si>
  <si>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黄酒; 米酒; 开胃酒;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</si>
  <si>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t>圣潭沟</t>
  </si>
  <si>
    <r>
      <t>周国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</si>
  <si>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葡萄酒; 果酒（含酒精）;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</si>
  <si>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谷仙渡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</si>
  <si>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苹果酒; 白酒; 食用酒精;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</si>
  <si>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谷品冠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</si>
  <si>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白酒; 食用酒精;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</si>
  <si>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山川江河</t>
  </si>
  <si>
    <r>
      <t xml:space="preserve">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葡萄酒</t>
    </r>
  </si>
  <si>
    <r>
      <t>沪水</t>
    </r>
    <r>
      <rPr>
        <sz val="11"/>
        <color theme="1"/>
        <rFont val="ＭＳ Ｐゴシック"/>
        <family val="3"/>
        <charset val="134"/>
        <scheme val="minor"/>
      </rPr>
      <t>乡</t>
    </r>
  </si>
  <si>
    <r>
      <t>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清酒（日本米酒）;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开胃酒</t>
    </r>
  </si>
  <si>
    <r>
      <t>桂水</t>
    </r>
    <r>
      <rPr>
        <sz val="11"/>
        <color theme="1"/>
        <rFont val="ＭＳ Ｐゴシック"/>
        <family val="3"/>
        <charset val="134"/>
        <scheme val="minor"/>
      </rPr>
      <t>乡</t>
    </r>
  </si>
  <si>
    <r>
      <t>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开胃酒;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</t>
    </r>
  </si>
  <si>
    <t>稷粮君</t>
  </si>
  <si>
    <r>
      <t>神州富碳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科技（北京）有限公司</t>
    </r>
  </si>
  <si>
    <r>
      <t xml:space="preserve">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汽酒; 含酒精的气泡水;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</si>
  <si>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青城山解</t>
    </r>
    <r>
      <rPr>
        <sz val="11"/>
        <color theme="1"/>
        <rFont val="ＭＳ Ｐゴシック"/>
        <family val="3"/>
        <charset val="134"/>
        <scheme val="minor"/>
      </rPr>
      <t>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</si>
  <si>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都江堰市青城山大道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</si>
  <si>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蒸煮提取物（利口酒和烈酒）;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</si>
  <si>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左</t>
    </r>
    <r>
      <rPr>
        <sz val="11"/>
        <color theme="1"/>
        <rFont val="ＭＳ Ｐゴシック"/>
        <family val="3"/>
        <charset val="134"/>
        <scheme val="minor"/>
      </rPr>
      <t>澜</t>
    </r>
  </si>
  <si>
    <r>
      <t xml:space="preserve">餐后酒（利口酒和烈酒）; 苦味酒; 米酒; 开胃酒; 黄酒; 白酒;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</si>
  <si>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小</t>
    </r>
    <r>
      <rPr>
        <sz val="11"/>
        <color theme="1"/>
        <rFont val="ＭＳ Ｐゴシック"/>
        <family val="3"/>
        <charset val="134"/>
        <scheme val="minor"/>
      </rPr>
      <t>荭</t>
    </r>
    <r>
      <rPr>
        <sz val="11"/>
        <color theme="1"/>
        <rFont val="ＭＳ Ｐゴシック"/>
        <family val="3"/>
        <charset val="128"/>
        <scheme val="minor"/>
      </rPr>
      <t>九 LOVELYRED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</si>
  <si>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州莫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特酒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</si>
  <si>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五加皮酒（中国混合烈酒）; 果酒（含酒精）; 朗姆酒;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</si>
  <si>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谪</t>
    </r>
    <r>
      <rPr>
        <sz val="11"/>
        <color theme="1"/>
        <rFont val="ＭＳ Ｐゴシック"/>
        <family val="3"/>
        <charset val="128"/>
        <scheme val="minor"/>
      </rPr>
      <t>仙池</t>
    </r>
  </si>
  <si>
    <r>
      <t>荣志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</si>
  <si>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 xml:space="preserve">威士忌;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葡萄酒;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开胃酒</t>
    </r>
  </si>
  <si>
    <t>孙飞龙</t>
  </si>
  <si>
    <r>
      <t>葡萄酒;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</si>
  <si>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酒韵仙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</si>
  <si>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清酒; 果酒; 伏特加酒</t>
    </r>
  </si>
  <si>
    <r>
      <t>敬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仁</t>
    </r>
  </si>
  <si>
    <r>
      <t>白酒; 果酒（含酒精）; 葡萄酒;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蜂蜜酒; 开胃酒; 黄酒</t>
    </r>
  </si>
  <si>
    <r>
      <t>咸亨太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</si>
  <si>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绍兴</t>
    </r>
    <r>
      <rPr>
        <sz val="11"/>
        <color theme="1"/>
        <rFont val="ＭＳ Ｐゴシック"/>
        <family val="3"/>
        <charset val="128"/>
        <scheme val="minor"/>
      </rPr>
      <t>咸亨酒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</si>
  <si>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米酒;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</si>
  <si>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沙</t>
    </r>
    <r>
      <rPr>
        <sz val="11"/>
        <color theme="1"/>
        <rFont val="ＭＳ Ｐゴシック"/>
        <family val="3"/>
        <charset val="134"/>
        <scheme val="minor"/>
      </rPr>
      <t>陇</t>
    </r>
    <r>
      <rPr>
        <sz val="11"/>
        <color theme="1"/>
        <rFont val="ＭＳ Ｐゴシック"/>
        <family val="3"/>
        <charset val="128"/>
        <scheme val="minor"/>
      </rPr>
      <t>阿奇</t>
    </r>
  </si>
  <si>
    <r>
      <t>侯林</t>
    </r>
    <r>
      <rPr>
        <sz val="11"/>
        <color theme="1"/>
        <rFont val="ＭＳ Ｐゴシック"/>
        <family val="3"/>
        <charset val="134"/>
        <scheme val="minor"/>
      </rPr>
      <t>创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</si>
  <si>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</t>
    </r>
  </si>
  <si>
    <r>
      <t>权</t>
    </r>
    <r>
      <rPr>
        <sz val="11"/>
        <color theme="1"/>
        <rFont val="ＭＳ Ｐゴシック"/>
        <family val="3"/>
        <charset val="128"/>
        <scheme val="minor"/>
      </rPr>
      <t>秘</t>
    </r>
  </si>
  <si>
    <t>张帅鹏</t>
  </si>
  <si>
    <r>
      <t>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威士忌; 米酒; 清酒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</si>
  <si>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州宗昌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</si>
  <si>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米酒; 葡萄酒; 黄酒; 白酒;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</si>
  <si>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昌沔</t>
    </r>
    <r>
      <rPr>
        <sz val="11"/>
        <color theme="1"/>
        <rFont val="ＭＳ Ｐゴシック"/>
        <family val="3"/>
        <charset val="134"/>
        <scheme val="minor"/>
      </rPr>
      <t>鲜</t>
    </r>
  </si>
  <si>
    <r>
      <t>昌沔供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（湖北）有限公司</t>
    </r>
  </si>
  <si>
    <r>
      <t>葡萄酒;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白酒</t>
    </r>
  </si>
  <si>
    <t>苗三珍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</si>
  <si>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葡萄酒; 汽酒; 餐后酒（利口酒和烈酒）</t>
    </r>
  </si>
  <si>
    <r>
      <t>皖北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姐家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</si>
  <si>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永菊</t>
    </r>
  </si>
  <si>
    <r>
      <t>果酒（含酒精）; 葡萄酒; 黄酒; 白酒;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米酒</t>
    </r>
  </si>
  <si>
    <t>常小豚</t>
  </si>
  <si>
    <r>
      <t xml:space="preserve">清酒; 青稞酒; 露酒;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米酒; 果酒; 汽酒</t>
    </r>
  </si>
  <si>
    <t>欧卓</t>
  </si>
  <si>
    <t>温迪百博科技有限公司</t>
  </si>
  <si>
    <t>無し</t>
  </si>
  <si>
    <t>祁善堂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</si>
  <si>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</si>
  <si>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徽</t>
    </r>
    <r>
      <rPr>
        <sz val="11"/>
        <color theme="1"/>
        <rFont val="ＭＳ Ｐゴシック"/>
        <family val="3"/>
        <charset val="134"/>
        <scheme val="minor"/>
      </rPr>
      <t>驾</t>
    </r>
    <r>
      <rPr>
        <sz val="11"/>
        <color theme="1"/>
        <rFont val="ＭＳ Ｐゴシック"/>
        <family val="3"/>
        <charset val="128"/>
        <scheme val="minor"/>
      </rPr>
      <t>御酒</t>
    </r>
  </si>
  <si>
    <r>
      <t>安徽徽</t>
    </r>
    <r>
      <rPr>
        <sz val="11"/>
        <color theme="1"/>
        <rFont val="ＭＳ Ｐゴシック"/>
        <family val="3"/>
        <charset val="134"/>
        <scheme val="minor"/>
      </rPr>
      <t>驾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</si>
  <si>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白酒; 高粱酒; 甜酒; 水果汽酒; 露酒; 甜果酒; 青梅酒; 食用酒精; 果酒; 白干酒（中国白酒）</t>
  </si>
  <si>
    <r>
      <t>贡</t>
    </r>
    <r>
      <rPr>
        <sz val="11"/>
        <color theme="1"/>
        <rFont val="ＭＳ Ｐゴシック"/>
        <family val="3"/>
        <charset val="128"/>
        <scheme val="minor"/>
      </rPr>
      <t>将</t>
    </r>
    <r>
      <rPr>
        <sz val="11"/>
        <color theme="1"/>
        <rFont val="ＭＳ Ｐゴシック"/>
        <family val="3"/>
        <charset val="129"/>
        <scheme val="minor"/>
      </rPr>
      <t>怀</t>
    </r>
  </si>
  <si>
    <r>
      <t>蒲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</si>
  <si>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 xml:space="preserve">烈酒;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黄酒; 青稞酒;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</si>
  <si>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咏尚惠</t>
  </si>
  <si>
    <r>
      <t>温州咏尚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</si>
  <si>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果酒;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高粱酒</t>
    </r>
  </si>
  <si>
    <r>
      <t>花开忘</t>
    </r>
    <r>
      <rPr>
        <sz val="11"/>
        <color theme="1"/>
        <rFont val="ＭＳ Ｐゴシック"/>
        <family val="3"/>
        <charset val="134"/>
        <scheme val="minor"/>
      </rPr>
      <t>忧</t>
    </r>
  </si>
  <si>
    <t>湖南京思湘食品科技有限公司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</si>
  <si>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青稞酒; 白酒;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</si>
  <si>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秦治</t>
    </r>
    <r>
      <rPr>
        <sz val="11"/>
        <color theme="1"/>
        <rFont val="ＭＳ Ｐゴシック"/>
        <family val="3"/>
        <charset val="134"/>
        <scheme val="minor"/>
      </rPr>
      <t>驰</t>
    </r>
    <r>
      <rPr>
        <sz val="11"/>
        <color theme="1"/>
        <rFont val="ＭＳ Ｐゴシック"/>
        <family val="3"/>
        <charset val="128"/>
        <scheme val="minor"/>
      </rPr>
      <t>道</t>
    </r>
  </si>
  <si>
    <r>
      <t>内蒙古</t>
    </r>
    <r>
      <rPr>
        <sz val="11"/>
        <color theme="1"/>
        <rFont val="ＭＳ Ｐゴシック"/>
        <family val="3"/>
        <charset val="134"/>
        <scheme val="minor"/>
      </rPr>
      <t>额</t>
    </r>
    <r>
      <rPr>
        <sz val="11"/>
        <color theme="1"/>
        <rFont val="ＭＳ Ｐゴシック"/>
        <family val="3"/>
        <charset val="128"/>
        <scheme val="minor"/>
      </rPr>
      <t>和百嘎利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</si>
  <si>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蒸煮提取物（利口酒和烈酒）;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</si>
  <si>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章大山</t>
  </si>
  <si>
    <r>
      <t>浙江御福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</si>
  <si>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食用酒精; 葡萄酒; 果酒（含酒精）</t>
    </r>
  </si>
  <si>
    <t>安盛道</t>
  </si>
  <si>
    <t>付相立</t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</si>
  <si>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</si>
  <si>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北稻</t>
  </si>
  <si>
    <r>
      <t>北京稻香村食品有限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</si>
  <si>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食用酒精;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清酒; 葡萄酒</t>
    </r>
  </si>
  <si>
    <r>
      <t>齐</t>
    </r>
    <r>
      <rPr>
        <sz val="11"/>
        <color theme="1"/>
        <rFont val="ＭＳ Ｐゴシック"/>
        <family val="3"/>
        <charset val="128"/>
        <scheme val="minor"/>
      </rPr>
      <t>力至尚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</si>
  <si>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春池</t>
    </r>
  </si>
  <si>
    <t>黄酒</t>
  </si>
  <si>
    <t>坤新台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</si>
  <si>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西秦韵</t>
    </r>
    <r>
      <rPr>
        <sz val="11"/>
        <color theme="1"/>
        <rFont val="ＭＳ Ｐゴシック"/>
        <family val="3"/>
        <charset val="134"/>
        <scheme val="minor"/>
      </rPr>
      <t>龙泽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</si>
  <si>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米酒; 伏特加酒</t>
    </r>
  </si>
  <si>
    <t>月亮情歌</t>
  </si>
  <si>
    <r>
      <t>苏</t>
    </r>
    <r>
      <rPr>
        <sz val="11"/>
        <color theme="1"/>
        <rFont val="ＭＳ Ｐゴシック"/>
        <family val="3"/>
        <charset val="128"/>
        <scheme val="minor"/>
      </rPr>
      <t>州月亮情歌文化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</si>
  <si>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威士忌</t>
    </r>
  </si>
  <si>
    <t>猪百分</t>
  </si>
  <si>
    <r>
      <t>河北秀泰牧企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</si>
  <si>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甘蔗制烈酒; 白酒;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黄酒</t>
    </r>
  </si>
  <si>
    <t>裕中元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</si>
  <si>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白酒;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</si>
  <si>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鹿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福</t>
    </r>
  </si>
  <si>
    <t>李洋</t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</si>
  <si>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青稞酒; 白酒; 高粱酒;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梅酒; 葡萄酒;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</si>
  <si>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果酒; 黄酒; 蒸煮提取物（利口酒和烈酒）; 葡萄酒;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米酒</t>
    </r>
  </si>
  <si>
    <t>章谷阿克</t>
  </si>
  <si>
    <r>
      <t>四川章古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</si>
  <si>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青稞酒;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食用酒精; 果酒</t>
    </r>
  </si>
  <si>
    <r>
      <t>予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人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</si>
  <si>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烈酒;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蒸煮提取物（利口酒和烈酒）;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</si>
  <si>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同醉珠光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</si>
  <si>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千境文化</t>
    </r>
    <r>
      <rPr>
        <sz val="11"/>
        <color theme="1"/>
        <rFont val="ＭＳ Ｐゴシック"/>
        <family val="3"/>
        <charset val="134"/>
        <scheme val="minor"/>
      </rPr>
      <t>艺术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</si>
  <si>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清酒; 食用酒精;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</t>
    </r>
  </si>
  <si>
    <t>致夫子</t>
  </si>
  <si>
    <r>
      <t>海南金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森企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</si>
  <si>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</si>
  <si>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肖雪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</si>
  <si>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餐后酒（利口酒和烈酒）;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</t>
    </r>
  </si>
  <si>
    <t>晋六福</t>
  </si>
  <si>
    <r>
      <t>张</t>
    </r>
    <r>
      <rPr>
        <sz val="11"/>
        <color theme="1"/>
        <rFont val="ＭＳ Ｐゴシック"/>
        <family val="3"/>
        <charset val="128"/>
        <scheme val="minor"/>
      </rPr>
      <t>李荣</t>
    </r>
  </si>
  <si>
    <r>
      <t>白干酒（中国白酒）; 葡萄酒;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黄酒; 高粱酒; 露酒</t>
    </r>
  </si>
  <si>
    <t>赤印 CHI YIN JIU YE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</si>
  <si>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州赤印酒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</si>
  <si>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果酒; 白酒;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黄酒; 米酒; 白干酒（中国白酒）</t>
    </r>
  </si>
  <si>
    <t>初速度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</si>
  <si>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州百年小茅酒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</si>
  <si>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开胃酒; 葡萄酒; 食用酒精</t>
    </r>
  </si>
  <si>
    <r>
      <t>利客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</si>
  <si>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临</t>
    </r>
    <r>
      <rPr>
        <sz val="11"/>
        <color theme="1"/>
        <rFont val="ＭＳ Ｐゴシック"/>
        <family val="3"/>
        <charset val="128"/>
        <scheme val="minor"/>
      </rPr>
      <t>沂利客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</si>
  <si>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果酒; 汽酒; 烈酒;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甜酒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</si>
  <si>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福翁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</si>
  <si>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烈酒; 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葡萄酒</t>
    </r>
  </si>
  <si>
    <r>
      <t>古天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一号 GTHYH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</si>
  <si>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市古天坊酒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</si>
  <si>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黄酒; 青稞酒;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葡萄酒; 利口酒</t>
    </r>
  </si>
  <si>
    <r>
      <t>君</t>
    </r>
    <r>
      <rPr>
        <sz val="11"/>
        <color theme="1"/>
        <rFont val="ＭＳ Ｐゴシック"/>
        <family val="3"/>
        <charset val="134"/>
        <scheme val="minor"/>
      </rPr>
      <t>满观</t>
    </r>
    <r>
      <rPr>
        <sz val="11"/>
        <color theme="1"/>
        <rFont val="ＭＳ Ｐゴシック"/>
        <family val="3"/>
        <charset val="128"/>
        <scheme val="minor"/>
      </rPr>
      <t>天情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</si>
  <si>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洪荣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</si>
  <si>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黄酒;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</si>
  <si>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九丈九</t>
  </si>
  <si>
    <r>
      <t>北京大前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</si>
  <si>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黄酒; 食用酒精;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清酒</t>
    </r>
  </si>
  <si>
    <r>
      <t>拂</t>
    </r>
    <r>
      <rPr>
        <sz val="11"/>
        <color theme="1"/>
        <rFont val="ＭＳ Ｐゴシック"/>
        <family val="3"/>
        <charset val="134"/>
        <scheme val="minor"/>
      </rPr>
      <t>栏</t>
    </r>
    <r>
      <rPr>
        <sz val="11"/>
        <color theme="1"/>
        <rFont val="ＭＳ Ｐゴシック"/>
        <family val="3"/>
        <charset val="128"/>
        <scheme val="minor"/>
      </rPr>
      <t>酒坊</t>
    </r>
  </si>
  <si>
    <r>
      <t>鲁</t>
    </r>
    <r>
      <rPr>
        <sz val="11"/>
        <color theme="1"/>
        <rFont val="ＭＳ Ｐゴシック"/>
        <family val="3"/>
        <charset val="128"/>
        <scheme val="minor"/>
      </rPr>
      <t>可</t>
    </r>
  </si>
  <si>
    <r>
      <t>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威士忌;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梅酒</t>
    </r>
  </si>
  <si>
    <r>
      <t>赵铭</t>
    </r>
    <r>
      <rPr>
        <sz val="11"/>
        <color theme="1"/>
        <rFont val="ＭＳ Ｐゴシック"/>
        <family val="3"/>
        <charset val="128"/>
        <scheme val="minor"/>
      </rPr>
      <t>城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</si>
  <si>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葡萄酒; 食用酒精; 黄酒; 白酒; 米酒; 开胃酒;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</si>
  <si>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嘢</t>
    </r>
    <r>
      <rPr>
        <sz val="11"/>
        <color theme="1"/>
        <rFont val="ＭＳ Ｐゴシック"/>
        <family val="3"/>
        <charset val="128"/>
        <scheme val="minor"/>
      </rPr>
      <t>氿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</si>
  <si>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家梅</t>
    </r>
  </si>
  <si>
    <r>
      <t>甜酒; 果酒; 青稞酒; 白酒; 蜂蜜酒; 葡萄酒; 米酒;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</si>
  <si>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航</t>
    </r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</si>
  <si>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</si>
  <si>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悠野</t>
  </si>
  <si>
    <r>
      <t>王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娜</t>
    </r>
  </si>
  <si>
    <t>白酒; 烈酒; 甜酒; 酸酒（低等葡萄酒）; 梅酒; 高粱酒; 草莓酒; 果酒（含酒精）; 米酒; 清酒</t>
  </si>
  <si>
    <t>宜水林之味</t>
  </si>
  <si>
    <t>徐会</t>
  </si>
  <si>
    <r>
      <t xml:space="preserve">伏特加酒; 威士忌;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清酒（日本米酒）</t>
    </r>
  </si>
  <si>
    <t>黄盖禧</t>
  </si>
  <si>
    <r>
      <t>清酒; 葡萄酒; 伏特加酒;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米酒</t>
    </r>
  </si>
  <si>
    <t>苗土阿莎莎</t>
  </si>
  <si>
    <r>
      <t>铜</t>
    </r>
    <r>
      <rPr>
        <sz val="11"/>
        <color theme="1"/>
        <rFont val="ＭＳ Ｐゴシック"/>
        <family val="3"/>
        <charset val="128"/>
        <scheme val="minor"/>
      </rPr>
      <t>仁市一</t>
    </r>
    <r>
      <rPr>
        <sz val="11"/>
        <color theme="1"/>
        <rFont val="ＭＳ Ｐゴシック"/>
        <family val="3"/>
        <charset val="134"/>
        <scheme val="minor"/>
      </rPr>
      <t>线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</si>
  <si>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威士忌; 青稞酒</t>
    </r>
  </si>
  <si>
    <t>市井十洲城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</si>
  <si>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伏特加酒;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</si>
  <si>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沈献利</t>
  </si>
  <si>
    <r>
      <t>杨卫</t>
    </r>
    <r>
      <rPr>
        <sz val="11"/>
        <color theme="1"/>
        <rFont val="ＭＳ Ｐゴシック"/>
        <family val="3"/>
        <charset val="128"/>
        <scheme val="minor"/>
      </rPr>
      <t>武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</si>
  <si>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</si>
  <si>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上海人民蔬菜副食品有限公司</t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</si>
  <si>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烈酒;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烈性干酒; 高粱酒;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白酒</t>
    </r>
  </si>
  <si>
    <t>湘佑</t>
  </si>
  <si>
    <r>
      <t>喻</t>
    </r>
    <r>
      <rPr>
        <sz val="11"/>
        <color theme="1"/>
        <rFont val="ＭＳ Ｐゴシック"/>
        <family val="3"/>
        <charset val="134"/>
        <scheme val="minor"/>
      </rPr>
      <t>红卫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</si>
  <si>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清酒;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黄酒; 威士忌;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</si>
  <si>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魔都腔</t>
    </r>
    <r>
      <rPr>
        <sz val="11"/>
        <color theme="1"/>
        <rFont val="ＭＳ Ｐゴシック"/>
        <family val="3"/>
        <charset val="134"/>
        <scheme val="minor"/>
      </rPr>
      <t>调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</si>
  <si>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之</t>
    </r>
    <r>
      <rPr>
        <sz val="11"/>
        <color theme="1"/>
        <rFont val="ＭＳ Ｐゴシック"/>
        <family val="3"/>
        <charset val="134"/>
        <scheme val="minor"/>
      </rPr>
      <t>亚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</si>
  <si>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</t>
    </r>
  </si>
  <si>
    <t>青城仙洞</t>
  </si>
  <si>
    <t>但春江</t>
  </si>
  <si>
    <r>
      <t>果酒; 烈酒; 葡萄酒; 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</si>
  <si>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t>禾上江南</t>
  </si>
  <si>
    <r>
      <t xml:space="preserve">清酒（日本米酒）;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黄酒; 果酒</t>
    </r>
  </si>
  <si>
    <r>
      <t>经纬</t>
    </r>
    <r>
      <rPr>
        <sz val="11"/>
        <color theme="1"/>
        <rFont val="ＭＳ Ｐゴシック"/>
        <family val="3"/>
        <charset val="128"/>
        <scheme val="minor"/>
      </rPr>
      <t>魂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</si>
  <si>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羽盛物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</si>
  <si>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果酒（含酒精）; 米酒; 高粱酒; 白干酒（中国白酒）;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</si>
  <si>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功匠韵</t>
  </si>
  <si>
    <r>
      <t>鄂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多斯市工运</t>
    </r>
    <r>
      <rPr>
        <sz val="11"/>
        <color theme="1"/>
        <rFont val="ＭＳ Ｐゴシック"/>
        <family val="3"/>
        <charset val="134"/>
        <scheme val="minor"/>
      </rPr>
      <t>资产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</si>
  <si>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葡萄酒; 烈性干酒; 米酒;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</t>
    </r>
  </si>
  <si>
    <t>回映</t>
  </si>
  <si>
    <t>余浪</t>
  </si>
  <si>
    <r>
      <t>米酒; 果酒（含酒精）; 蜂蜜酒;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葡萄酒; 食用酒精</t>
    </r>
  </si>
  <si>
    <t>前扶</t>
  </si>
  <si>
    <r>
      <t>吉林省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昕老窖酒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</si>
  <si>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</si>
  <si>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五行葫芦娃</t>
  </si>
  <si>
    <t>亳州三正本草健康科技有限公司</t>
  </si>
  <si>
    <r>
      <t xml:space="preserve">黄酒; 开胃酒;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米酒;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</si>
  <si>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听花堆雪</t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</si>
  <si>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听花酒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</si>
  <si>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利口酒; 果酒（含酒精）; 白酒;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</si>
  <si>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拱哥</t>
  </si>
  <si>
    <r>
      <t>双峰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拱哥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</si>
  <si>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葡萄酒</t>
    </r>
  </si>
  <si>
    <r>
      <t>龟兹</t>
    </r>
    <r>
      <rPr>
        <sz val="11"/>
        <color theme="1"/>
        <rFont val="ＭＳ Ｐゴシック"/>
        <family val="3"/>
        <charset val="128"/>
        <scheme val="minor"/>
      </rPr>
      <t>公主</t>
    </r>
  </si>
  <si>
    <r>
      <t>穆耶</t>
    </r>
    <r>
      <rPr>
        <sz val="11"/>
        <color theme="1"/>
        <rFont val="ＭＳ Ｐゴシック"/>
        <family val="3"/>
        <charset val="134"/>
        <scheme val="minor"/>
      </rPr>
      <t>赛尔</t>
    </r>
    <r>
      <rPr>
        <sz val="11"/>
        <color theme="1"/>
        <rFont val="ＭＳ Ｐゴシック"/>
        <family val="3"/>
        <charset val="128"/>
        <scheme val="minor"/>
      </rPr>
      <t>·</t>
    </r>
    <r>
      <rPr>
        <sz val="11"/>
        <color theme="1"/>
        <rFont val="ＭＳ Ｐゴシック"/>
        <family val="3"/>
        <charset val="134"/>
        <scheme val="minor"/>
      </rPr>
      <t>买尔</t>
    </r>
    <r>
      <rPr>
        <sz val="11"/>
        <color theme="1"/>
        <rFont val="ＭＳ Ｐゴシック"/>
        <family val="3"/>
        <charset val="128"/>
        <scheme val="minor"/>
      </rPr>
      <t>旦</t>
    </r>
  </si>
  <si>
    <r>
      <t xml:space="preserve">甜酒; 葡萄酒; 米酒;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利口酒; 果酒（含酒精）</t>
    </r>
  </si>
  <si>
    <t>圣英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</si>
  <si>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州乾琛酒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</si>
  <si>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米酒; 果酒（含酒精）; 黄酒; 白酒; 葡萄酒</t>
    </r>
  </si>
  <si>
    <r>
      <t>云</t>
    </r>
    <r>
      <rPr>
        <sz val="11"/>
        <color theme="1"/>
        <rFont val="ＭＳ Ｐゴシック"/>
        <family val="3"/>
        <charset val="134"/>
        <scheme val="minor"/>
      </rPr>
      <t>岚</t>
    </r>
    <r>
      <rPr>
        <sz val="11"/>
        <color theme="1"/>
        <rFont val="ＭＳ Ｐゴシック"/>
        <family val="3"/>
        <charset val="128"/>
        <scheme val="minor"/>
      </rPr>
      <t>申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</si>
  <si>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市云申商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</si>
  <si>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高粱酒; 白干酒（中国白酒）; 葡萄酒; 白酒; 果酒;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</si>
  <si>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球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</si>
  <si>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>四川全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</si>
  <si>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伏特加酒;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</si>
  <si>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万事馨</t>
  </si>
  <si>
    <r>
      <t xml:space="preserve">烈酒; 果酒（含酒精）; 蒸煮提取物（利口酒和烈酒）; 白酒;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</si>
  <si>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珍煌醉美山河</t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</si>
  <si>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米酒; 食用酒精; 高粱酒;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</si>
  <si>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桂</t>
    </r>
    <r>
      <rPr>
        <sz val="11"/>
        <color theme="1"/>
        <rFont val="ＭＳ Ｐゴシック"/>
        <family val="3"/>
        <charset val="134"/>
        <scheme val="minor"/>
      </rPr>
      <t>艳</t>
    </r>
  </si>
  <si>
    <t>王杰</t>
  </si>
  <si>
    <r>
      <t xml:space="preserve">米酒;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清酒（日本米酒）;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</si>
  <si>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鼎</t>
    </r>
    <r>
      <rPr>
        <sz val="11"/>
        <color theme="1"/>
        <rFont val="ＭＳ Ｐゴシック"/>
        <family val="3"/>
        <charset val="134"/>
        <scheme val="minor"/>
      </rPr>
      <t>龙门</t>
    </r>
  </si>
  <si>
    <t>蒙宁</t>
  </si>
  <si>
    <r>
      <t xml:space="preserve">白酒; 葡萄酒; 威士忌; 果酒（含酒精）; 黄酒; 烈酒;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</si>
  <si>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r>
      <t>龙坛</t>
    </r>
    <r>
      <rPr>
        <sz val="11"/>
        <color theme="1"/>
        <rFont val="ＭＳ Ｐゴシック"/>
        <family val="3"/>
        <charset val="128"/>
        <scheme val="minor"/>
      </rPr>
      <t>主.佳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</si>
  <si>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州大国古将</t>
    </r>
    <r>
      <rPr>
        <sz val="11"/>
        <color theme="1"/>
        <rFont val="ＭＳ Ｐゴシック"/>
        <family val="3"/>
        <charset val="134"/>
        <scheme val="minor"/>
      </rPr>
      <t>龙坛</t>
    </r>
    <r>
      <rPr>
        <sz val="11"/>
        <color theme="1"/>
        <rFont val="ＭＳ Ｐゴシック"/>
        <family val="3"/>
        <charset val="128"/>
        <scheme val="minor"/>
      </rPr>
      <t>主酒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</si>
  <si>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白酒; 清酒（日本米酒）; 黄酒; 汽酒; 伏特加酒;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</si>
  <si>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山</t>
    </r>
    <r>
      <rPr>
        <sz val="11"/>
        <color theme="1"/>
        <rFont val="ＭＳ Ｐゴシック"/>
        <family val="3"/>
        <charset val="134"/>
        <scheme val="minor"/>
      </rPr>
      <t>遗风</t>
    </r>
  </si>
  <si>
    <r>
      <t>神木市大古石</t>
    </r>
    <r>
      <rPr>
        <sz val="11"/>
        <color theme="1"/>
        <rFont val="ＭＳ Ｐゴシック"/>
        <family val="3"/>
        <charset val="134"/>
        <scheme val="minor"/>
      </rPr>
      <t>峁</t>
    </r>
    <r>
      <rPr>
        <sz val="11"/>
        <color theme="1"/>
        <rFont val="ＭＳ Ｐゴシック"/>
        <family val="3"/>
        <charset val="128"/>
        <scheme val="minor"/>
      </rPr>
      <t>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</si>
  <si>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米酒; 蜂蜜酒;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含酒精的气泡水; 果酒（含酒精）; 青稞酒; 黄酒</t>
    </r>
  </si>
  <si>
    <t>零甲至尊</t>
  </si>
  <si>
    <r>
      <t>卢</t>
    </r>
    <r>
      <rPr>
        <sz val="11"/>
        <color theme="1"/>
        <rFont val="ＭＳ Ｐゴシック"/>
        <family val="3"/>
        <charset val="128"/>
        <scheme val="minor"/>
      </rPr>
      <t>国基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</si>
  <si>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清酒; 食用酒精; 白酒; 果酒（含酒精）; 伏特加酒</t>
    </r>
  </si>
  <si>
    <r>
      <t>望天</t>
    </r>
    <r>
      <rPr>
        <sz val="11"/>
        <color theme="1"/>
        <rFont val="ＭＳ Ｐゴシック"/>
        <family val="3"/>
        <charset val="134"/>
        <scheme val="minor"/>
      </rPr>
      <t>归</t>
    </r>
  </si>
  <si>
    <r>
      <t>德清苦争春冷敷液研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</si>
  <si>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黄酒; 高粱酒; 烈性干酒;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五加皮酒（中国混合烈酒）;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用烈酒;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白干酒（中国白酒）</t>
    </r>
  </si>
  <si>
    <t>YU TANG HONG</t>
  </si>
  <si>
    <r>
      <t>绍兴</t>
    </r>
    <r>
      <rPr>
        <sz val="11"/>
        <color theme="1"/>
        <rFont val="ＭＳ Ｐゴシック"/>
        <family val="3"/>
        <charset val="128"/>
        <scheme val="minor"/>
      </rPr>
      <t>上虞永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</si>
  <si>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甜酒; 白酒; 佐餐酒;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</t>
    </r>
  </si>
  <si>
    <r>
      <t>癸卯十</t>
    </r>
    <r>
      <rPr>
        <sz val="11"/>
        <color theme="1"/>
        <rFont val="ＭＳ Ｐゴシック"/>
        <family val="3"/>
        <charset val="134"/>
        <scheme val="minor"/>
      </rPr>
      <t>贰</t>
    </r>
    <r>
      <rPr>
        <sz val="11"/>
        <color theme="1"/>
        <rFont val="ＭＳ Ｐゴシック"/>
        <family val="3"/>
        <charset val="128"/>
        <scheme val="minor"/>
      </rPr>
      <t>拾</t>
    </r>
  </si>
  <si>
    <r>
      <t>珠海市十</t>
    </r>
    <r>
      <rPr>
        <sz val="11"/>
        <color theme="1"/>
        <rFont val="ＭＳ Ｐゴシック"/>
        <family val="3"/>
        <charset val="134"/>
        <scheme val="minor"/>
      </rPr>
      <t>贰</t>
    </r>
    <r>
      <rPr>
        <sz val="11"/>
        <color theme="1"/>
        <rFont val="ＭＳ Ｐゴシック"/>
        <family val="3"/>
        <charset val="128"/>
        <scheme val="minor"/>
      </rPr>
      <t>拾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</si>
  <si>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杜松子酒; 朗姆酒; 白酒; 伏特加酒;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</si>
  <si>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亲</t>
    </r>
    <r>
      <rPr>
        <sz val="11"/>
        <color theme="1"/>
        <rFont val="ＭＳ Ｐゴシック"/>
        <family val="3"/>
        <charset val="128"/>
        <scheme val="minor"/>
      </rPr>
      <t>情福</t>
    </r>
  </si>
  <si>
    <r>
      <t>魏</t>
    </r>
    <r>
      <rPr>
        <sz val="11"/>
        <color theme="1"/>
        <rFont val="ＭＳ Ｐゴシック"/>
        <family val="3"/>
        <charset val="134"/>
        <scheme val="minor"/>
      </rPr>
      <t>宽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</si>
  <si>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</si>
  <si>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宏台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</si>
  <si>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宏台酒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</si>
  <si>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清酒（日本米酒）; 白酒; 食用酒精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</si>
  <si>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河谷</t>
    </r>
  </si>
  <si>
    <r>
      <t>刘健</t>
    </r>
    <r>
      <rPr>
        <sz val="11"/>
        <color theme="1"/>
        <rFont val="ＭＳ Ｐゴシック"/>
        <family val="3"/>
        <charset val="134"/>
        <scheme val="minor"/>
      </rPr>
      <t>键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</si>
  <si>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食用酒精;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果酒; 白酒; 清酒; 米酒; 黄酒</t>
    </r>
  </si>
  <si>
    <t>零彩</t>
  </si>
  <si>
    <r>
      <t>薛</t>
    </r>
    <r>
      <rPr>
        <sz val="11"/>
        <color theme="1"/>
        <rFont val="ＭＳ Ｐゴシック"/>
        <family val="3"/>
        <charset val="134"/>
        <scheme val="minor"/>
      </rPr>
      <t>继</t>
    </r>
    <r>
      <rPr>
        <sz val="11"/>
        <color theme="1"/>
        <rFont val="ＭＳ Ｐゴシック"/>
        <family val="3"/>
        <charset val="128"/>
        <scheme val="minor"/>
      </rPr>
      <t>超</t>
    </r>
  </si>
  <si>
    <r>
      <t>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</si>
  <si>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华农</t>
    </r>
    <r>
      <rPr>
        <sz val="11"/>
        <color theme="1"/>
        <rFont val="ＭＳ Ｐゴシック"/>
        <family val="3"/>
        <charset val="128"/>
        <scheme val="minor"/>
      </rPr>
      <t>耕香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</si>
  <si>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州翡翠庄园酒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</si>
  <si>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葡萄酒;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米酒</t>
    </r>
  </si>
  <si>
    <t>壹窖天下</t>
  </si>
  <si>
    <t>胡芳芳</t>
  </si>
  <si>
    <r>
      <t xml:space="preserve">食用酒精; 烈酒; 露酒; 高粱酒; 黄酒; 清酒;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</si>
  <si>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r>
      <t>岱宗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潭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</si>
  <si>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彩石溪文旅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</si>
  <si>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赤兀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</si>
  <si>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赤兀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</si>
  <si>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威士忌; 朗姆酒; 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米酒; 食用酒精</t>
    </r>
  </si>
  <si>
    <r>
      <t>汴皇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</si>
  <si>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开封航冠商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</si>
  <si>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清酒（日本米酒）; 伏特加酒;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利口酒;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</si>
  <si>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阴那山</t>
  </si>
  <si>
    <r>
      <t>杨</t>
    </r>
    <r>
      <rPr>
        <sz val="11"/>
        <color theme="1"/>
        <rFont val="ＭＳ Ｐゴシック"/>
        <family val="3"/>
        <charset val="128"/>
        <scheme val="minor"/>
      </rPr>
      <t>海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</si>
  <si>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 xml:space="preserve">蜂蜜酒; 黄酒; 果酒（含酒精）; 杜松子酒; 蒸煮提取物（利口酒和烈酒）;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</si>
  <si>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欢</t>
    </r>
    <r>
      <rPr>
        <sz val="11"/>
        <color theme="1"/>
        <rFont val="ＭＳ Ｐゴシック"/>
        <family val="3"/>
        <charset val="128"/>
        <scheme val="minor"/>
      </rPr>
      <t>心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度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</si>
  <si>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松</t>
    </r>
  </si>
  <si>
    <r>
      <t>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米酒;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食用酒精; 威士忌</t>
    </r>
  </si>
  <si>
    <r>
      <t>融</t>
    </r>
    <r>
      <rPr>
        <sz val="11"/>
        <color theme="1"/>
        <rFont val="ＭＳ Ｐゴシック"/>
        <family val="3"/>
        <charset val="129"/>
        <scheme val="minor"/>
      </rPr>
      <t>优优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</si>
  <si>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>广西融水融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</si>
  <si>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食用酒精; 葡萄酒; 米酒;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白酒</t>
    </r>
  </si>
  <si>
    <t>万琳姐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</si>
  <si>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庆汇农鲜农</t>
    </r>
    <r>
      <rPr>
        <sz val="11"/>
        <color theme="1"/>
        <rFont val="ＭＳ Ｐゴシック"/>
        <family val="3"/>
        <charset val="128"/>
        <scheme val="minor"/>
      </rPr>
      <t>副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</si>
  <si>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葡萄酒; 米酒; 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烈酒; 果酒; 蜂蜜酒</t>
    </r>
  </si>
  <si>
    <r>
      <t>黔</t>
    </r>
    <r>
      <rPr>
        <sz val="11"/>
        <color theme="1"/>
        <rFont val="ＭＳ Ｐゴシック"/>
        <family val="3"/>
        <charset val="134"/>
        <scheme val="minor"/>
      </rPr>
      <t>隐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</si>
  <si>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青</t>
    </r>
  </si>
  <si>
    <r>
      <t>果酒（含酒精）;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</si>
  <si>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八</t>
    </r>
    <r>
      <rPr>
        <sz val="11"/>
        <color theme="1"/>
        <rFont val="ＭＳ Ｐゴシック"/>
        <family val="3"/>
        <charset val="129"/>
        <scheme val="minor"/>
      </rPr>
      <t>馡</t>
    </r>
    <r>
      <rPr>
        <sz val="11"/>
        <color theme="1"/>
        <rFont val="ＭＳ Ｐゴシック"/>
        <family val="3"/>
        <charset val="128"/>
        <scheme val="minor"/>
      </rPr>
      <t>捌</t>
    </r>
    <r>
      <rPr>
        <sz val="11"/>
        <color theme="1"/>
        <rFont val="ＭＳ Ｐゴシック"/>
        <family val="3"/>
        <charset val="129"/>
        <scheme val="minor"/>
      </rPr>
      <t>馡</t>
    </r>
  </si>
  <si>
    <r>
      <t>八里阳光（大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）家庭</t>
    </r>
    <r>
      <rPr>
        <sz val="11"/>
        <color theme="1"/>
        <rFont val="ＭＳ Ｐゴシック"/>
        <family val="3"/>
        <charset val="134"/>
        <scheme val="minor"/>
      </rPr>
      <t>农场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</si>
  <si>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清酒（日本米酒）;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开胃酒;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</si>
  <si>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酉史酉盅</t>
  </si>
  <si>
    <t>安徽正格信息科技有限公司</t>
  </si>
  <si>
    <r>
      <t>利口酒; 米酒; 果酒（含酒精）; 黄酒; 葡萄酒; 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含酒精的气泡水;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</si>
  <si>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导</t>
    </r>
    <r>
      <rPr>
        <sz val="11"/>
        <color theme="1"/>
        <rFont val="ＭＳ Ｐゴシック"/>
        <family val="3"/>
        <charset val="128"/>
        <scheme val="minor"/>
      </rPr>
      <t>流山</t>
    </r>
  </si>
  <si>
    <r>
      <t>甘</t>
    </r>
    <r>
      <rPr>
        <sz val="11"/>
        <color theme="1"/>
        <rFont val="ＭＳ Ｐゴシック"/>
        <family val="3"/>
        <charset val="134"/>
        <scheme val="minor"/>
      </rPr>
      <t>肃汉烁农业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</si>
  <si>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黄酒; 白酒;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用烈酒;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青稞酒; 果酒;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</si>
  <si>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世小白</t>
  </si>
  <si>
    <r>
      <t>食用酒精; 白酒; 开胃酒;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</t>
    </r>
  </si>
  <si>
    <r>
      <t>新</t>
    </r>
    <r>
      <rPr>
        <sz val="11"/>
        <color theme="1"/>
        <rFont val="ＭＳ Ｐゴシック"/>
        <family val="3"/>
        <charset val="134"/>
        <scheme val="minor"/>
      </rPr>
      <t>对</t>
    </r>
  </si>
  <si>
    <t>彭建超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</si>
  <si>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白酒;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</si>
  <si>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华翙</t>
  </si>
  <si>
    <r>
      <t>贾</t>
    </r>
    <r>
      <rPr>
        <sz val="11"/>
        <color theme="1"/>
        <rFont val="ＭＳ Ｐゴシック"/>
        <family val="3"/>
        <charset val="128"/>
        <scheme val="minor"/>
      </rPr>
      <t>利生</t>
    </r>
  </si>
  <si>
    <r>
      <t xml:space="preserve">果酒（含酒精）; 葡萄酒;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</si>
  <si>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究占</t>
  </si>
  <si>
    <t>徐小雯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</si>
  <si>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</t>
    </r>
  </si>
  <si>
    <t>桂侯</t>
  </si>
  <si>
    <r>
      <t>刘</t>
    </r>
    <r>
      <rPr>
        <sz val="11"/>
        <color theme="1"/>
        <rFont val="ＭＳ Ｐゴシック"/>
        <family val="3"/>
        <charset val="134"/>
        <scheme val="minor"/>
      </rPr>
      <t>远浈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</si>
  <si>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烈酒;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开胃酒; 威士忌; 葡萄酒</t>
    </r>
  </si>
  <si>
    <t>烈辞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</si>
  <si>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开胃酒; 清酒（日本米酒）; 威士忌; 果酒（含酒精）; 黄酒; 白酒; 烈酒;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</si>
  <si>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零甲喜宴</t>
  </si>
  <si>
    <r>
      <t>果酒（含酒精）; 米酒; 伏特加酒; 高粱酒; 清酒;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食用酒精;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</si>
  <si>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羊初美</t>
  </si>
  <si>
    <r>
      <t>江西</t>
    </r>
    <r>
      <rPr>
        <sz val="11"/>
        <color theme="1"/>
        <rFont val="ＭＳ Ｐゴシック"/>
        <family val="3"/>
        <charset val="134"/>
        <scheme val="minor"/>
      </rPr>
      <t>别</t>
    </r>
    <r>
      <rPr>
        <sz val="11"/>
        <color theme="1"/>
        <rFont val="ＭＳ Ｐゴシック"/>
        <family val="3"/>
        <charset val="128"/>
        <scheme val="minor"/>
      </rPr>
      <t>辛科技有限公司</t>
    </r>
  </si>
  <si>
    <r>
      <t>米酒; 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露酒; 甜酒;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</si>
  <si>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义</t>
    </r>
    <r>
      <rPr>
        <sz val="11"/>
        <color theme="1"/>
        <rFont val="ＭＳ Ｐゴシック"/>
        <family val="3"/>
        <charset val="128"/>
        <scheme val="minor"/>
      </rPr>
      <t>城印象</t>
    </r>
  </si>
  <si>
    <r>
      <t>湖北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城印象餐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文化管理有限公司</t>
    </r>
  </si>
  <si>
    <r>
      <t>青稞酒; 烈酒; 蒸煮提取物（利口酒和烈酒）; 开胃酒;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</si>
  <si>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闪</t>
    </r>
    <r>
      <rPr>
        <sz val="11"/>
        <color theme="1"/>
        <rFont val="ＭＳ Ｐゴシック"/>
        <family val="3"/>
        <charset val="128"/>
        <scheme val="minor"/>
      </rPr>
      <t>伴</t>
    </r>
  </si>
  <si>
    <r>
      <t>海南</t>
    </r>
    <r>
      <rPr>
        <sz val="11"/>
        <color theme="1"/>
        <rFont val="ＭＳ Ｐゴシック"/>
        <family val="3"/>
        <charset val="134"/>
        <scheme val="minor"/>
      </rPr>
      <t>闪</t>
    </r>
    <r>
      <rPr>
        <sz val="11"/>
        <color theme="1"/>
        <rFont val="ＭＳ Ｐゴシック"/>
        <family val="3"/>
        <charset val="128"/>
        <scheme val="minor"/>
      </rPr>
      <t>伴科技有限公司</t>
    </r>
  </si>
  <si>
    <r>
      <t xml:space="preserve">果酒; 烈酒;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利口酒; 白酒; 清酒; 葡萄酒; 米酒</t>
    </r>
  </si>
  <si>
    <r>
      <t>向</t>
    </r>
    <r>
      <rPr>
        <sz val="11"/>
        <color theme="1"/>
        <rFont val="ＭＳ Ｐゴシック"/>
        <family val="3"/>
        <charset val="134"/>
        <scheme val="minor"/>
      </rPr>
      <t>润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</si>
  <si>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文忠</t>
    </r>
  </si>
  <si>
    <r>
      <t xml:space="preserve">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苹果酒; 甜果酒;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</t>
    </r>
  </si>
  <si>
    <t>正中和仁湖情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</si>
  <si>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州中正仁和酒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</si>
  <si>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白干酒（中国白酒）; 烈酒;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黄酒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</si>
  <si>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花冠酒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</si>
  <si>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苹果酒; 果酒（含酒精）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</si>
  <si>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太守</t>
    </r>
  </si>
  <si>
    <r>
      <t>程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</si>
  <si>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清酒（日本米酒）;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黄酒; 威士忌; 开胃酒; 烈酒;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</si>
  <si>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耘仙都</t>
  </si>
  <si>
    <r>
      <t>丽</t>
    </r>
    <r>
      <rPr>
        <sz val="11"/>
        <color theme="1"/>
        <rFont val="ＭＳ Ｐゴシック"/>
        <family val="3"/>
        <charset val="128"/>
        <scheme val="minor"/>
      </rPr>
      <t>水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梦堂科技有限公司</t>
    </r>
  </si>
  <si>
    <r>
      <t xml:space="preserve">果酒（含酒精）; 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食用酒精</t>
    </r>
  </si>
  <si>
    <t>坝盘</t>
  </si>
  <si>
    <r>
      <t>黄建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</si>
  <si>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五加皮酒（中国混合烈酒）;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果酒;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白干酒（中国白酒）; 葡萄酒</t>
    </r>
  </si>
  <si>
    <t>天常康</t>
  </si>
  <si>
    <r>
      <t>冯</t>
    </r>
    <r>
      <rPr>
        <sz val="11"/>
        <color theme="1"/>
        <rFont val="ＭＳ Ｐゴシック"/>
        <family val="3"/>
        <charset val="128"/>
        <scheme val="minor"/>
      </rPr>
      <t>博洋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</si>
  <si>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白酒; 清酒（日本米酒）;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</si>
  <si>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LARIVALSA</t>
  </si>
  <si>
    <r>
      <t>阿布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佐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合</t>
    </r>
    <r>
      <rPr>
        <sz val="11"/>
        <color theme="1"/>
        <rFont val="ＭＳ Ｐゴシック"/>
        <family val="3"/>
        <charset val="134"/>
        <scheme val="minor"/>
      </rPr>
      <t>财团</t>
    </r>
    <r>
      <rPr>
        <sz val="11"/>
        <color theme="1"/>
        <rFont val="ＭＳ Ｐゴシック"/>
        <family val="3"/>
        <charset val="128"/>
        <scheme val="minor"/>
      </rPr>
      <t>合作社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合作公司</t>
    </r>
  </si>
  <si>
    <r>
      <t>葡萄酒; 利口酒;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开胃酒; 柑香酒; 威士忌; 汽酒; 苦味酒;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</si>
  <si>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零甲尊享</t>
  </si>
  <si>
    <r>
      <t xml:space="preserve">米酒; 食用酒精; 高粱酒; 清酒; 白酒;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</si>
  <si>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喏千斤</t>
  </si>
  <si>
    <r>
      <t>酉米（武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）供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</si>
  <si>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汽酒; 果酒; 高粱酒; 米酒; 白酒; 露酒;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葡萄酒</t>
    </r>
  </si>
  <si>
    <t>零甲家宴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</si>
  <si>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食用酒精; 清酒; 伏特加酒;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米酒; 白酒;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</si>
  <si>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竹妙尊</t>
  </si>
  <si>
    <r>
      <t>湖南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人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人力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源有限公司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</si>
  <si>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露酒;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梅酒; 水果汽酒; 果酒; 白酒; 清酒</t>
    </r>
  </si>
  <si>
    <t>三易奇康</t>
  </si>
  <si>
    <t>深圳市三易康养科技有限公司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</si>
  <si>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</t>
    </r>
  </si>
  <si>
    <t>三易奇科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</si>
  <si>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薄荷酒;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</t>
    </r>
  </si>
  <si>
    <r>
      <t>抚</t>
    </r>
    <r>
      <rPr>
        <sz val="11"/>
        <color theme="1"/>
        <rFont val="ＭＳ Ｐゴシック"/>
        <family val="3"/>
        <charset val="128"/>
        <scheme val="minor"/>
      </rPr>
      <t>州市</t>
    </r>
    <r>
      <rPr>
        <sz val="11"/>
        <color theme="1"/>
        <rFont val="ＭＳ Ｐゴシック"/>
        <family val="3"/>
        <charset val="134"/>
        <scheme val="minor"/>
      </rPr>
      <t>临</t>
    </r>
    <r>
      <rPr>
        <sz val="11"/>
        <color theme="1"/>
        <rFont val="ＭＳ Ｐゴシック"/>
        <family val="3"/>
        <charset val="128"/>
        <scheme val="minor"/>
      </rPr>
      <t>川区良心酒厂</t>
    </r>
  </si>
  <si>
    <r>
      <t xml:space="preserve">烈酒; 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蜂蜜酒; 伏特加酒;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</si>
  <si>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神某人</t>
  </si>
  <si>
    <r>
      <t>神木市年食子餐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</si>
  <si>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高粱酒;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</si>
  <si>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CSP-LA</t>
  </si>
  <si>
    <r>
      <t>哈</t>
    </r>
    <r>
      <rPr>
        <sz val="11"/>
        <color theme="1"/>
        <rFont val="ＭＳ Ｐゴシック"/>
        <family val="3"/>
        <charset val="134"/>
        <scheme val="minor"/>
      </rPr>
      <t>尔滨</t>
    </r>
    <r>
      <rPr>
        <sz val="11"/>
        <color theme="1"/>
        <rFont val="ＭＳ Ｐゴシック"/>
        <family val="3"/>
        <charset val="128"/>
        <scheme val="minor"/>
      </rPr>
      <t>佳</t>
    </r>
    <r>
      <rPr>
        <sz val="11"/>
        <color theme="1"/>
        <rFont val="ＭＳ Ｐゴシック"/>
        <family val="3"/>
        <charset val="134"/>
        <scheme val="minor"/>
      </rPr>
      <t>锋</t>
    </r>
    <r>
      <rPr>
        <sz val="11"/>
        <color theme="1"/>
        <rFont val="ＭＳ Ｐゴシック"/>
        <family val="3"/>
        <charset val="128"/>
        <scheme val="minor"/>
      </rPr>
      <t>智能工程有限公司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</si>
  <si>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威士忌;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甜酒; 米酒;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</si>
  <si>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酉道酉你</t>
  </si>
  <si>
    <r>
      <t>河源市酉道酉你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材有限公司</t>
    </r>
  </si>
  <si>
    <r>
      <t>白酒; 葡萄酒; 米酒;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</si>
  <si>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洗甲河</t>
  </si>
  <si>
    <r>
      <t>叶立</t>
    </r>
    <r>
      <rPr>
        <sz val="11"/>
        <color theme="1"/>
        <rFont val="ＭＳ Ｐゴシック"/>
        <family val="3"/>
        <charset val="134"/>
        <scheme val="minor"/>
      </rPr>
      <t>书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</si>
  <si>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食用酒精; 葡萄酒; 果酒（含酒精）; 白酒; 威士忌</t>
    </r>
  </si>
  <si>
    <r>
      <t>申品</t>
    </r>
    <r>
      <rPr>
        <sz val="11"/>
        <color theme="1"/>
        <rFont val="ＭＳ Ｐゴシック"/>
        <family val="3"/>
        <charset val="134"/>
        <scheme val="minor"/>
      </rPr>
      <t>荟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</si>
  <si>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翔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</si>
  <si>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高粱酒;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</si>
  <si>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r>
      <t>镖</t>
    </r>
    <r>
      <rPr>
        <sz val="11"/>
        <color theme="1"/>
        <rFont val="ＭＳ Ｐゴシック"/>
        <family val="3"/>
        <charset val="128"/>
        <scheme val="minor"/>
      </rPr>
      <t>脉</t>
    </r>
  </si>
  <si>
    <r>
      <t>许</t>
    </r>
    <r>
      <rPr>
        <sz val="11"/>
        <color theme="1"/>
        <rFont val="ＭＳ Ｐゴシック"/>
        <family val="3"/>
        <charset val="128"/>
        <scheme val="minor"/>
      </rPr>
      <t>昌</t>
    </r>
    <r>
      <rPr>
        <sz val="11"/>
        <color theme="1"/>
        <rFont val="ＭＳ Ｐゴシック"/>
        <family val="3"/>
        <charset val="134"/>
        <scheme val="minor"/>
      </rPr>
      <t>镖</t>
    </r>
    <r>
      <rPr>
        <sz val="11"/>
        <color theme="1"/>
        <rFont val="ＭＳ Ｐゴシック"/>
        <family val="3"/>
        <charset val="128"/>
        <scheme val="minor"/>
      </rPr>
      <t>族</t>
    </r>
    <r>
      <rPr>
        <sz val="11"/>
        <color theme="1"/>
        <rFont val="ＭＳ Ｐゴシック"/>
        <family val="3"/>
        <charset val="134"/>
        <scheme val="minor"/>
      </rPr>
      <t>严选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</si>
  <si>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葡萄酒;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白干酒（中国白酒）; 烈酒; 高粱酒; 黄酒</t>
    </r>
  </si>
  <si>
    <t>小帝王津</t>
  </si>
  <si>
    <r>
      <t>天津市大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</si>
  <si>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汽酒; 白酒; 果酒;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利口酒</t>
    </r>
  </si>
  <si>
    <r>
      <t>大宝小</t>
    </r>
    <r>
      <rPr>
        <sz val="11"/>
        <color theme="1"/>
        <rFont val="ＭＳ Ｐゴシック"/>
        <family val="3"/>
        <charset val="134"/>
        <scheme val="minor"/>
      </rPr>
      <t>贝</t>
    </r>
  </si>
  <si>
    <r>
      <t>潘</t>
    </r>
    <r>
      <rPr>
        <sz val="11"/>
        <color theme="1"/>
        <rFont val="ＭＳ Ｐゴシック"/>
        <family val="3"/>
        <charset val="134"/>
        <scheme val="minor"/>
      </rPr>
      <t>觉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</si>
  <si>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果酒;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</si>
  <si>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徐味佳</t>
  </si>
  <si>
    <r>
      <t>宁波美滋园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味品有限公司</t>
    </r>
  </si>
  <si>
    <r>
      <t xml:space="preserve">黄酒; 白酒; 蒸煮提取物（利口酒和烈酒）; 葡萄酒;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清酒; 米酒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</si>
  <si>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羊富渚酒</t>
    </r>
  </si>
  <si>
    <r>
      <t>杭州富阳区万市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唐家酒坊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</si>
  <si>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果酒; 白酒; 高粱酒;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苦味酒</t>
    </r>
  </si>
  <si>
    <r>
      <t>多彩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方韵</t>
    </r>
  </si>
  <si>
    <r>
      <t>葡萄酒; 开胃酒; 黄酒;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食用酒精;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</si>
  <si>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雪邦</t>
    </r>
    <r>
      <rPr>
        <sz val="11"/>
        <color theme="1"/>
        <rFont val="ＭＳ Ｐゴシック"/>
        <family val="3"/>
        <charset val="134"/>
        <scheme val="minor"/>
      </rPr>
      <t>亲</t>
    </r>
  </si>
  <si>
    <r>
      <t>大理白之源商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</si>
  <si>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高粱酒;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</si>
  <si>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化朴</t>
  </si>
  <si>
    <t>杭州化朴生物科技有限公司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</si>
  <si>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高粱酒; 葡萄酒;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</si>
  <si>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马头</t>
    </r>
    <r>
      <rPr>
        <sz val="11"/>
        <color theme="1"/>
        <rFont val="ＭＳ Ｐゴシック"/>
        <family val="3"/>
        <charset val="128"/>
        <scheme val="minor"/>
      </rPr>
      <t>关</t>
    </r>
  </si>
  <si>
    <r>
      <t>史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花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</si>
  <si>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米酒;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</si>
  <si>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优</t>
    </r>
    <r>
      <rPr>
        <sz val="11"/>
        <color theme="1"/>
        <rFont val="ＭＳ Ｐゴシック"/>
        <family val="3"/>
        <charset val="128"/>
        <scheme val="minor"/>
      </rPr>
      <t>美地酒庄</t>
    </r>
  </si>
  <si>
    <r>
      <t>无</t>
    </r>
    <r>
      <rPr>
        <sz val="11"/>
        <color theme="1"/>
        <rFont val="ＭＳ Ｐゴシック"/>
        <family val="3"/>
        <charset val="134"/>
        <scheme val="minor"/>
      </rPr>
      <t>锡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美地物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网科技有限公司</t>
    </r>
  </si>
  <si>
    <t>高粱酒; 烈酒; 白酒; 清酒; 米酒; 果酒（含酒精）; 葡萄酒; 黄酒; 果酒; 威士忌</t>
  </si>
  <si>
    <r>
      <t>豫之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</si>
  <si>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玲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</si>
  <si>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威士忌; 白酒; 清酒（日本米酒）; 烈酒; 葡萄酒; 黄酒</t>
    </r>
  </si>
  <si>
    <r>
      <t>千</t>
    </r>
    <r>
      <rPr>
        <sz val="11"/>
        <color theme="1"/>
        <rFont val="ＭＳ Ｐゴシック"/>
        <family val="3"/>
        <charset val="134"/>
        <scheme val="minor"/>
      </rPr>
      <t>玺</t>
    </r>
    <r>
      <rPr>
        <sz val="11"/>
        <color theme="1"/>
        <rFont val="ＭＳ Ｐゴシック"/>
        <family val="3"/>
        <charset val="128"/>
        <scheme val="minor"/>
      </rPr>
      <t>荣耀</t>
    </r>
  </si>
  <si>
    <r>
      <t>四川省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圣酒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</si>
  <si>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黄酒;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威士忌</t>
    </r>
  </si>
  <si>
    <t>驴团团</t>
  </si>
  <si>
    <r>
      <t>神仙姐姐(厦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)投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</si>
  <si>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黄酒; 白酒; 烈酒;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白葡萄酒; 伏特加酒</t>
    </r>
  </si>
  <si>
    <r>
      <t>仑</t>
    </r>
    <r>
      <rPr>
        <sz val="11"/>
        <color theme="1"/>
        <rFont val="ＭＳ Ｐゴシック"/>
        <family val="3"/>
        <charset val="128"/>
        <scheme val="minor"/>
      </rPr>
      <t>昌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</si>
  <si>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t>吴柱</t>
  </si>
  <si>
    <r>
      <t xml:space="preserve">黄酒; 高粱酒; 果酒; 烈酒; 葡萄酒; 米酒;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白干酒（中国白酒）</t>
    </r>
  </si>
  <si>
    <t>棘研堂</t>
  </si>
  <si>
    <r>
      <t>山西待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</si>
  <si>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含酒精的气泡水</t>
    </r>
  </si>
  <si>
    <t>安沃吉</t>
  </si>
  <si>
    <r>
      <t>湘西自治州安沃吉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</si>
  <si>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蜂蜜酒; 葡萄酒;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清酒（日本米酒）;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</si>
  <si>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泰和玖章</t>
  </si>
  <si>
    <t>陈闯</t>
  </si>
  <si>
    <r>
      <t xml:space="preserve">米酒; 汽酒; 食用酒精; 白酒; 高粱酒; 葡萄酒; 果酒（含酒精）;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开胃酒</t>
    </r>
  </si>
  <si>
    <t>泫南香</t>
  </si>
  <si>
    <r>
      <t>苟桂</t>
    </r>
    <r>
      <rPr>
        <sz val="11"/>
        <color theme="1"/>
        <rFont val="ＭＳ Ｐゴシック"/>
        <family val="3"/>
        <charset val="134"/>
        <scheme val="minor"/>
      </rPr>
      <t>琼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</si>
  <si>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黄酒;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</si>
  <si>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亚</t>
    </r>
    <r>
      <rPr>
        <sz val="11"/>
        <color theme="1"/>
        <rFont val="ＭＳ Ｐゴシック"/>
        <family val="3"/>
        <charset val="128"/>
        <scheme val="minor"/>
      </rPr>
      <t>洲之恋</t>
    </r>
  </si>
  <si>
    <r>
      <t>湛江市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妃科技有限公司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</si>
  <si>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</t>
    </r>
  </si>
  <si>
    <r>
      <t>池小</t>
    </r>
    <r>
      <rPr>
        <sz val="11"/>
        <color theme="1"/>
        <rFont val="ＭＳ Ｐゴシック"/>
        <family val="3"/>
        <charset val="134"/>
        <scheme val="minor"/>
      </rPr>
      <t>坛</t>
    </r>
  </si>
  <si>
    <r>
      <t>米酒; 食用酒精;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</si>
  <si>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圆</t>
    </r>
    <r>
      <rPr>
        <sz val="11"/>
        <color theme="1"/>
        <rFont val="ＭＳ Ｐゴシック"/>
        <family val="3"/>
        <charset val="128"/>
        <scheme val="minor"/>
      </rPr>
      <t>君梦</t>
    </r>
    <r>
      <rPr>
        <sz val="11"/>
        <color theme="1"/>
        <rFont val="ＭＳ Ｐゴシック"/>
        <family val="3"/>
        <charset val="134"/>
        <scheme val="minor"/>
      </rPr>
      <t>农</t>
    </r>
  </si>
  <si>
    <r>
      <t>任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均</t>
    </r>
  </si>
  <si>
    <r>
      <t xml:space="preserve">高粱酒;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果酒（含酒精）;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白酒; 食用酒精</t>
    </r>
  </si>
  <si>
    <t>昆食</t>
  </si>
  <si>
    <r>
      <t>云南滇中两</t>
    </r>
    <r>
      <rPr>
        <sz val="11"/>
        <color theme="1"/>
        <rFont val="ＭＳ Ｐゴシック"/>
        <family val="3"/>
        <charset val="134"/>
        <scheme val="minor"/>
      </rPr>
      <t>亚创</t>
    </r>
    <r>
      <rPr>
        <sz val="11"/>
        <color theme="1"/>
        <rFont val="ＭＳ Ｐゴシック"/>
        <family val="3"/>
        <charset val="128"/>
        <scheme val="minor"/>
      </rPr>
      <t>新</t>
    </r>
    <r>
      <rPr>
        <sz val="11"/>
        <color theme="1"/>
        <rFont val="ＭＳ Ｐゴシック"/>
        <family val="3"/>
        <charset val="134"/>
        <scheme val="minor"/>
      </rPr>
      <t>设计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</si>
  <si>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</t>
    </r>
  </si>
  <si>
    <t>生命令</t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</si>
  <si>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同</t>
    </r>
    <r>
      <rPr>
        <sz val="11"/>
        <color theme="1"/>
        <rFont val="ＭＳ Ｐゴシック"/>
        <family val="3"/>
        <charset val="134"/>
        <scheme val="minor"/>
      </rPr>
      <t>济</t>
    </r>
    <r>
      <rPr>
        <sz val="11"/>
        <color theme="1"/>
        <rFont val="ＭＳ Ｐゴシック"/>
        <family val="3"/>
        <charset val="128"/>
        <scheme val="minor"/>
      </rPr>
      <t>思源科技有限公司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</si>
  <si>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蜂蜜酒;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</si>
  <si>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浮云</t>
    </r>
  </si>
  <si>
    <r>
      <t>山西杏花原生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</si>
  <si>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薄荷酒; 葡萄酒; 清酒（日本米酒）; 白酒; 米酒;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青稞酒; 果酒（含酒精）</t>
    </r>
  </si>
  <si>
    <r>
      <t>胜</t>
    </r>
    <r>
      <rPr>
        <sz val="11"/>
        <color theme="1"/>
        <rFont val="ＭＳ Ｐゴシック"/>
        <family val="3"/>
        <charset val="128"/>
        <scheme val="minor"/>
      </rPr>
      <t>天香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</si>
  <si>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烈性干酒;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高粱酒; 白干酒（中国白酒）; 五加皮酒（中国混合烈酒）;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葡萄酒</t>
    </r>
  </si>
  <si>
    <r>
      <t>成</t>
    </r>
    <r>
      <rPr>
        <sz val="11"/>
        <color theme="1"/>
        <rFont val="ＭＳ Ｐゴシック"/>
        <family val="3"/>
        <charset val="134"/>
        <scheme val="minor"/>
      </rPr>
      <t>义烧</t>
    </r>
    <r>
      <rPr>
        <sz val="11"/>
        <color theme="1"/>
        <rFont val="ＭＳ Ｐゴシック"/>
        <family val="3"/>
        <charset val="128"/>
        <scheme val="minor"/>
      </rPr>
      <t>坊大宗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</si>
  <si>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市茅合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</si>
  <si>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清酒（日本米酒）;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薄荷酒;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</si>
  <si>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计</t>
    </r>
    <r>
      <rPr>
        <sz val="11"/>
        <color theme="1"/>
        <rFont val="ＭＳ Ｐゴシック"/>
        <family val="3"/>
        <charset val="128"/>
        <scheme val="minor"/>
      </rPr>
      <t>中</t>
    </r>
    <r>
      <rPr>
        <sz val="11"/>
        <color theme="1"/>
        <rFont val="ＭＳ Ｐゴシック"/>
        <family val="3"/>
        <charset val="134"/>
        <scheme val="minor"/>
      </rPr>
      <t>计营销</t>
    </r>
    <r>
      <rPr>
        <sz val="11"/>
        <color theme="1"/>
        <rFont val="ＭＳ Ｐゴシック"/>
        <family val="3"/>
        <charset val="128"/>
        <scheme val="minor"/>
      </rPr>
      <t>策划有限公司</t>
    </r>
  </si>
  <si>
    <r>
      <t xml:space="preserve">食用酒精;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白酒;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青稞酒; 威士忌</t>
    </r>
  </si>
  <si>
    <t>利今朝</t>
  </si>
  <si>
    <r>
      <t>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黄酒; 米酒</t>
    </r>
  </si>
  <si>
    <t>MASSERIA FRATTASI</t>
  </si>
  <si>
    <r>
      <t>里卡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多克莱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特YB*******</t>
    </r>
  </si>
  <si>
    <t>万事欣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</si>
  <si>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烈酒; 果酒（含酒精）</t>
    </r>
  </si>
  <si>
    <r>
      <t>鹤乡</t>
    </r>
    <r>
      <rPr>
        <sz val="11"/>
        <color theme="1"/>
        <rFont val="ＭＳ Ｐゴシック"/>
        <family val="3"/>
        <charset val="128"/>
        <scheme val="minor"/>
      </rPr>
      <t>潭</t>
    </r>
  </si>
  <si>
    <r>
      <t>盘锦</t>
    </r>
    <r>
      <rPr>
        <sz val="11"/>
        <color theme="1"/>
        <rFont val="ＭＳ Ｐゴシック"/>
        <family val="3"/>
        <charset val="128"/>
        <scheme val="minor"/>
      </rPr>
      <t>市双台子区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城明潭烟酒茶行</t>
    </r>
  </si>
  <si>
    <r>
      <t xml:space="preserve">果酒（含酒精）; 汽酒;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</si>
  <si>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喜忘</t>
    </r>
    <r>
      <rPr>
        <sz val="11"/>
        <color theme="1"/>
        <rFont val="ＭＳ Ｐゴシック"/>
        <family val="3"/>
        <charset val="134"/>
        <scheme val="minor"/>
      </rPr>
      <t>忧</t>
    </r>
  </si>
  <si>
    <r>
      <t>葡萄酒; 果酒; 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开胃酒</t>
    </r>
  </si>
  <si>
    <r>
      <t>世名</t>
    </r>
    <r>
      <rPr>
        <sz val="11"/>
        <color theme="1"/>
        <rFont val="ＭＳ Ｐゴシック"/>
        <family val="3"/>
        <charset val="134"/>
        <scheme val="minor"/>
      </rPr>
      <t>门</t>
    </r>
  </si>
  <si>
    <t>金立平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</si>
  <si>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清酒（日本米酒）; 餐后酒（利口酒和烈酒）;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</si>
  <si>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瑞</t>
    </r>
    <r>
      <rPr>
        <sz val="11"/>
        <color theme="1"/>
        <rFont val="ＭＳ Ｐゴシック"/>
        <family val="3"/>
        <charset val="134"/>
        <scheme val="minor"/>
      </rPr>
      <t>钻</t>
    </r>
  </si>
  <si>
    <r>
      <t>徐州臻</t>
    </r>
    <r>
      <rPr>
        <sz val="11"/>
        <color theme="1"/>
        <rFont val="ＭＳ Ｐゴシック"/>
        <family val="3"/>
        <charset val="134"/>
        <scheme val="minor"/>
      </rPr>
      <t>蕴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</si>
  <si>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清酒（日本米酒）; 黄酒; 梨酒; 白酒; 利口酒;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青稞酒; 开胃酒</t>
    </r>
  </si>
  <si>
    <r>
      <t>尘</t>
    </r>
    <r>
      <rPr>
        <sz val="11"/>
        <color theme="1"/>
        <rFont val="ＭＳ Ｐゴシック"/>
        <family val="3"/>
        <charset val="128"/>
        <scheme val="minor"/>
      </rPr>
      <t>里</t>
    </r>
    <r>
      <rPr>
        <sz val="11"/>
        <color theme="1"/>
        <rFont val="ＭＳ Ｐゴシック"/>
        <family val="3"/>
        <charset val="134"/>
        <scheme val="minor"/>
      </rPr>
      <t>尘</t>
    </r>
    <r>
      <rPr>
        <sz val="11"/>
        <color theme="1"/>
        <rFont val="ＭＳ Ｐゴシック"/>
        <family val="3"/>
        <charset val="128"/>
        <scheme val="minor"/>
      </rPr>
      <t>外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</si>
  <si>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浩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</si>
  <si>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白干酒（中国白酒）;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</si>
  <si>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</si>
  <si>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花容妃 FLOWERYCONCUBINE</t>
  </si>
  <si>
    <r>
      <t>杭州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旅科技有限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</si>
  <si>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威士忌; 汽酒;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白酒</t>
    </r>
  </si>
  <si>
    <t>美酩古今</t>
  </si>
  <si>
    <r>
      <t>王</t>
    </r>
    <r>
      <rPr>
        <sz val="11"/>
        <color theme="1"/>
        <rFont val="ＭＳ Ｐゴシック"/>
        <family val="3"/>
        <charset val="134"/>
        <scheme val="minor"/>
      </rPr>
      <t>萤萤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</si>
  <si>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</si>
  <si>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明御</t>
    </r>
    <r>
      <rPr>
        <sz val="11"/>
        <color theme="1"/>
        <rFont val="ＭＳ Ｐゴシック"/>
        <family val="3"/>
        <charset val="134"/>
        <scheme val="minor"/>
      </rPr>
      <t>汉兴</t>
    </r>
  </si>
  <si>
    <r>
      <t>合肥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久辰商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</si>
  <si>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蒸煮提取物（利口酒和烈酒）; 白酒; 清酒（日本米酒）; 威士忌; 米酒; 伏特加酒;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</si>
  <si>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粮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</si>
  <si>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海南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粮科技有限公司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</si>
  <si>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米酒;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果酒（含酒精）</t>
    </r>
  </si>
  <si>
    <t>有黔世家</t>
  </si>
  <si>
    <r>
      <t>广州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富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</si>
  <si>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蒸煮提取物（利口酒和烈酒）;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</si>
  <si>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涌泉老釂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</si>
  <si>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州花千墨生物科技有限公司</t>
    </r>
  </si>
  <si>
    <r>
      <t>葡萄酒; 黄酒;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清酒（日本米酒）</t>
    </r>
  </si>
  <si>
    <r>
      <t>百岳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</si>
  <si>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开胃酒; 葡萄酒; 食用酒精; 果酒（含酒精）</t>
    </r>
  </si>
  <si>
    <r>
      <t>哈</t>
    </r>
    <r>
      <rPr>
        <sz val="11"/>
        <color theme="1"/>
        <rFont val="ＭＳ Ｐゴシック"/>
        <family val="3"/>
        <charset val="134"/>
        <scheme val="minor"/>
      </rPr>
      <t>欢</t>
    </r>
    <r>
      <rPr>
        <sz val="11"/>
        <color theme="1"/>
        <rFont val="ＭＳ Ｐゴシック"/>
        <family val="3"/>
        <charset val="128"/>
        <scheme val="minor"/>
      </rPr>
      <t>宗</t>
    </r>
  </si>
  <si>
    <r>
      <t>吉林省合</t>
    </r>
    <r>
      <rPr>
        <sz val="11"/>
        <color theme="1"/>
        <rFont val="ＭＳ Ｐゴシック"/>
        <family val="3"/>
        <charset val="134"/>
        <scheme val="minor"/>
      </rPr>
      <t>欢</t>
    </r>
    <r>
      <rPr>
        <sz val="11"/>
        <color theme="1"/>
        <rFont val="ＭＳ Ｐゴシック"/>
        <family val="3"/>
        <charset val="128"/>
        <scheme val="minor"/>
      </rPr>
      <t>宗广告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</si>
  <si>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开胃酒;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</si>
  <si>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r>
      <t>追</t>
    </r>
    <r>
      <rPr>
        <sz val="11"/>
        <color theme="1"/>
        <rFont val="ＭＳ Ｐゴシック"/>
        <family val="3"/>
        <charset val="134"/>
        <scheme val="minor"/>
      </rPr>
      <t>渔</t>
    </r>
    <r>
      <rPr>
        <sz val="11"/>
        <color theme="1"/>
        <rFont val="ＭＳ Ｐゴシック"/>
        <family val="3"/>
        <charset val="128"/>
        <scheme val="minor"/>
      </rPr>
      <t>者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</si>
  <si>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好多</t>
    </r>
    <r>
      <rPr>
        <sz val="11"/>
        <color theme="1"/>
        <rFont val="ＭＳ Ｐゴシック"/>
        <family val="3"/>
        <charset val="134"/>
        <scheme val="minor"/>
      </rPr>
      <t>渔</t>
    </r>
    <r>
      <rPr>
        <sz val="11"/>
        <color theme="1"/>
        <rFont val="ＭＳ Ｐゴシック"/>
        <family val="3"/>
        <charset val="128"/>
        <scheme val="minor"/>
      </rPr>
      <t>水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</si>
  <si>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</si>
  <si>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t>一三霖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</si>
  <si>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沃</t>
    </r>
    <r>
      <rPr>
        <sz val="11"/>
        <color theme="1"/>
        <rFont val="ＭＳ Ｐゴシック"/>
        <family val="3"/>
        <charset val="134"/>
        <scheme val="minor"/>
      </rPr>
      <t>贝尔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</si>
  <si>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米酒;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</si>
  <si>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池畔</t>
  </si>
  <si>
    <r>
      <t>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</si>
  <si>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杏介</t>
  </si>
  <si>
    <r>
      <t>韩</t>
    </r>
    <r>
      <rPr>
        <sz val="11"/>
        <color theme="1"/>
        <rFont val="ＭＳ Ｐゴシック"/>
        <family val="3"/>
        <charset val="128"/>
        <scheme val="minor"/>
      </rPr>
      <t>舒瑾</t>
    </r>
  </si>
  <si>
    <r>
      <t xml:space="preserve">葡萄酒; 果酒（含酒精）; 黄酒; 青稞酒;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酸酒（低等葡萄酒）;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</si>
  <si>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云根山</t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</si>
  <si>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晟文化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</si>
  <si>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米酒; 蜂蜜酒; 白酒; 高粱酒; 清酒;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</si>
  <si>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瓮中真</t>
  </si>
  <si>
    <r>
      <t>烈性干酒;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用烈酒; 五加皮酒（中国混合烈酒）; 黄酒; 高粱酒;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</si>
  <si>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苹</t>
    </r>
    <r>
      <rPr>
        <sz val="11"/>
        <color theme="1"/>
        <rFont val="ＭＳ Ｐゴシック"/>
        <family val="3"/>
        <charset val="134"/>
        <scheme val="minor"/>
      </rPr>
      <t>尝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</si>
  <si>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苏亿</t>
    </r>
    <r>
      <rPr>
        <sz val="11"/>
        <color theme="1"/>
        <rFont val="ＭＳ Ｐゴシック"/>
        <family val="3"/>
        <charset val="128"/>
        <scheme val="minor"/>
      </rPr>
      <t>果香生物科技有限公司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</si>
  <si>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干型苹果酒; 白酒; 果酒（含酒精）;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汽酒;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水果汽酒;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</si>
  <si>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滘</t>
    </r>
    <r>
      <rPr>
        <sz val="11"/>
        <color theme="1"/>
        <rFont val="ＭＳ Ｐゴシック"/>
        <family val="3"/>
        <charset val="128"/>
        <scheme val="minor"/>
      </rPr>
      <t>今朝</t>
    </r>
  </si>
  <si>
    <r>
      <t xml:space="preserve">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黄酒; 清酒（日本米酒）; 烈酒;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</si>
  <si>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t>雪邦情</t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</si>
  <si>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</si>
  <si>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百</t>
    </r>
    <r>
      <rPr>
        <sz val="11"/>
        <color theme="1"/>
        <rFont val="ＭＳ Ｐゴシック"/>
        <family val="3"/>
        <charset val="134"/>
        <scheme val="minor"/>
      </rPr>
      <t>业兴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</si>
  <si>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</si>
  <si>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万事新</t>
  </si>
  <si>
    <r>
      <t>果酒（含酒精）; 白酒; 蒸煮提取物（利口酒和烈酒）; 烈酒; 伏特加酒;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</si>
  <si>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筑筑侠</t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</si>
  <si>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一批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</si>
  <si>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米酒; 高粱酒; 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</si>
  <si>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仙源株木</t>
  </si>
  <si>
    <r>
      <t>万</t>
    </r>
    <r>
      <rPr>
        <sz val="11"/>
        <color theme="1"/>
        <rFont val="ＭＳ Ｐゴシック"/>
        <family val="3"/>
        <charset val="134"/>
        <scheme val="minor"/>
      </rPr>
      <t>载县</t>
    </r>
    <r>
      <rPr>
        <sz val="11"/>
        <color theme="1"/>
        <rFont val="ＭＳ Ｐゴシック"/>
        <family val="3"/>
        <charset val="128"/>
        <scheme val="minor"/>
      </rPr>
      <t>仙源仙泉酒坊</t>
    </r>
  </si>
  <si>
    <r>
      <t>甜酒;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</si>
  <si>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馫</t>
    </r>
    <r>
      <rPr>
        <sz val="11"/>
        <color theme="1"/>
        <rFont val="ＭＳ Ｐゴシック"/>
        <family val="3"/>
        <charset val="128"/>
        <scheme val="minor"/>
      </rPr>
      <t>馥酒海</t>
    </r>
  </si>
  <si>
    <r>
      <t>安徽有无酒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</si>
  <si>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清酒; 黄酒; 白酒;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威士忌; 米酒; 果酒</t>
    </r>
  </si>
  <si>
    <r>
      <t>赤兀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和</t>
    </r>
  </si>
  <si>
    <r>
      <t xml:space="preserve">黄酒; 果酒（含酒精）; 葡萄酒; 食用酒精; 米酒; 威士忌;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白酒</t>
    </r>
  </si>
  <si>
    <r>
      <t>岁</t>
    </r>
    <r>
      <rPr>
        <sz val="11"/>
        <color theme="1"/>
        <rFont val="ＭＳ Ｐゴシック"/>
        <family val="3"/>
        <charset val="128"/>
        <scheme val="minor"/>
      </rPr>
      <t>越舟</t>
    </r>
  </si>
  <si>
    <r>
      <t>金正</t>
    </r>
    <r>
      <rPr>
        <sz val="11"/>
        <color theme="1"/>
        <rFont val="ＭＳ Ｐゴシック"/>
        <family val="3"/>
        <charset val="134"/>
        <scheme val="minor"/>
      </rPr>
      <t>义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</si>
  <si>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清酒;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白酒</t>
    </r>
  </si>
  <si>
    <r>
      <t>时联</t>
    </r>
    <r>
      <rPr>
        <sz val="11"/>
        <color theme="1"/>
        <rFont val="ＭＳ Ｐゴシック"/>
        <family val="3"/>
        <charset val="128"/>
        <scheme val="minor"/>
      </rPr>
      <t>和</t>
    </r>
    <r>
      <rPr>
        <sz val="11"/>
        <color theme="1"/>
        <rFont val="ＭＳ Ｐゴシック"/>
        <family val="3"/>
        <charset val="134"/>
        <scheme val="minor"/>
      </rPr>
      <t>赢</t>
    </r>
  </si>
  <si>
    <t>金湘蕙</t>
  </si>
  <si>
    <r>
      <t>清酒; 利口酒; 朗姆酒; 白酒;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果酒; 米酒</t>
    </r>
  </si>
  <si>
    <r>
      <t>旨</t>
    </r>
    <r>
      <rPr>
        <sz val="11"/>
        <color theme="1"/>
        <rFont val="ＭＳ Ｐゴシック"/>
        <family val="3"/>
        <charset val="134"/>
        <scheme val="minor"/>
      </rPr>
      <t>义烧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</si>
  <si>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 xml:space="preserve">白干酒（中国白酒）;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高粱酒; 烈酒; 威士忌; 果酒; 黄酒</t>
    </r>
  </si>
  <si>
    <r>
      <t>黔之</t>
    </r>
    <r>
      <rPr>
        <sz val="11"/>
        <color theme="1"/>
        <rFont val="ＭＳ Ｐゴシック"/>
        <family val="3"/>
        <charset val="134"/>
        <scheme val="minor"/>
      </rPr>
      <t>浔</t>
    </r>
  </si>
  <si>
    <t>甘治林</t>
  </si>
  <si>
    <r>
      <t xml:space="preserve">米酒; 黄酒; 食用酒精; 清酒;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果酒</t>
    </r>
  </si>
  <si>
    <r>
      <t>佳</t>
    </r>
    <r>
      <rPr>
        <sz val="11"/>
        <color theme="1"/>
        <rFont val="ＭＳ Ｐゴシック"/>
        <family val="3"/>
        <charset val="134"/>
        <scheme val="minor"/>
      </rPr>
      <t>顿</t>
    </r>
    <r>
      <rPr>
        <sz val="11"/>
        <color theme="1"/>
        <rFont val="ＭＳ Ｐゴシック"/>
        <family val="3"/>
        <charset val="128"/>
        <scheme val="minor"/>
      </rPr>
      <t>路易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</si>
  <si>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翠珍</t>
    </r>
  </si>
  <si>
    <r>
      <t>清酒（日本米酒）; 伏特加酒;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</t>
    </r>
  </si>
  <si>
    <t>醉黑楼</t>
  </si>
  <si>
    <r>
      <t>惠民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黑楼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</si>
  <si>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食用酒精; 葡萄酒; 黄酒; 汽酒;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</si>
  <si>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侠影</t>
    </r>
    <r>
      <rPr>
        <sz val="11"/>
        <color theme="1"/>
        <rFont val="ＭＳ Ｐゴシック"/>
        <family val="3"/>
        <charset val="134"/>
        <scheme val="minor"/>
      </rPr>
      <t>潇</t>
    </r>
    <r>
      <rPr>
        <sz val="11"/>
        <color theme="1"/>
        <rFont val="ＭＳ Ｐゴシック"/>
        <family val="3"/>
        <charset val="128"/>
        <scheme val="minor"/>
      </rPr>
      <t>烟</t>
    </r>
  </si>
  <si>
    <r>
      <t>侠影</t>
    </r>
    <r>
      <rPr>
        <sz val="11"/>
        <color theme="1"/>
        <rFont val="ＭＳ Ｐゴシック"/>
        <family val="3"/>
        <charset val="134"/>
        <scheme val="minor"/>
      </rPr>
      <t>潇</t>
    </r>
    <r>
      <rPr>
        <sz val="11"/>
        <color theme="1"/>
        <rFont val="ＭＳ Ｐゴシック"/>
        <family val="3"/>
        <charset val="128"/>
        <scheme val="minor"/>
      </rPr>
      <t>烟（广州）文化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</si>
  <si>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葡萄酒;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</t>
    </r>
  </si>
  <si>
    <t>炎禾</t>
  </si>
  <si>
    <r>
      <t xml:space="preserve">开胃酒; 白酒; 烈酒; 果酒（含酒精）; 威士忌;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</si>
  <si>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AIBIKA</t>
  </si>
  <si>
    <r>
      <t>艾比卡（广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）生物科技有限公司</t>
    </r>
  </si>
  <si>
    <r>
      <t>食用酒精;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</si>
  <si>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馋</t>
    </r>
    <r>
      <rPr>
        <sz val="11"/>
        <color theme="1"/>
        <rFont val="ＭＳ Ｐゴシック"/>
        <family val="3"/>
        <charset val="128"/>
        <scheme val="minor"/>
      </rPr>
      <t>老粤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</si>
  <si>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老粤食品有限公司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</si>
  <si>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果酒（含酒精）; 高粱酒</t>
    </r>
  </si>
  <si>
    <r>
      <t>葡</t>
    </r>
    <r>
      <rPr>
        <sz val="11"/>
        <color theme="1"/>
        <rFont val="ＭＳ Ｐゴシック"/>
        <family val="3"/>
        <charset val="134"/>
        <scheme val="minor"/>
      </rPr>
      <t>缇</t>
    </r>
    <r>
      <rPr>
        <sz val="11"/>
        <color theme="1"/>
        <rFont val="ＭＳ Ｐゴシック"/>
        <family val="3"/>
        <charset val="128"/>
        <scheme val="minor"/>
      </rPr>
      <t>湾 PUTYGO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</si>
  <si>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食用酒精; 果酒;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</t>
    </r>
  </si>
  <si>
    <r>
      <t>鹤乡</t>
    </r>
    <r>
      <rPr>
        <sz val="11"/>
        <color theme="1"/>
        <rFont val="ＭＳ Ｐゴシック"/>
        <family val="3"/>
        <charset val="128"/>
        <scheme val="minor"/>
      </rPr>
      <t>特</t>
    </r>
  </si>
  <si>
    <r>
      <t>米酒; 果酒（含酒精）; 甜酒;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汽酒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</si>
  <si>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羊富聚酒</t>
    </r>
  </si>
  <si>
    <r>
      <t>白酒; 果酒;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苦味酒;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</si>
  <si>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杏福至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</si>
  <si>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米酒; 食用酒精; 蜂蜜酒; 开胃酒;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</si>
  <si>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t>爷问</t>
  </si>
  <si>
    <r>
      <t>海口</t>
    </r>
    <r>
      <rPr>
        <sz val="11"/>
        <color theme="1"/>
        <rFont val="ＭＳ Ｐゴシック"/>
        <family val="3"/>
        <charset val="134"/>
        <scheme val="minor"/>
      </rPr>
      <t>龙华</t>
    </r>
    <r>
      <rPr>
        <sz val="11"/>
        <color theme="1"/>
        <rFont val="ＭＳ Ｐゴシック"/>
        <family val="3"/>
        <charset val="128"/>
        <scheme val="minor"/>
      </rPr>
      <t>宙夕食品</t>
    </r>
    <r>
      <rPr>
        <sz val="11"/>
        <color theme="1"/>
        <rFont val="ＭＳ Ｐゴシック"/>
        <family val="3"/>
        <charset val="134"/>
        <scheme val="minor"/>
      </rPr>
      <t>经营</t>
    </r>
    <r>
      <rPr>
        <sz val="11"/>
        <color theme="1"/>
        <rFont val="ＭＳ Ｐゴシック"/>
        <family val="3"/>
        <charset val="128"/>
        <scheme val="minor"/>
      </rPr>
      <t>部（个体工商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</si>
  <si>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果酒; 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梅酒; 白酒; 黄酒</t>
    </r>
  </si>
  <si>
    <r>
      <t>浔</t>
    </r>
    <r>
      <rPr>
        <sz val="11"/>
        <color theme="1"/>
        <rFont val="ＭＳ Ｐゴシック"/>
        <family val="3"/>
        <charset val="128"/>
        <scheme val="minor"/>
      </rPr>
      <t>小度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</si>
  <si>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威士忌; 清酒（日本米酒）; 白酒; 果酒（含酒精）</t>
    </r>
  </si>
  <si>
    <r>
      <t>诺</t>
    </r>
    <r>
      <rPr>
        <sz val="11"/>
        <color theme="1"/>
        <rFont val="ＭＳ Ｐゴシック"/>
        <family val="3"/>
        <charset val="128"/>
        <scheme val="minor"/>
      </rPr>
      <t>千斤</t>
    </r>
  </si>
  <si>
    <r>
      <t xml:space="preserve">葡萄酒; 露酒; 果酒; 清酒（日本米酒）; 白酒; 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</si>
  <si>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盛大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</si>
  <si>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餐后酒（利口酒和烈酒）; 白酒; 葡萄酒</t>
    </r>
  </si>
  <si>
    <t>悦粹</t>
  </si>
  <si>
    <r>
      <t>山西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悦商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</si>
  <si>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露酒; 青梅酒;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果酒（含酒精）;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</si>
  <si>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棘枝堂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</si>
  <si>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含酒精的气泡水;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</t>
    </r>
  </si>
  <si>
    <t>黄良九</t>
  </si>
  <si>
    <t>黄海</t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</si>
  <si>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开胃酒;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</si>
  <si>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柏里春</t>
  </si>
  <si>
    <r>
      <t>徐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秦</t>
    </r>
  </si>
  <si>
    <r>
      <t>果酒（含酒精）; 米酒;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草本型利口酒;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</si>
  <si>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遵禾斗</t>
  </si>
  <si>
    <r>
      <t>张</t>
    </r>
    <r>
      <rPr>
        <sz val="11"/>
        <color theme="1"/>
        <rFont val="ＭＳ Ｐゴシック"/>
        <family val="3"/>
        <charset val="128"/>
        <scheme val="minor"/>
      </rPr>
      <t>元科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</si>
  <si>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开胃酒; 米酒;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</si>
  <si>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丘富余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</si>
  <si>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门长</t>
    </r>
    <r>
      <rPr>
        <sz val="11"/>
        <color theme="1"/>
        <rFont val="ＭＳ Ｐゴシック"/>
        <family val="3"/>
        <charset val="128"/>
        <scheme val="minor"/>
      </rPr>
      <t>丘富余酒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</si>
  <si>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果酒（含酒精）; 蜂蜜酒;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</si>
  <si>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窖人</t>
    </r>
    <r>
      <rPr>
        <sz val="11"/>
        <color theme="1"/>
        <rFont val="ＭＳ Ｐゴシック"/>
        <family val="3"/>
        <charset val="134"/>
        <scheme val="minor"/>
      </rPr>
      <t>贤</t>
    </r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</si>
  <si>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欢</t>
    </r>
    <r>
      <rPr>
        <sz val="11"/>
        <color theme="1"/>
        <rFont val="ＭＳ Ｐゴシック"/>
        <family val="3"/>
        <charset val="128"/>
        <scheme val="minor"/>
      </rPr>
      <t>峪酒</t>
    </r>
    <r>
      <rPr>
        <sz val="11"/>
        <color theme="1"/>
        <rFont val="ＭＳ Ｐゴシック"/>
        <family val="3"/>
        <charset val="134"/>
        <scheme val="minor"/>
      </rPr>
      <t>类经营</t>
    </r>
    <r>
      <rPr>
        <sz val="11"/>
        <color theme="1"/>
        <rFont val="ＭＳ Ｐゴシック"/>
        <family val="3"/>
        <charset val="128"/>
        <scheme val="minor"/>
      </rPr>
      <t>部（个体工商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</si>
  <si>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米酒; 黄酒; 果酒（含酒精）; 开胃酒; 清酒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</si>
  <si>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云</t>
    </r>
    <r>
      <rPr>
        <sz val="11"/>
        <color theme="1"/>
        <rFont val="ＭＳ Ｐゴシック"/>
        <family val="3"/>
        <charset val="134"/>
        <scheme val="minor"/>
      </rPr>
      <t>凤</t>
    </r>
  </si>
  <si>
    <t>裴娥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</si>
  <si>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食用酒精;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</si>
  <si>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食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型</t>
    </r>
  </si>
  <si>
    <r>
      <t>成都享天下企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</si>
  <si>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青稞酒</t>
    </r>
  </si>
  <si>
    <t>SANDALO</t>
  </si>
  <si>
    <r>
      <t>龙腾</t>
    </r>
    <r>
      <rPr>
        <sz val="11"/>
        <color theme="1"/>
        <rFont val="ＭＳ Ｐゴシック"/>
        <family val="3"/>
        <charset val="128"/>
        <scheme val="minor"/>
      </rPr>
      <t>堡有限公司</t>
    </r>
  </si>
  <si>
    <r>
      <t>开胃酒; 威士忌; 杜松子酒;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</si>
  <si>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湘作</t>
  </si>
  <si>
    <r>
      <t>张</t>
    </r>
    <r>
      <rPr>
        <sz val="11"/>
        <color theme="1"/>
        <rFont val="ＭＳ Ｐゴシック"/>
        <family val="3"/>
        <charset val="128"/>
        <scheme val="minor"/>
      </rPr>
      <t>永</t>
    </r>
    <r>
      <rPr>
        <sz val="11"/>
        <color theme="1"/>
        <rFont val="ＭＳ Ｐゴシック"/>
        <family val="3"/>
        <charset val="134"/>
        <scheme val="minor"/>
      </rPr>
      <t>琼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</si>
  <si>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黄酒; 米酒; 威士忌;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葡萄酒</t>
    </r>
  </si>
  <si>
    <t>君墨道</t>
  </si>
  <si>
    <t>程豪</t>
  </si>
  <si>
    <r>
      <t>白酒;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高粱酒; 甜酒; 白葡萄酒; 烈酒</t>
    </r>
  </si>
  <si>
    <r>
      <t>孔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知醉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</si>
  <si>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仁德立行文化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</si>
  <si>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</t>
    </r>
  </si>
  <si>
    <t>菩宴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</si>
  <si>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菩食品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</si>
  <si>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</si>
  <si>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GALERNA</t>
  </si>
  <si>
    <r>
      <t>葡萄酒; 苹果酒; 威士忌;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杜松子酒</t>
    </r>
  </si>
  <si>
    <r>
      <t>百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光良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</si>
  <si>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军</t>
    </r>
    <r>
      <rPr>
        <sz val="11"/>
        <color theme="1"/>
        <rFont val="ＭＳ Ｐゴシック"/>
        <family val="3"/>
        <charset val="128"/>
        <scheme val="minor"/>
      </rPr>
      <t>英</t>
    </r>
  </si>
  <si>
    <r>
      <t>葡萄酒; 梅酒; 高粱酒; 米酒; 开胃酒; 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果酒;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</t>
    </r>
  </si>
  <si>
    <t>大漠契丹</t>
  </si>
  <si>
    <r>
      <t>烟台金晟酒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</si>
  <si>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高粱酒; 青稞酒; 葡萄酒; 苹果酒; 食用酒精; 开胃酒; 白酒;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</si>
  <si>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果都</t>
    </r>
    <r>
      <rPr>
        <sz val="11"/>
        <color theme="1"/>
        <rFont val="ＭＳ Ｐゴシック"/>
        <family val="3"/>
        <charset val="134"/>
        <scheme val="minor"/>
      </rPr>
      <t>沣</t>
    </r>
    <r>
      <rPr>
        <sz val="11"/>
        <color theme="1"/>
        <rFont val="ＭＳ Ｐゴシック"/>
        <family val="3"/>
        <charset val="128"/>
        <scheme val="minor"/>
      </rPr>
      <t>林园</t>
    </r>
  </si>
  <si>
    <r>
      <t>烟台</t>
    </r>
    <r>
      <rPr>
        <sz val="11"/>
        <color theme="1"/>
        <rFont val="ＭＳ Ｐゴシック"/>
        <family val="3"/>
        <charset val="134"/>
        <scheme val="minor"/>
      </rPr>
      <t>沣</t>
    </r>
    <r>
      <rPr>
        <sz val="11"/>
        <color theme="1"/>
        <rFont val="ＭＳ Ｐゴシック"/>
        <family val="3"/>
        <charset val="128"/>
        <scheme val="minor"/>
      </rPr>
      <t>林生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园有限公司</t>
    </r>
  </si>
  <si>
    <r>
      <t xml:space="preserve">葡萄酒; 黄酒; 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果酒; 苹果酒; 米酒; 果酒（含酒精）;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高粱酒</t>
    </r>
  </si>
  <si>
    <t>令狐湘</t>
  </si>
  <si>
    <t>郜学全</t>
  </si>
  <si>
    <r>
      <t>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</si>
  <si>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盆帕</t>
    </r>
    <r>
      <rPr>
        <sz val="11"/>
        <color theme="1"/>
        <rFont val="ＭＳ Ｐゴシック"/>
        <family val="3"/>
        <charset val="134"/>
        <scheme val="minor"/>
      </rPr>
      <t>兰</t>
    </r>
  </si>
  <si>
    <t>沙忠林</t>
  </si>
  <si>
    <r>
      <t>五加皮酒（中国混合烈酒）; 果酒;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甘蔗汁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朗姆酒</t>
    </r>
  </si>
  <si>
    <t>黄胡子</t>
  </si>
  <si>
    <t>黄洪海(******************)</t>
  </si>
  <si>
    <r>
      <t xml:space="preserve">威士忌;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</si>
  <si>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醉享杏福</t>
  </si>
  <si>
    <r>
      <t>敦煌市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天山林开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</si>
  <si>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食用酒精;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伏特加酒; 蒸煮提取物（利口酒和烈酒）; 白酒</t>
    </r>
  </si>
  <si>
    <r>
      <t>比拉</t>
    </r>
    <r>
      <rPr>
        <sz val="11"/>
        <color theme="1"/>
        <rFont val="ＭＳ Ｐゴシック"/>
        <family val="3"/>
        <charset val="134"/>
        <scheme val="minor"/>
      </rPr>
      <t>顿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</si>
  <si>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比拉</t>
    </r>
    <r>
      <rPr>
        <sz val="11"/>
        <color theme="1"/>
        <rFont val="ＭＳ Ｐゴシック"/>
        <family val="3"/>
        <charset val="134"/>
        <scheme val="minor"/>
      </rPr>
      <t>顿贸</t>
    </r>
    <r>
      <rPr>
        <sz val="11"/>
        <color theme="1"/>
        <rFont val="ＭＳ Ｐゴシック"/>
        <family val="3"/>
        <charset val="128"/>
        <scheme val="minor"/>
      </rPr>
      <t>易有限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</si>
  <si>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葡萄酒; 食用酒精;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</si>
  <si>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酱门</t>
    </r>
    <r>
      <rPr>
        <sz val="11"/>
        <color theme="1"/>
        <rFont val="ＭＳ Ｐゴシック"/>
        <family val="3"/>
        <charset val="128"/>
        <scheme val="minor"/>
      </rPr>
      <t>世家酒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</si>
  <si>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伏特加酒; 薄荷酒;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</si>
  <si>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颍</t>
    </r>
    <r>
      <rPr>
        <sz val="11"/>
        <color theme="1"/>
        <rFont val="ＭＳ Ｐゴシック"/>
        <family val="3"/>
        <charset val="128"/>
        <scheme val="minor"/>
      </rPr>
      <t>泰</t>
    </r>
  </si>
  <si>
    <r>
      <t>秦皇</t>
    </r>
    <r>
      <rPr>
        <sz val="11"/>
        <color theme="1"/>
        <rFont val="ＭＳ Ｐゴシック"/>
        <family val="3"/>
        <charset val="134"/>
        <scheme val="minor"/>
      </rPr>
      <t>岛颍</t>
    </r>
    <r>
      <rPr>
        <sz val="11"/>
        <color theme="1"/>
        <rFont val="ＭＳ Ｐゴシック"/>
        <family val="3"/>
        <charset val="128"/>
        <scheme val="minor"/>
      </rPr>
      <t>海科技有限公司</t>
    </r>
  </si>
  <si>
    <r>
      <t xml:space="preserve">威士忌; 果酒（含酒精）; 黄酒; 米酒;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</si>
  <si>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STILLEGRET</t>
  </si>
  <si>
    <r>
      <t>上海茂</t>
    </r>
    <r>
      <rPr>
        <sz val="11"/>
        <color theme="1"/>
        <rFont val="ＭＳ Ｐゴシック"/>
        <family val="3"/>
        <charset val="134"/>
        <scheme val="minor"/>
      </rPr>
      <t>玺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</si>
  <si>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朗姆酒; 黄酒; 食用酒精; 白酒; 米酒; 威士忌</t>
    </r>
  </si>
  <si>
    <r>
      <t>时</t>
    </r>
    <r>
      <rPr>
        <sz val="11"/>
        <color theme="1"/>
        <rFont val="ＭＳ Ｐゴシック"/>
        <family val="3"/>
        <charset val="128"/>
        <scheme val="minor"/>
      </rPr>
      <t>小友</t>
    </r>
    <r>
      <rPr>
        <sz val="11"/>
        <color theme="1"/>
        <rFont val="ＭＳ Ｐゴシック"/>
        <family val="3"/>
        <charset val="134"/>
        <scheme val="minor"/>
      </rPr>
      <t>阅</t>
    </r>
    <r>
      <rPr>
        <sz val="11"/>
        <color theme="1"/>
        <rFont val="ＭＳ Ｐゴシック"/>
        <family val="3"/>
        <charset val="128"/>
        <scheme val="minor"/>
      </rPr>
      <t>你</t>
    </r>
  </si>
  <si>
    <r>
      <t>江西郡林旭峰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</si>
  <si>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果酒; 威士忌;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</t>
    </r>
  </si>
  <si>
    <t>草原哈达王</t>
  </si>
  <si>
    <r>
      <t>呼和浩特市国瓷商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</si>
  <si>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黄酒; 蜂蜜酒; 果酒（含酒精）;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</si>
  <si>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福潮志</t>
  </si>
  <si>
    <t>姚晗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</si>
  <si>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食用酒精</t>
    </r>
  </si>
  <si>
    <r>
      <t>缘</t>
    </r>
    <r>
      <rPr>
        <sz val="11"/>
        <color theme="1"/>
        <rFont val="ＭＳ Ｐゴシック"/>
        <family val="3"/>
        <charset val="128"/>
        <scheme val="minor"/>
      </rPr>
      <t>德康悦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</si>
  <si>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美多嘉健康科技有限公司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</si>
  <si>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伏特加酒;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朗姆酒;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含酒精的气泡水;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</t>
    </r>
  </si>
  <si>
    <r>
      <t>堂堂咨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（淄博）有限公司</t>
    </r>
  </si>
  <si>
    <r>
      <t>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青梅酒;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果酒（含酒精）; 白酒; 梅酒;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</si>
  <si>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京玖</t>
    </r>
    <r>
      <rPr>
        <sz val="11"/>
        <color theme="1"/>
        <rFont val="ＭＳ Ｐゴシック"/>
        <family val="3"/>
        <charset val="134"/>
        <scheme val="minor"/>
      </rPr>
      <t>荟</t>
    </r>
    <r>
      <rPr>
        <sz val="11"/>
        <color theme="1"/>
        <rFont val="ＭＳ Ｐゴシック"/>
        <family val="3"/>
        <charset val="128"/>
        <scheme val="minor"/>
      </rPr>
      <t>明月</t>
    </r>
  </si>
  <si>
    <r>
      <t>德明尚品科技集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</si>
  <si>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开胃酒;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清酒（日本米酒）;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</t>
    </r>
  </si>
  <si>
    <r>
      <t>举</t>
    </r>
    <r>
      <rPr>
        <sz val="11"/>
        <color theme="1"/>
        <rFont val="ＭＳ Ｐゴシック"/>
        <family val="3"/>
        <charset val="128"/>
        <scheme val="minor"/>
      </rPr>
      <t>祝</t>
    </r>
  </si>
  <si>
    <t>郑钟权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</si>
  <si>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威士忌; 葡萄酒</t>
    </r>
  </si>
  <si>
    <r>
      <t>京玖</t>
    </r>
    <r>
      <rPr>
        <sz val="11"/>
        <color theme="1"/>
        <rFont val="ＭＳ Ｐゴシック"/>
        <family val="3"/>
        <charset val="134"/>
        <scheme val="minor"/>
      </rPr>
      <t>荟</t>
    </r>
    <r>
      <rPr>
        <sz val="11"/>
        <color theme="1"/>
        <rFont val="ＭＳ Ｐゴシック"/>
        <family val="3"/>
        <charset val="128"/>
        <scheme val="minor"/>
      </rPr>
      <t>清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</si>
  <si>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>葡萄酒; 开胃酒; 烈酒;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威士忌; 果酒（含酒精）; 清酒（日本米酒）</t>
    </r>
  </si>
  <si>
    <t>凡旭王</t>
  </si>
  <si>
    <r>
      <t>成都凡旭商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</si>
  <si>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米酒; 利口酒; 青稞酒</t>
    </r>
  </si>
  <si>
    <r>
      <t>河磨王猪</t>
    </r>
    <r>
      <rPr>
        <sz val="11"/>
        <color theme="1"/>
        <rFont val="ＭＳ Ｐゴシック"/>
        <family val="3"/>
        <charset val="134"/>
        <scheme val="minor"/>
      </rPr>
      <t>龙</t>
    </r>
  </si>
  <si>
    <t>李宝柱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</si>
  <si>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果酒; 烈酒;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</si>
  <si>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淡藏</t>
  </si>
  <si>
    <r>
      <t>温祖</t>
    </r>
    <r>
      <rPr>
        <sz val="11"/>
        <color theme="1"/>
        <rFont val="ＭＳ Ｐゴシック"/>
        <family val="3"/>
        <charset val="134"/>
        <scheme val="minor"/>
      </rPr>
      <t>义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</si>
  <si>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白酒; 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</si>
  <si>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赢</t>
    </r>
    <r>
      <rPr>
        <sz val="11"/>
        <color theme="1"/>
        <rFont val="ＭＳ Ｐゴシック"/>
        <family val="3"/>
        <charset val="128"/>
        <scheme val="minor"/>
      </rPr>
      <t>智达</t>
    </r>
  </si>
  <si>
    <r>
      <t>沈阳</t>
    </r>
    <r>
      <rPr>
        <sz val="11"/>
        <color theme="1"/>
        <rFont val="ＭＳ Ｐゴシック"/>
        <family val="3"/>
        <charset val="134"/>
        <scheme val="minor"/>
      </rPr>
      <t>赢</t>
    </r>
    <r>
      <rPr>
        <sz val="11"/>
        <color theme="1"/>
        <rFont val="ＭＳ Ｐゴシック"/>
        <family val="3"/>
        <charset val="128"/>
        <scheme val="minor"/>
      </rPr>
      <t>智达科技有限公司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</si>
  <si>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白酒; 朗姆酒; 青稞酒; 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</si>
  <si>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t>PIRATHON</t>
  </si>
  <si>
    <r>
      <t>清酒（日本米酒）;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</si>
  <si>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r>
      <t>颐</t>
    </r>
    <r>
      <rPr>
        <sz val="11"/>
        <color theme="1"/>
        <rFont val="ＭＳ Ｐゴシック"/>
        <family val="3"/>
        <charset val="128"/>
        <scheme val="minor"/>
      </rPr>
      <t>力春</t>
    </r>
  </si>
  <si>
    <t>牛海民</t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</si>
  <si>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</t>
    </r>
  </si>
  <si>
    <t>清酩辞</t>
  </si>
  <si>
    <t>吴巧玉</t>
  </si>
  <si>
    <r>
      <t xml:space="preserve">开胃酒;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葡萄酒; 清酒（日本米酒）; 白酒; 黄酒; 果酒（含酒精）</t>
    </r>
  </si>
  <si>
    <t>小族甄好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</si>
  <si>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苏垦</t>
    </r>
    <r>
      <rPr>
        <sz val="11"/>
        <color theme="1"/>
        <rFont val="ＭＳ Ｐゴシック"/>
        <family val="3"/>
        <charset val="128"/>
        <scheme val="minor"/>
      </rPr>
      <t>小族科技信息有限公司</t>
    </r>
  </si>
  <si>
    <r>
      <t>果酒; 加香料的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加烈葡萄酒; 黄酒; 高粱酒;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甜果酒</t>
    </r>
  </si>
  <si>
    <r>
      <t>冻</t>
    </r>
    <r>
      <rPr>
        <sz val="11"/>
        <color theme="1"/>
        <rFont val="ＭＳ Ｐゴシック"/>
        <family val="3"/>
        <charset val="128"/>
        <scheme val="minor"/>
      </rPr>
      <t>酷</t>
    </r>
  </si>
  <si>
    <r>
      <t>爱捞</t>
    </r>
    <r>
      <rPr>
        <sz val="11"/>
        <color theme="1"/>
        <rFont val="ＭＳ Ｐゴシック"/>
        <family val="3"/>
        <charset val="128"/>
        <scheme val="minor"/>
      </rPr>
      <t>一族餐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</si>
  <si>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食用酒精; 汽酒; 黄酒; 露酒; 米酒; 白酒</t>
    </r>
  </si>
  <si>
    <t>醉福河</t>
  </si>
  <si>
    <r>
      <t xml:space="preserve">果酒（含酒精）; 开胃酒;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清酒</t>
    </r>
  </si>
  <si>
    <r>
      <t>凯</t>
    </r>
    <r>
      <rPr>
        <sz val="11"/>
        <color theme="1"/>
        <rFont val="ＭＳ Ｐゴシック"/>
        <family val="3"/>
        <charset val="128"/>
        <scheme val="minor"/>
      </rPr>
      <t>旋狼</t>
    </r>
  </si>
  <si>
    <t>杨卫东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</si>
  <si>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</t>
    </r>
  </si>
  <si>
    <r>
      <t>渝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源</t>
    </r>
  </si>
  <si>
    <t>王明英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</si>
  <si>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黄酒</t>
    </r>
  </si>
  <si>
    <r>
      <t>时</t>
    </r>
    <r>
      <rPr>
        <sz val="11"/>
        <color theme="1"/>
        <rFont val="ＭＳ Ｐゴシック"/>
        <family val="3"/>
        <charset val="128"/>
        <scheme val="minor"/>
      </rPr>
      <t>小友悦你</t>
    </r>
  </si>
  <si>
    <r>
      <t xml:space="preserve">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威士忌; 果酒;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</si>
  <si>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十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制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造</t>
    </r>
  </si>
  <si>
    <r>
      <t>常州楷盟供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</si>
  <si>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白酒; 米酒; 青稞酒;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</si>
  <si>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甬星</t>
  </si>
  <si>
    <r>
      <t>吉林省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色餐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</si>
  <si>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葡萄酒; 果酒（含酒精）; 露酒; 黄酒</t>
    </r>
  </si>
  <si>
    <t>甬福金</t>
  </si>
  <si>
    <r>
      <t xml:space="preserve">露酒;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</si>
  <si>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牛香哥</t>
  </si>
  <si>
    <r>
      <t>欧隆企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管理（成都）有限公司</t>
    </r>
  </si>
  <si>
    <r>
      <t xml:space="preserve">葡萄酒;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烈酒; 米酒;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</t>
    </r>
  </si>
  <si>
    <t>LONG TENG BAO VAIVEN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</si>
  <si>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杜松子酒; 开胃酒; 威士忌;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苹果酒</t>
    </r>
  </si>
  <si>
    <t>赤壁烽火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</si>
  <si>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果酒; 开胃酒;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</t>
    </r>
  </si>
  <si>
    <t>DU LOU</t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</si>
  <si>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元冠供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</si>
  <si>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葡萄酒; 米酒; 青梅酒; 高粱酒;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</si>
  <si>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凯</t>
    </r>
    <r>
      <rPr>
        <sz val="11"/>
        <color theme="1"/>
        <rFont val="ＭＳ Ｐゴシック"/>
        <family val="3"/>
        <charset val="128"/>
        <scheme val="minor"/>
      </rPr>
      <t>歌狼</t>
    </r>
  </si>
  <si>
    <r>
      <t>惬</t>
    </r>
    <r>
      <rPr>
        <sz val="11"/>
        <color theme="1"/>
        <rFont val="ＭＳ Ｐゴシック"/>
        <family val="3"/>
        <charset val="128"/>
        <scheme val="minor"/>
      </rPr>
      <t>侠</t>
    </r>
  </si>
  <si>
    <r>
      <t>威士忌; 白酒; 果酒;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</t>
    </r>
  </si>
  <si>
    <r>
      <t>吾</t>
    </r>
    <r>
      <rPr>
        <sz val="11"/>
        <color theme="1"/>
        <rFont val="ＭＳ Ｐゴシック"/>
        <family val="3"/>
        <charset val="134"/>
        <scheme val="minor"/>
      </rPr>
      <t>领</t>
    </r>
    <r>
      <rPr>
        <sz val="11"/>
        <color theme="1"/>
        <rFont val="ＭＳ Ｐゴシック"/>
        <family val="3"/>
        <charset val="128"/>
        <scheme val="minor"/>
      </rPr>
      <t>天下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</si>
  <si>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高粱酒; 开胃酒; 黄酒; 清酒;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米酒; 果酒（含酒精）</t>
    </r>
  </si>
  <si>
    <r>
      <t>鹤赉</t>
    </r>
    <r>
      <rPr>
        <sz val="11"/>
        <color theme="1"/>
        <rFont val="ＭＳ Ｐゴシック"/>
        <family val="3"/>
        <charset val="128"/>
        <scheme val="minor"/>
      </rPr>
      <t>一品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</si>
  <si>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瑞雯******************</t>
    </r>
  </si>
  <si>
    <r>
      <t xml:space="preserve">蒸煮提取物（利口酒和烈酒）;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</si>
  <si>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兴</t>
    </r>
    <r>
      <rPr>
        <sz val="11"/>
        <color theme="1"/>
        <rFont val="ＭＳ Ｐゴシック"/>
        <family val="3"/>
        <charset val="128"/>
        <scheme val="minor"/>
      </rPr>
      <t>均卅</t>
    </r>
  </si>
  <si>
    <t>刘春梅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</si>
  <si>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果酒;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米酒</t>
    </r>
  </si>
  <si>
    <r>
      <t>铁</t>
    </r>
    <r>
      <rPr>
        <sz val="11"/>
        <color theme="1"/>
        <rFont val="ＭＳ Ｐゴシック"/>
        <family val="3"/>
        <charset val="128"/>
        <scheme val="minor"/>
      </rPr>
      <t>思</t>
    </r>
  </si>
  <si>
    <r>
      <t>精品机床（广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</si>
  <si>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</si>
  <si>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心</t>
    </r>
    <r>
      <rPr>
        <sz val="11"/>
        <color theme="1"/>
        <rFont val="ＭＳ Ｐゴシック"/>
        <family val="3"/>
        <charset val="134"/>
        <scheme val="minor"/>
      </rPr>
      <t>阗</t>
    </r>
  </si>
  <si>
    <r>
      <t>狂</t>
    </r>
    <r>
      <rPr>
        <sz val="11"/>
        <color theme="1"/>
        <rFont val="ＭＳ Ｐゴシック"/>
        <family val="3"/>
        <charset val="134"/>
        <scheme val="minor"/>
      </rPr>
      <t>飙</t>
    </r>
    <r>
      <rPr>
        <sz val="11"/>
        <color theme="1"/>
        <rFont val="ＭＳ Ｐゴシック"/>
        <family val="3"/>
        <charset val="128"/>
        <scheme val="minor"/>
      </rPr>
      <t>（焦作）供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</si>
  <si>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苹果酒; 米酒; 黄酒;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白酒</t>
    </r>
  </si>
  <si>
    <t>圣世泓元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</si>
  <si>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</si>
  <si>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入川</t>
  </si>
  <si>
    <r>
      <t>成都久福久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</si>
  <si>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利口酒; 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</si>
  <si>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TARTESSOS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</si>
  <si>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果酒（含酒精）; 开胃酒; 杜松子酒;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苹果酒</t>
    </r>
  </si>
  <si>
    <r>
      <t>漫</t>
    </r>
    <r>
      <rPr>
        <sz val="11"/>
        <color theme="1"/>
        <rFont val="ＭＳ Ｐゴシック"/>
        <family val="3"/>
        <charset val="134"/>
        <scheme val="minor"/>
      </rPr>
      <t>钰</t>
    </r>
    <r>
      <rPr>
        <sz val="11"/>
        <color theme="1"/>
        <rFont val="ＭＳ Ｐゴシック"/>
        <family val="3"/>
        <charset val="128"/>
        <scheme val="minor"/>
      </rPr>
      <t>公主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</si>
  <si>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钰</t>
    </r>
    <r>
      <rPr>
        <sz val="11"/>
        <color theme="1"/>
        <rFont val="ＭＳ Ｐゴシック"/>
        <family val="3"/>
        <charset val="128"/>
        <scheme val="minor"/>
      </rPr>
      <t>漫花开科技有限公司</t>
    </r>
  </si>
  <si>
    <r>
      <t>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</si>
  <si>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喜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双</t>
    </r>
  </si>
  <si>
    <r>
      <t>十堰市六来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</si>
  <si>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黄酒; 葡萄酒;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</si>
  <si>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䘵穗沁香</t>
  </si>
  <si>
    <t>黄以高</t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</si>
  <si>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高粱酒;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</si>
  <si>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鼎卉</t>
  </si>
  <si>
    <t>河北鼎卉科技有限公司</t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</si>
  <si>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葡萄酒;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白酒; 利口酒</t>
    </r>
  </si>
  <si>
    <r>
      <t>雁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合</t>
    </r>
  </si>
  <si>
    <r>
      <t>雁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合数智（广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）科技有限公司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</si>
  <si>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露酒; 果酒（含酒精）; 米酒; 白酒</t>
    </r>
  </si>
  <si>
    <r>
      <t>仅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</si>
  <si>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仅</t>
    </r>
    <r>
      <rPr>
        <sz val="11"/>
        <color theme="1"/>
        <rFont val="ＭＳ Ｐゴシック"/>
        <family val="3"/>
        <charset val="128"/>
        <scheme val="minor"/>
      </rPr>
      <t>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</si>
  <si>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餐后酒（利口酒和烈酒）</t>
    </r>
  </si>
  <si>
    <r>
      <t>灭</t>
    </r>
    <r>
      <rPr>
        <sz val="11"/>
        <color theme="1"/>
        <rFont val="ＭＳ Ｐゴシック"/>
        <family val="3"/>
        <charset val="128"/>
        <scheme val="minor"/>
      </rPr>
      <t>威帝</t>
    </r>
  </si>
  <si>
    <t>郭健文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</si>
  <si>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开胃酒; 葡萄酒;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</si>
  <si>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六德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</si>
  <si>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百粮酒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</si>
  <si>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食用酒精; 利口酒;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清酒; 白酒; 黄酒; 果酒; 葡萄酒</t>
    </r>
  </si>
  <si>
    <r>
      <t>八岩</t>
    </r>
    <r>
      <rPr>
        <sz val="11"/>
        <color theme="1"/>
        <rFont val="ＭＳ Ｐゴシック"/>
        <family val="3"/>
        <charset val="134"/>
        <scheme val="minor"/>
      </rPr>
      <t>岛</t>
    </r>
  </si>
  <si>
    <r>
      <t>朱</t>
    </r>
    <r>
      <rPr>
        <sz val="11"/>
        <color theme="1"/>
        <rFont val="ＭＳ Ｐゴシック"/>
        <family val="3"/>
        <charset val="134"/>
        <scheme val="minor"/>
      </rPr>
      <t>卫</t>
    </r>
    <r>
      <rPr>
        <sz val="11"/>
        <color theme="1"/>
        <rFont val="ＭＳ Ｐゴシック"/>
        <family val="3"/>
        <charset val="128"/>
        <scheme val="minor"/>
      </rPr>
      <t>波******************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</si>
  <si>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白酒; 清酒; 威士忌; 黄酒</t>
    </r>
  </si>
  <si>
    <t>年丰瑞景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</si>
  <si>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年年丰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</si>
  <si>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果酒; 果酒（含酒精）; 水果汽酒; 梨酒; 白酒; 葡萄酒;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</t>
    </r>
  </si>
  <si>
    <r>
      <t>铭</t>
    </r>
    <r>
      <rPr>
        <sz val="11"/>
        <color theme="1"/>
        <rFont val="ＭＳ Ｐゴシック"/>
        <family val="3"/>
        <charset val="128"/>
        <scheme val="minor"/>
      </rPr>
      <t>勥</t>
    </r>
  </si>
  <si>
    <r>
      <t>王一</t>
    </r>
    <r>
      <rPr>
        <sz val="11"/>
        <color theme="1"/>
        <rFont val="ＭＳ Ｐゴシック"/>
        <family val="3"/>
        <charset val="134"/>
        <scheme val="minor"/>
      </rPr>
      <t>铭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</si>
  <si>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清酒（日本米酒）; 伏特加酒;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</si>
  <si>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春生甘</t>
  </si>
  <si>
    <r>
      <t>浙江安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生物医学技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</si>
  <si>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白酒</t>
    </r>
  </si>
  <si>
    <r>
      <t>领</t>
    </r>
    <r>
      <rPr>
        <sz val="11"/>
        <color theme="1"/>
        <rFont val="ＭＳ Ｐゴシック"/>
        <family val="3"/>
        <charset val="128"/>
        <scheme val="minor"/>
      </rPr>
      <t>海潮</t>
    </r>
  </si>
  <si>
    <r>
      <t>广州信荣健康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</si>
  <si>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果酒; 葡萄酒; 高粱酒;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</si>
  <si>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豫小佳</t>
  </si>
  <si>
    <r>
      <t>河南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豫佰佳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</si>
  <si>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茴芹酒（利口酒）;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薄荷酒; 果酒（含酒精）;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茴香酒（利口酒）;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苦味酒</t>
    </r>
  </si>
  <si>
    <t>赋门欢</t>
  </si>
  <si>
    <r>
      <t>曹荣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</si>
  <si>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</si>
  <si>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香相如</t>
  </si>
  <si>
    <t>胡枝枝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</si>
  <si>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米酒; 朗姆酒; 青稞酒; 白酒; 果酒（含酒精）; 威士忌;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</si>
  <si>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聚德</t>
    </r>
  </si>
  <si>
    <r>
      <t>汤</t>
    </r>
    <r>
      <rPr>
        <sz val="11"/>
        <color theme="1"/>
        <rFont val="ＭＳ Ｐゴシック"/>
        <family val="3"/>
        <charset val="128"/>
        <scheme val="minor"/>
      </rPr>
      <t>明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</si>
  <si>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>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青稞酒;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</si>
  <si>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卜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</si>
  <si>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领</t>
    </r>
    <r>
      <rPr>
        <sz val="11"/>
        <color theme="1"/>
        <rFont val="ＭＳ Ｐゴシック"/>
        <family val="3"/>
        <charset val="128"/>
        <scheme val="minor"/>
      </rPr>
      <t>秀印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包装有限公司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</si>
  <si>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</si>
  <si>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VORASSEN.</t>
  </si>
  <si>
    <t>章建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</si>
  <si>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米酒; 白酒</t>
    </r>
  </si>
  <si>
    <t>陈丽</t>
  </si>
  <si>
    <r>
      <t xml:space="preserve">威士忌; 白酒; 伏特加酒;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果酒（含酒精）; 含酒精的气泡水; 青稞酒</t>
    </r>
  </si>
  <si>
    <r>
      <t>时</t>
    </r>
    <r>
      <rPr>
        <sz val="11"/>
        <color theme="1"/>
        <rFont val="ＭＳ Ｐゴシック"/>
        <family val="3"/>
        <charset val="128"/>
        <scheme val="minor"/>
      </rPr>
      <t>小友悦己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</si>
  <si>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蜂蜜酒; 白酒</t>
    </r>
  </si>
  <si>
    <r>
      <t>晓</t>
    </r>
    <r>
      <rPr>
        <sz val="11"/>
        <color theme="1"/>
        <rFont val="ＭＳ Ｐゴシック"/>
        <family val="3"/>
        <charset val="128"/>
        <scheme val="minor"/>
      </rPr>
      <t>穗山</t>
    </r>
  </si>
  <si>
    <r>
      <t>邓</t>
    </r>
    <r>
      <rPr>
        <sz val="11"/>
        <color theme="1"/>
        <rFont val="ＭＳ Ｐゴシック"/>
        <family val="3"/>
        <charset val="128"/>
        <scheme val="minor"/>
      </rPr>
      <t>辰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</si>
  <si>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烈酒; 黄酒; 清酒（日本米酒）; 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</si>
  <si>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甬稻</t>
  </si>
  <si>
    <r>
      <t xml:space="preserve">果酒（含酒精）; 露酒;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</si>
  <si>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赤吻</t>
  </si>
  <si>
    <r>
      <t>上海旨禹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</si>
  <si>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天然汽酒; 甜酒; 米酒;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黑覆盆子酒; 水果汽酒;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</t>
    </r>
  </si>
  <si>
    <t>哈康</t>
  </si>
  <si>
    <t>杭州哈康科技有限公司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</si>
  <si>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薄荷酒; 葡萄酒; 清酒（日本米酒）; 米酒; 白酒; 黄酒; 苹果酒</t>
    </r>
  </si>
  <si>
    <r>
      <t>赤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</si>
  <si>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富豪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</si>
  <si>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葡萄酒; 果酒; 开胃酒; 白酒</t>
    </r>
  </si>
  <si>
    <r>
      <t>忆</t>
    </r>
    <r>
      <rPr>
        <sz val="11"/>
        <color theme="1"/>
        <rFont val="ＭＳ Ｐゴシック"/>
        <family val="3"/>
        <charset val="128"/>
        <scheme val="minor"/>
      </rPr>
      <t>古</t>
    </r>
    <r>
      <rPr>
        <sz val="11"/>
        <color theme="1"/>
        <rFont val="ＭＳ Ｐゴシック"/>
        <family val="3"/>
        <charset val="134"/>
        <scheme val="minor"/>
      </rPr>
      <t>贤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</si>
  <si>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市稚睿酒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</si>
  <si>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</si>
  <si>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霸匠清花</t>
  </si>
  <si>
    <r>
      <t>陈</t>
    </r>
    <r>
      <rPr>
        <sz val="11"/>
        <color theme="1"/>
        <rFont val="ＭＳ Ｐゴシック"/>
        <family val="3"/>
        <charset val="128"/>
        <scheme val="minor"/>
      </rPr>
      <t>德芬</t>
    </r>
  </si>
  <si>
    <r>
      <t xml:space="preserve">果酒; 烈酒; 白酒; 清酒; 黄酒;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</si>
  <si>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官塘岭</t>
  </si>
  <si>
    <r>
      <t>常山瑞雨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</si>
  <si>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清酒; 甜酒</t>
    </r>
  </si>
  <si>
    <r>
      <t>时</t>
    </r>
    <r>
      <rPr>
        <sz val="11"/>
        <color theme="1"/>
        <rFont val="ＭＳ Ｐゴシック"/>
        <family val="3"/>
        <charset val="128"/>
        <scheme val="minor"/>
      </rPr>
      <t>之食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</si>
  <si>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采麦科技有限公司</t>
    </r>
  </si>
  <si>
    <r>
      <t>葡萄酒;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蜂蜜酒;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</t>
    </r>
  </si>
  <si>
    <t>默名</t>
  </si>
  <si>
    <r>
      <t>宿迁智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通</t>
    </r>
    <r>
      <rPr>
        <sz val="11"/>
        <color theme="1"/>
        <rFont val="ＭＳ Ｐゴシック"/>
        <family val="3"/>
        <charset val="134"/>
        <scheme val="minor"/>
      </rPr>
      <t>讯设备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</si>
  <si>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果酒（含酒精）;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</t>
    </r>
  </si>
  <si>
    <r>
      <t>一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蜀仙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</si>
  <si>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德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通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</si>
  <si>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</si>
  <si>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提拔匠心</t>
  </si>
  <si>
    <t>李文双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</si>
  <si>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米酒; 果酒（含酒精）;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</si>
  <si>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小果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</si>
  <si>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东汉</t>
    </r>
    <r>
      <rPr>
        <sz val="11"/>
        <color theme="1"/>
        <rFont val="ＭＳ Ｐゴシック"/>
        <family val="3"/>
        <charset val="128"/>
        <scheme val="minor"/>
      </rPr>
      <t>德梅德工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</si>
  <si>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 xml:space="preserve">葡萄酒; 白酒; 黄酒; 清酒（日本米酒）; 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杜松子酒</t>
    </r>
  </si>
  <si>
    <t>箐口尼珠河</t>
  </si>
  <si>
    <r>
      <t>陈</t>
    </r>
    <r>
      <rPr>
        <sz val="11"/>
        <color theme="1"/>
        <rFont val="ＭＳ Ｐゴシック"/>
        <family val="3"/>
        <charset val="128"/>
        <scheme val="minor"/>
      </rPr>
      <t>林</t>
    </r>
  </si>
  <si>
    <r>
      <t xml:space="preserve">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果酒（含酒精）; 葡萄酒; 米酒</t>
    </r>
  </si>
  <si>
    <r>
      <t>方熠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</si>
  <si>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餐后酒（利口酒和烈酒）; 高粱酒;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烈酒; 白酒</t>
    </r>
  </si>
  <si>
    <t>梨歌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</si>
  <si>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佰酒酒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</si>
  <si>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</si>
  <si>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TYBL 天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百</t>
    </r>
    <r>
      <rPr>
        <sz val="11"/>
        <color theme="1"/>
        <rFont val="ＭＳ Ｐゴシック"/>
        <family val="3"/>
        <charset val="134"/>
        <scheme val="minor"/>
      </rPr>
      <t>联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</si>
  <si>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苍</t>
    </r>
    <r>
      <rPr>
        <sz val="11"/>
        <color theme="1"/>
        <rFont val="ＭＳ Ｐゴシック"/>
        <family val="3"/>
        <charset val="128"/>
        <scheme val="minor"/>
      </rPr>
      <t>月智朗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</si>
  <si>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黄酒; 白干酒（中国白酒）;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果酒</t>
    </r>
  </si>
  <si>
    <r>
      <t>SENCIACHIY 森尚</t>
    </r>
    <r>
      <rPr>
        <sz val="11"/>
        <color theme="1"/>
        <rFont val="ＭＳ Ｐゴシック"/>
        <family val="3"/>
        <charset val="134"/>
        <scheme val="minor"/>
      </rPr>
      <t>驰</t>
    </r>
  </si>
  <si>
    <t>李志光</t>
  </si>
  <si>
    <r>
      <t>白酒; 开胃酒;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汽酒; 葡萄酒; 果酒（含酒精）</t>
    </r>
  </si>
  <si>
    <r>
      <t>时</t>
    </r>
    <r>
      <rPr>
        <sz val="11"/>
        <color theme="1"/>
        <rFont val="ＭＳ Ｐゴシック"/>
        <family val="3"/>
        <charset val="128"/>
        <scheme val="minor"/>
      </rPr>
      <t>小友越己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</si>
  <si>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米酒;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</si>
  <si>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颜长</t>
    </r>
    <r>
      <rPr>
        <sz val="11"/>
        <color theme="1"/>
        <rFont val="ＭＳ Ｐゴシック"/>
        <family val="3"/>
        <charset val="128"/>
        <scheme val="minor"/>
      </rPr>
      <t>青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</si>
  <si>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市小</t>
    </r>
    <r>
      <rPr>
        <sz val="11"/>
        <color theme="1"/>
        <rFont val="ＭＳ Ｐゴシック"/>
        <family val="3"/>
        <charset val="134"/>
        <scheme val="minor"/>
      </rPr>
      <t>帅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</si>
  <si>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高粱酒; 黄酒; 食用酒精;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白干酒（中国白酒）;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</t>
    </r>
  </si>
  <si>
    <r>
      <t>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威士忌; 清酒（日本米酒）</t>
    </r>
  </si>
  <si>
    <r>
      <t>将言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</si>
  <si>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黄酒; 开胃酒; 清酒（日本米酒）; 白酒; 威士忌; 烈酒;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</si>
  <si>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悦秀</t>
    </r>
    <r>
      <rPr>
        <sz val="11"/>
        <color theme="1"/>
        <rFont val="ＭＳ Ｐゴシック"/>
        <family val="3"/>
        <charset val="134"/>
        <scheme val="minor"/>
      </rPr>
      <t>纯</t>
    </r>
  </si>
  <si>
    <r>
      <t>广州向</t>
    </r>
    <r>
      <rPr>
        <sz val="11"/>
        <color theme="1"/>
        <rFont val="ＭＳ Ｐゴシック"/>
        <family val="3"/>
        <charset val="134"/>
        <scheme val="minor"/>
      </rPr>
      <t>杨贸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</si>
  <si>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朗姆酒;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果酒（含酒精）;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</t>
    </r>
  </si>
  <si>
    <r>
      <t>椴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林猪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</si>
  <si>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葡萄酒; 白酒; 烈酒; 果酒</t>
    </r>
  </si>
  <si>
    <t>叠蕊</t>
  </si>
  <si>
    <r>
      <t>当涂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耀儿仙酒坊（个体工商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</si>
  <si>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米酒; 黄酒; 葡萄酒; 食用酒精; 开胃酒</t>
    </r>
  </si>
  <si>
    <r>
      <t>张宫</t>
    </r>
    <r>
      <rPr>
        <sz val="11"/>
        <color theme="1"/>
        <rFont val="ＭＳ Ｐゴシック"/>
        <family val="3"/>
        <charset val="128"/>
        <scheme val="minor"/>
      </rPr>
      <t>保天秘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</si>
  <si>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张宫</t>
    </r>
    <r>
      <rPr>
        <sz val="11"/>
        <color theme="1"/>
        <rFont val="ＭＳ Ｐゴシック"/>
        <family val="3"/>
        <charset val="128"/>
        <scheme val="minor"/>
      </rPr>
      <t>保餐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</si>
  <si>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黄酒; 果酒;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</si>
  <si>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鲜锋递</t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</si>
  <si>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鲜锋递农产</t>
    </r>
    <r>
      <rPr>
        <sz val="11"/>
        <color theme="1"/>
        <rFont val="ＭＳ Ｐゴシック"/>
        <family val="3"/>
        <charset val="128"/>
        <scheme val="minor"/>
      </rPr>
      <t>品供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</si>
  <si>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伏特加酒;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</si>
  <si>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t>槿茹康</t>
  </si>
  <si>
    <r>
      <t>陈凤</t>
    </r>
    <r>
      <rPr>
        <sz val="11"/>
        <color theme="1"/>
        <rFont val="ＭＳ Ｐゴシック"/>
        <family val="3"/>
        <charset val="128"/>
        <scheme val="minor"/>
      </rPr>
      <t>波</t>
    </r>
  </si>
  <si>
    <r>
      <t xml:space="preserve">烈酒; 露酒;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</si>
  <si>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栩程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</si>
  <si>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一格巢宿酒店管理有限公司</t>
    </r>
  </si>
  <si>
    <r>
      <t xml:space="preserve">果酒（含酒精）;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</si>
  <si>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t>村寨笑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</si>
  <si>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州共生</t>
    </r>
    <r>
      <rPr>
        <sz val="11"/>
        <color theme="1"/>
        <rFont val="ＭＳ Ｐゴシック"/>
        <family val="3"/>
        <charset val="134"/>
        <scheme val="minor"/>
      </rPr>
      <t>项</t>
    </r>
    <r>
      <rPr>
        <sz val="11"/>
        <color theme="1"/>
        <rFont val="ＭＳ Ｐゴシック"/>
        <family val="3"/>
        <charset val="128"/>
        <scheme val="minor"/>
      </rPr>
      <t>目管理有限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</si>
  <si>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烈酒; 白酒; 白干酒（中国白酒）; 烈性干酒;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甜酒; 米酒; 高粱酒</t>
    </r>
  </si>
  <si>
    <r>
      <t>绍</t>
    </r>
    <r>
      <rPr>
        <sz val="11"/>
        <color theme="1"/>
        <rFont val="ＭＳ Ｐゴシック"/>
        <family val="3"/>
        <charset val="128"/>
        <scheme val="minor"/>
      </rPr>
      <t>无双</t>
    </r>
  </si>
  <si>
    <r>
      <t xml:space="preserve">白酒; 高粱酒; 清酒; 果酒; 米酒; 青稞酒; 黄酒; 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</si>
  <si>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美仁穹</t>
  </si>
  <si>
    <r>
      <t>米之蜜境（温州）酒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</si>
  <si>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清酒（日本米酒）;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梅酒; 葡萄酒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</si>
  <si>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同</t>
    </r>
    <r>
      <rPr>
        <sz val="11"/>
        <color theme="1"/>
        <rFont val="ＭＳ Ｐゴシック"/>
        <family val="3"/>
        <charset val="129"/>
        <scheme val="minor"/>
      </rPr>
      <t>怀</t>
    </r>
  </si>
  <si>
    <r>
      <t>徐州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亦盛商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</si>
  <si>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清酒; 开胃酒;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</t>
    </r>
  </si>
  <si>
    <r>
      <t>颍</t>
    </r>
    <r>
      <rPr>
        <sz val="11"/>
        <color theme="1"/>
        <rFont val="ＭＳ Ｐゴシック"/>
        <family val="3"/>
        <charset val="128"/>
        <scheme val="minor"/>
      </rPr>
      <t>尚九</t>
    </r>
  </si>
  <si>
    <r>
      <t>果酒（含酒精）; 葡萄酒; 白酒;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</si>
  <si>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天空酒</t>
    </r>
    <r>
      <rPr>
        <sz val="11"/>
        <color theme="1"/>
        <rFont val="ＭＳ Ｐゴシック"/>
        <family val="3"/>
        <charset val="134"/>
        <scheme val="minor"/>
      </rPr>
      <t>业贸</t>
    </r>
    <r>
      <rPr>
        <sz val="11"/>
        <color theme="1"/>
        <rFont val="ＭＳ Ｐゴシック"/>
        <family val="3"/>
        <charset val="128"/>
        <scheme val="minor"/>
      </rPr>
      <t>易(河南)有限公司</t>
    </r>
  </si>
  <si>
    <r>
      <t>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</t>
    </r>
  </si>
  <si>
    <t>洮沐源</t>
  </si>
  <si>
    <t>李志峰</t>
  </si>
  <si>
    <r>
      <t>黄酒; 果酒;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开胃酒; 葡萄酒; 米酒; 餐后酒（利口酒和烈酒）; 白酒</t>
    </r>
  </si>
  <si>
    <r>
      <t>时</t>
    </r>
    <r>
      <rPr>
        <sz val="11"/>
        <color theme="1"/>
        <rFont val="ＭＳ Ｐゴシック"/>
        <family val="3"/>
        <charset val="128"/>
        <scheme val="minor"/>
      </rPr>
      <t>小友</t>
    </r>
    <r>
      <rPr>
        <sz val="11"/>
        <color theme="1"/>
        <rFont val="ＭＳ Ｐゴシック"/>
        <family val="3"/>
        <charset val="134"/>
        <scheme val="minor"/>
      </rPr>
      <t>阅</t>
    </r>
    <r>
      <rPr>
        <sz val="11"/>
        <color theme="1"/>
        <rFont val="ＭＳ Ｐゴシック"/>
        <family val="3"/>
        <charset val="128"/>
        <scheme val="minor"/>
      </rPr>
      <t>己</t>
    </r>
  </si>
  <si>
    <r>
      <t xml:space="preserve">果酒;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蜂蜜酒;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</si>
  <si>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吾掌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</si>
  <si>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 xml:space="preserve">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黄酒; 清酒; 果酒（含酒精）</t>
    </r>
  </si>
  <si>
    <r>
      <t>快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欧雷</t>
    </r>
  </si>
  <si>
    <r>
      <t>杭州</t>
    </r>
    <r>
      <rPr>
        <sz val="11"/>
        <color theme="1"/>
        <rFont val="ＭＳ Ｐゴシック"/>
        <family val="3"/>
        <charset val="134"/>
        <scheme val="minor"/>
      </rPr>
      <t>赛</t>
    </r>
    <r>
      <rPr>
        <sz val="11"/>
        <color theme="1"/>
        <rFont val="ＭＳ Ｐゴシック"/>
        <family val="3"/>
        <charset val="128"/>
        <scheme val="minor"/>
      </rPr>
      <t>盟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</si>
  <si>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薄荷酒; 葡萄酒; 冷</t>
    </r>
    <r>
      <rPr>
        <sz val="11"/>
        <color theme="1"/>
        <rFont val="ＭＳ Ｐゴシック"/>
        <family val="3"/>
        <charset val="134"/>
        <scheme val="minor"/>
      </rPr>
      <t>冻</t>
    </r>
    <r>
      <rPr>
        <sz val="11"/>
        <color theme="1"/>
        <rFont val="ＭＳ Ｐゴシック"/>
        <family val="3"/>
        <charset val="128"/>
        <scheme val="minor"/>
      </rPr>
      <t>凝胶状的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</si>
  <si>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长长</t>
    </r>
    <r>
      <rPr>
        <sz val="11"/>
        <color theme="1"/>
        <rFont val="ＭＳ Ｐゴシック"/>
        <family val="3"/>
        <charset val="128"/>
        <scheme val="minor"/>
      </rPr>
      <t>惠家</t>
    </r>
  </si>
  <si>
    <r>
      <t>餐后酒（利口酒和烈酒）; 果酒（含酒精）; 葡萄酒; 威士忌;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</si>
  <si>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彝达康</t>
  </si>
  <si>
    <r>
      <t>彝达康大姚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</si>
  <si>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白酒;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开胃酒; 梨酒</t>
    </r>
  </si>
  <si>
    <t>PABLO CLARO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</si>
  <si>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苹果酒; 杜松子酒;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开胃酒; 威士忌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</si>
  <si>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羿</t>
    </r>
  </si>
  <si>
    <r>
      <t>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</t>
    </r>
  </si>
  <si>
    <r>
      <t>醉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唇粮醉</t>
    </r>
  </si>
  <si>
    <t>白少天</t>
  </si>
  <si>
    <r>
      <t>开胃酒; 葡萄酒; 白酒; 米酒;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蜂蜜酒;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</si>
  <si>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果酒（含酒精）;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</si>
  <si>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九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制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造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</si>
  <si>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白酒; 青稞酒;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</si>
  <si>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运宝墩</t>
    </r>
  </si>
  <si>
    <r>
      <t>成都士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</si>
  <si>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清酒（日本米酒）; 青稞酒;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</t>
    </r>
  </si>
  <si>
    <t>川流火山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</si>
  <si>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露酒;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黄酒; 果酒（含酒精）;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</si>
  <si>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传</t>
    </r>
    <r>
      <rPr>
        <sz val="11"/>
        <color theme="1"/>
        <rFont val="ＭＳ Ｐゴシック"/>
        <family val="3"/>
        <charset val="128"/>
        <scheme val="minor"/>
      </rPr>
      <t>奭</t>
    </r>
  </si>
  <si>
    <t>苏鲲</t>
  </si>
  <si>
    <r>
      <t>果酒（含酒精）;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</si>
  <si>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盅</t>
    </r>
    <r>
      <rPr>
        <sz val="11"/>
        <color theme="1"/>
        <rFont val="ＭＳ Ｐゴシック"/>
        <family val="3"/>
        <charset val="134"/>
        <scheme val="minor"/>
      </rPr>
      <t>义东</t>
    </r>
    <r>
      <rPr>
        <sz val="11"/>
        <color theme="1"/>
        <rFont val="ＭＳ Ｐゴシック"/>
        <family val="3"/>
        <charset val="128"/>
        <scheme val="minor"/>
      </rPr>
      <t>方</t>
    </r>
  </si>
  <si>
    <r>
      <t>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食用酒精; 果酒（含酒精）</t>
    </r>
  </si>
  <si>
    <t>泸闲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</si>
  <si>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青稞酒; 威士忌; 米酒; 葡萄酒;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</si>
  <si>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楚天翔</t>
    </r>
    <r>
      <rPr>
        <sz val="11"/>
        <color theme="1"/>
        <rFont val="ＭＳ Ｐゴシック"/>
        <family val="3"/>
        <charset val="134"/>
        <scheme val="minor"/>
      </rPr>
      <t>鹤</t>
    </r>
    <r>
      <rPr>
        <sz val="11"/>
        <color theme="1"/>
        <rFont val="ＭＳ Ｐゴシック"/>
        <family val="3"/>
        <charset val="128"/>
        <scheme val="minor"/>
      </rPr>
      <t>楼</t>
    </r>
  </si>
  <si>
    <r>
      <t>湖北仙人古渡酒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</si>
  <si>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</si>
  <si>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t>午逅</t>
  </si>
  <si>
    <r>
      <t>泰安中玖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</si>
  <si>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混合威士忌酒; 食用酒精; 果酒（含酒精）;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朗姆酒;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威士忌</t>
    </r>
  </si>
  <si>
    <t>禧可</t>
  </si>
  <si>
    <r>
      <t>白酒; 混合威士忌酒; 果酒（含酒精）; 朗姆酒; 威士忌;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食用酒精;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</si>
  <si>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济</t>
    </r>
    <r>
      <rPr>
        <sz val="11"/>
        <color theme="1"/>
        <rFont val="ＭＳ Ｐゴシック"/>
        <family val="3"/>
        <charset val="128"/>
        <scheme val="minor"/>
      </rPr>
      <t>南御品国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</si>
  <si>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朗姆酒;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</si>
  <si>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时</t>
    </r>
    <r>
      <rPr>
        <sz val="11"/>
        <color theme="1"/>
        <rFont val="ＭＳ Ｐゴシック"/>
        <family val="3"/>
        <charset val="128"/>
        <scheme val="minor"/>
      </rPr>
      <t>小友越你</t>
    </r>
  </si>
  <si>
    <r>
      <t>果酒; 蜂蜜酒;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</si>
  <si>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阳明三万里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</si>
  <si>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将</t>
    </r>
    <r>
      <rPr>
        <sz val="11"/>
        <color theme="1"/>
        <rFont val="ＭＳ Ｐゴシック"/>
        <family val="3"/>
        <charset val="134"/>
        <scheme val="minor"/>
      </rPr>
      <t>军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</si>
  <si>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食用酒精; 葡萄酒; 米酒; 青稞酒; 蒸煮提取物（利口酒和烈酒）</t>
    </r>
  </si>
  <si>
    <t>道水河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</si>
  <si>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高粱酒; 开胃酒;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清酒; 黄酒</t>
    </r>
  </si>
  <si>
    <t>甬泥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</si>
  <si>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露酒;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</si>
  <si>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盖氿</t>
    </r>
  </si>
  <si>
    <r>
      <t>贾</t>
    </r>
    <r>
      <rPr>
        <sz val="11"/>
        <color theme="1"/>
        <rFont val="ＭＳ Ｐゴシック"/>
        <family val="3"/>
        <charset val="128"/>
        <scheme val="minor"/>
      </rPr>
      <t>建云</t>
    </r>
  </si>
  <si>
    <r>
      <t>葡萄酒; 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</t>
    </r>
  </si>
  <si>
    <t>却非</t>
  </si>
  <si>
    <r>
      <t>河北却非酒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</si>
  <si>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苦味酒;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</t>
    </r>
  </si>
  <si>
    <t>辰羽昕</t>
  </si>
  <si>
    <r>
      <t>否极（武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）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</si>
  <si>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甜酒; 日式甜米酒; 葡萄酒</t>
    </r>
  </si>
  <si>
    <r>
      <t>圆</t>
    </r>
    <r>
      <rPr>
        <sz val="11"/>
        <color theme="1"/>
        <rFont val="ＭＳ Ｐゴシック"/>
        <family val="3"/>
        <charset val="128"/>
        <scheme val="minor"/>
      </rPr>
      <t>宝</t>
    </r>
  </si>
  <si>
    <r>
      <t>赵聪</t>
    </r>
    <r>
      <rPr>
        <sz val="11"/>
        <color theme="1"/>
        <rFont val="ＭＳ Ｐゴシック"/>
        <family val="3"/>
        <charset val="128"/>
        <scheme val="minor"/>
      </rPr>
      <t>杰</t>
    </r>
  </si>
  <si>
    <r>
      <t>开胃酒; 蜂蜜酒; 白酒;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</si>
  <si>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若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</si>
  <si>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李婧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</si>
  <si>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蜂蜜酒; 威士忌;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</si>
  <si>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鸣</t>
    </r>
    <r>
      <rPr>
        <sz val="11"/>
        <color theme="1"/>
        <rFont val="ＭＳ Ｐゴシック"/>
        <family val="3"/>
        <charset val="128"/>
        <scheme val="minor"/>
      </rPr>
      <t>山挽月</t>
    </r>
  </si>
  <si>
    <r>
      <t xml:space="preserve">葡萄酒;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白酒; 利口酒; 米酒</t>
    </r>
  </si>
  <si>
    <r>
      <t>嘉柏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</si>
  <si>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堡湾食品有限公司</t>
    </r>
  </si>
  <si>
    <r>
      <t xml:space="preserve">白酒; 清酒（日本米酒）; 黄酒; 葡萄酒;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</si>
  <si>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半</t>
    </r>
    <r>
      <rPr>
        <sz val="11"/>
        <color theme="1"/>
        <rFont val="ＭＳ Ｐゴシック"/>
        <family val="3"/>
        <charset val="134"/>
        <scheme val="minor"/>
      </rPr>
      <t>迳</t>
    </r>
    <r>
      <rPr>
        <sz val="11"/>
        <color theme="1"/>
        <rFont val="ＭＳ Ｐゴシック"/>
        <family val="3"/>
        <charset val="128"/>
        <scheme val="minor"/>
      </rPr>
      <t>仙</t>
    </r>
  </si>
  <si>
    <r>
      <t>广宁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柳星新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种养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</si>
  <si>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白酒; 果酒; 葡萄酒; 烈酒; 蜂蜜酒;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</t>
    </r>
  </si>
  <si>
    <r>
      <t>企</t>
    </r>
    <r>
      <rPr>
        <sz val="11"/>
        <color theme="1"/>
        <rFont val="ＭＳ Ｐゴシック"/>
        <family val="3"/>
        <charset val="134"/>
        <scheme val="minor"/>
      </rPr>
      <t>乐资</t>
    </r>
    <r>
      <rPr>
        <sz val="11"/>
        <color theme="1"/>
        <rFont val="ＭＳ Ｐゴシック"/>
        <family val="3"/>
        <charset val="128"/>
        <scheme val="minor"/>
      </rPr>
      <t>快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</si>
  <si>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州市金水区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炎百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</si>
  <si>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>姚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达</t>
    </r>
  </si>
  <si>
    <t>盖英涛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</si>
  <si>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开胃酒; 黄酒;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</si>
  <si>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湘千喜</t>
  </si>
  <si>
    <t>梁水亮</t>
  </si>
  <si>
    <r>
      <t xml:space="preserve">威士忌; 清酒（日本米酒）; 葡萄酒; 梅酒;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果酒（含酒精）</t>
    </r>
  </si>
  <si>
    <t>琳崽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</si>
  <si>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琳崽文化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</si>
  <si>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茴香酒（利口酒）;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开胃酒; 苦味酒;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茴芹酒（利口酒）; 薄荷酒; 果酒（含酒精）</t>
    </r>
  </si>
  <si>
    <r>
      <t>觅</t>
    </r>
    <r>
      <rPr>
        <sz val="11"/>
        <color theme="1"/>
        <rFont val="ＭＳ Ｐゴシック"/>
        <family val="3"/>
        <charset val="128"/>
        <scheme val="minor"/>
      </rPr>
      <t>十二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</si>
  <si>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本月食品有限公司</t>
    </r>
  </si>
  <si>
    <r>
      <t>果酒;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汽酒;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</si>
  <si>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单</t>
    </r>
    <r>
      <rPr>
        <sz val="11"/>
        <color theme="1"/>
        <rFont val="ＭＳ Ｐゴシック"/>
        <family val="3"/>
        <charset val="128"/>
        <scheme val="minor"/>
      </rPr>
      <t>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</si>
  <si>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甜酒; 开胃酒; 米酒; 葡萄酒</t>
    </r>
  </si>
  <si>
    <r>
      <t>醺淘网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科技(深圳)有限公司</t>
    </r>
  </si>
  <si>
    <r>
      <t xml:space="preserve">清酒（日本米酒）; 葡萄汽酒;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果酒（含酒精）;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黄酒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</si>
  <si>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如心</t>
    </r>
  </si>
  <si>
    <r>
      <t>石家庄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如心生物科技有限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</si>
  <si>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葡萄酒; 青稞酒;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甜果酒;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</si>
  <si>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和吉</t>
    </r>
  </si>
  <si>
    <r>
      <t>沁阳市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丰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机服</t>
    </r>
    <r>
      <rPr>
        <sz val="11"/>
        <color theme="1"/>
        <rFont val="ＭＳ Ｐゴシック"/>
        <family val="3"/>
        <charset val="134"/>
        <scheme val="minor"/>
      </rPr>
      <t>务专业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</si>
  <si>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青稞酒; 黄酒; 食用酒精; 葡萄酒; 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</si>
  <si>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闲</t>
    </r>
    <r>
      <rPr>
        <sz val="11"/>
        <color theme="1"/>
        <rFont val="ＭＳ Ｐゴシック"/>
        <family val="3"/>
        <charset val="128"/>
        <scheme val="minor"/>
      </rPr>
      <t>梦香</t>
    </r>
  </si>
  <si>
    <r>
      <t>深圳市玖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</si>
  <si>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青稞酒;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米酒</t>
    </r>
  </si>
  <si>
    <t>太极崇</t>
  </si>
  <si>
    <r>
      <t>故城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睿甘嫩百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)</t>
    </r>
  </si>
  <si>
    <r>
      <t>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米酒; 葡萄酒; 果酒;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</si>
  <si>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台</t>
    </r>
    <r>
      <rPr>
        <sz val="11"/>
        <color theme="1"/>
        <rFont val="ＭＳ Ｐゴシック"/>
        <family val="3"/>
        <charset val="134"/>
        <scheme val="minor"/>
      </rPr>
      <t>酿师</t>
    </r>
  </si>
  <si>
    <t>黄文洋</t>
  </si>
  <si>
    <r>
      <t xml:space="preserve">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白酒</t>
    </r>
  </si>
  <si>
    <t>俄耶列娃</t>
  </si>
  <si>
    <r>
      <t>西安</t>
    </r>
    <r>
      <rPr>
        <sz val="11"/>
        <color theme="1"/>
        <rFont val="ＭＳ Ｐゴシック"/>
        <family val="3"/>
        <charset val="134"/>
        <scheme val="minor"/>
      </rPr>
      <t>团圆</t>
    </r>
    <r>
      <rPr>
        <sz val="11"/>
        <color theme="1"/>
        <rFont val="ＭＳ Ｐゴシック"/>
        <family val="3"/>
        <charset val="128"/>
        <scheme val="minor"/>
      </rPr>
      <t>宴商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</si>
  <si>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杜松子酒;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酸酒（低等葡萄酒）; 蜂蜜酒; 食用酒精;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</si>
  <si>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r>
      <t>米芝</t>
    </r>
    <r>
      <rPr>
        <sz val="11"/>
        <color theme="1"/>
        <rFont val="ＭＳ Ｐゴシック"/>
        <family val="3"/>
        <charset val="134"/>
        <scheme val="minor"/>
      </rPr>
      <t>缘</t>
    </r>
  </si>
  <si>
    <t>高士恩</t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</si>
  <si>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餐后酒（利口酒和烈酒）;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白干酒（中国白酒）</t>
    </r>
  </si>
  <si>
    <t>FENCUNJIU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</si>
  <si>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州醉之九商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</si>
  <si>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果酒; 露酒;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黄酒; 高粱酒</t>
    </r>
  </si>
  <si>
    <t>故今福</t>
  </si>
  <si>
    <r>
      <t xml:space="preserve">米酒; 烈酒;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高粱酒; 清酒</t>
    </r>
  </si>
  <si>
    <t>成功民</t>
  </si>
  <si>
    <t>蔡宇航</t>
  </si>
  <si>
    <r>
      <t>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</si>
  <si>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世界鼎</t>
  </si>
  <si>
    <t>晏澳文</t>
  </si>
  <si>
    <r>
      <t xml:space="preserve">白酒;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葡萄酒; 清酒; 米酒;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</si>
  <si>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t>舒威</t>
  </si>
  <si>
    <r>
      <t>广州新</t>
    </r>
    <r>
      <rPr>
        <sz val="11"/>
        <color theme="1"/>
        <rFont val="ＭＳ Ｐゴシック"/>
        <family val="3"/>
        <charset val="134"/>
        <scheme val="minor"/>
      </rPr>
      <t>动</t>
    </r>
    <r>
      <rPr>
        <sz val="11"/>
        <color theme="1"/>
        <rFont val="ＭＳ Ｐゴシック"/>
        <family val="3"/>
        <charset val="128"/>
        <scheme val="minor"/>
      </rPr>
      <t>力酒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</si>
  <si>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朗姆酒;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清酒（日本米酒）; 米酒; 葡萄酒; 黄酒; 汽酒</t>
    </r>
  </si>
  <si>
    <t>金樽谷液福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</si>
  <si>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州谷液福酒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</si>
  <si>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葡萄酒; 清酒（日本米酒）;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</si>
  <si>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传</t>
    </r>
    <r>
      <rPr>
        <sz val="11"/>
        <color theme="1"/>
        <rFont val="ＭＳ Ｐゴシック"/>
        <family val="3"/>
        <charset val="128"/>
        <scheme val="minor"/>
      </rPr>
      <t>家雅醉</t>
    </r>
  </si>
  <si>
    <t>任荣</t>
  </si>
  <si>
    <r>
      <t xml:space="preserve">果酒; 露酒;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梅酒; 白酒; 高粱酒; 米酒; 葡萄酒; 黄酒</t>
    </r>
  </si>
  <si>
    <r>
      <t>钱</t>
    </r>
    <r>
      <rPr>
        <sz val="11"/>
        <color theme="1"/>
        <rFont val="ＭＳ Ｐゴシック"/>
        <family val="3"/>
        <charset val="128"/>
        <scheme val="minor"/>
      </rPr>
      <t>酒大</t>
    </r>
    <r>
      <rPr>
        <sz val="11"/>
        <color theme="1"/>
        <rFont val="ＭＳ Ｐゴシック"/>
        <family val="3"/>
        <charset val="134"/>
        <scheme val="minor"/>
      </rPr>
      <t>钱</t>
    </r>
    <r>
      <rPr>
        <sz val="11"/>
        <color theme="1"/>
        <rFont val="ＭＳ Ｐゴシック"/>
        <family val="3"/>
        <charset val="128"/>
        <scheme val="minor"/>
      </rPr>
      <t>元</t>
    </r>
  </si>
  <si>
    <r>
      <t>黄酒; 白酒; 高粱酒; 青稞酒;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梅酒; 果酒; 米酒; 葡萄酒</t>
    </r>
  </si>
  <si>
    <r>
      <t>誉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九十九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</si>
  <si>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荣仔</t>
    </r>
  </si>
  <si>
    <r>
      <t>五加皮酒（中国混合烈酒）;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葡萄酒; 清酒;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</si>
  <si>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近海茗珠</t>
  </si>
  <si>
    <r>
      <t>日照市</t>
    </r>
    <r>
      <rPr>
        <sz val="11"/>
        <color theme="1"/>
        <rFont val="ＭＳ Ｐゴシック"/>
        <family val="3"/>
        <charset val="134"/>
        <scheme val="minor"/>
      </rPr>
      <t>浏</t>
    </r>
    <r>
      <rPr>
        <sz val="11"/>
        <color theme="1"/>
        <rFont val="ＭＳ Ｐゴシック"/>
        <family val="3"/>
        <charset val="128"/>
        <scheme val="minor"/>
      </rPr>
      <t>茗春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</si>
  <si>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薄荷酒; 茴芹酒（利口酒）; 果酒（含酒精）; 苦味酒;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苹果酒; 开胃酒; 白酒; 茴香酒（利口酒）;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</si>
  <si>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 xml:space="preserve">苦味酒; 开胃酒; 茴芹酒（利口酒）; 茴香酒（利口酒）; 白酒; 果酒（含酒精）;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薄荷酒</t>
    </r>
  </si>
  <si>
    <t>角岭湖</t>
  </si>
  <si>
    <r>
      <t>广州市任加文化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</si>
  <si>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果酒（含酒精）; 食用酒精;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米酒; 混合威士忌酒; 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梨酒</t>
    </r>
  </si>
  <si>
    <t>未郎中</t>
  </si>
  <si>
    <r>
      <t>杨</t>
    </r>
    <r>
      <rPr>
        <sz val="11"/>
        <color theme="1"/>
        <rFont val="ＭＳ Ｐゴシック"/>
        <family val="3"/>
        <charset val="128"/>
        <scheme val="minor"/>
      </rPr>
      <t>素芬</t>
    </r>
  </si>
  <si>
    <t>清酒; 果酒; 烈酒; 白酒; 米酒; 黄酒; 伏特加酒; 威士忌; 汽酒; 葡萄酒</t>
  </si>
  <si>
    <r>
      <t>灵</t>
    </r>
    <r>
      <rPr>
        <sz val="11"/>
        <color theme="1"/>
        <rFont val="ＭＳ Ｐゴシック"/>
        <family val="3"/>
        <charset val="129"/>
        <scheme val="minor"/>
      </rPr>
      <t>姬</t>
    </r>
  </si>
  <si>
    <t>王志国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</si>
  <si>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</t>
    </r>
  </si>
  <si>
    <t>双森</t>
  </si>
  <si>
    <r>
      <t>刘</t>
    </r>
    <r>
      <rPr>
        <sz val="11"/>
        <color theme="1"/>
        <rFont val="ＭＳ Ｐゴシック"/>
        <family val="3"/>
        <charset val="134"/>
        <scheme val="minor"/>
      </rPr>
      <t>铁</t>
    </r>
    <r>
      <rPr>
        <sz val="11"/>
        <color theme="1"/>
        <rFont val="ＭＳ Ｐゴシック"/>
        <family val="3"/>
        <charset val="128"/>
        <scheme val="minor"/>
      </rPr>
      <t>成</t>
    </r>
  </si>
  <si>
    <t>果酒; 葡萄酒; 食用酒精; 白酒; 黄酒; 清酒; 甜酒; 汽酒; 米酒; 开胃酒</t>
  </si>
  <si>
    <t>汤绍诚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</si>
  <si>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州酒企酒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</si>
  <si>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开胃酒; 黄酒; 葡萄酒; 伏特加酒</t>
    </r>
  </si>
  <si>
    <t>鼎昕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</si>
  <si>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市鼎昕酒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</si>
  <si>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</si>
  <si>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刀</t>
    </r>
  </si>
  <si>
    <t>曹美玲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</si>
  <si>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果酒（含酒精）; 高粱酒; 黄酒; 白酒; 米酒;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</si>
  <si>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万年</t>
    </r>
    <r>
      <rPr>
        <sz val="11"/>
        <color theme="1"/>
        <rFont val="ＭＳ Ｐゴシック"/>
        <family val="3"/>
        <charset val="134"/>
        <scheme val="minor"/>
      </rPr>
      <t>发</t>
    </r>
  </si>
  <si>
    <r>
      <t>泾</t>
    </r>
    <r>
      <rPr>
        <sz val="11"/>
        <color theme="1"/>
        <rFont val="ＭＳ Ｐゴシック"/>
        <family val="3"/>
        <charset val="128"/>
        <scheme val="minor"/>
      </rPr>
      <t>河新城木晤</t>
    </r>
    <r>
      <rPr>
        <sz val="11"/>
        <color theme="1"/>
        <rFont val="ＭＳ Ｐゴシック"/>
        <family val="3"/>
        <charset val="134"/>
        <scheme val="minor"/>
      </rPr>
      <t>农产</t>
    </r>
    <r>
      <rPr>
        <sz val="11"/>
        <color theme="1"/>
        <rFont val="ＭＳ Ｐゴシック"/>
        <family val="3"/>
        <charset val="128"/>
        <scheme val="minor"/>
      </rPr>
      <t>品</t>
    </r>
    <r>
      <rPr>
        <sz val="11"/>
        <color theme="1"/>
        <rFont val="ＭＳ Ｐゴシック"/>
        <family val="3"/>
        <charset val="134"/>
        <scheme val="minor"/>
      </rPr>
      <t>经营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</si>
  <si>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</si>
  <si>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浔</t>
    </r>
    <r>
      <rPr>
        <sz val="11"/>
        <color theme="1"/>
        <rFont val="ＭＳ Ｐゴシック"/>
        <family val="3"/>
        <charset val="128"/>
        <scheme val="minor"/>
      </rPr>
      <t>江</t>
    </r>
    <r>
      <rPr>
        <sz val="11"/>
        <color theme="1"/>
        <rFont val="ＭＳ Ｐゴシック"/>
        <family val="3"/>
        <charset val="134"/>
        <scheme val="minor"/>
      </rPr>
      <t>锋</t>
    </r>
    <r>
      <rPr>
        <sz val="11"/>
        <color theme="1"/>
        <rFont val="ＭＳ Ｐゴシック"/>
        <family val="3"/>
        <charset val="128"/>
        <scheme val="minor"/>
      </rPr>
      <t>味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</si>
  <si>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市州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</si>
  <si>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白酒; 清酒; 米酒; 威士忌;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</si>
  <si>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本青春</t>
  </si>
  <si>
    <r>
      <t>宁德市八</t>
    </r>
    <r>
      <rPr>
        <sz val="11"/>
        <color theme="1"/>
        <rFont val="ＭＳ Ｐゴシック"/>
        <family val="3"/>
        <charset val="134"/>
        <scheme val="minor"/>
      </rPr>
      <t>鸿电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</si>
  <si>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黄酒; 食用酒精; 葡萄酒;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白酒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</si>
  <si>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州一品坊酒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</si>
  <si>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果酒（含酒精）; 黄酒</t>
    </r>
  </si>
  <si>
    <t>徐小臣</t>
  </si>
  <si>
    <r>
      <t>南昌市灼情餐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</si>
  <si>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食用酒精;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</si>
  <si>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江年猪</t>
    </r>
  </si>
  <si>
    <r>
      <t>哈</t>
    </r>
    <r>
      <rPr>
        <sz val="11"/>
        <color theme="1"/>
        <rFont val="ＭＳ Ｐゴシック"/>
        <family val="3"/>
        <charset val="134"/>
        <scheme val="minor"/>
      </rPr>
      <t>尔滨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鲲鹏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</si>
  <si>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高粱酒;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利口酒;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</si>
  <si>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张</t>
    </r>
    <r>
      <rPr>
        <sz val="11"/>
        <color theme="1"/>
        <rFont val="ＭＳ Ｐゴシック"/>
        <family val="3"/>
        <charset val="129"/>
        <scheme val="minor"/>
      </rPr>
      <t>洺</t>
    </r>
    <r>
      <rPr>
        <sz val="11"/>
        <color theme="1"/>
        <rFont val="ＭＳ Ｐゴシック"/>
        <family val="3"/>
        <charset val="134"/>
        <scheme val="minor"/>
      </rPr>
      <t>银</t>
    </r>
  </si>
  <si>
    <r>
      <t>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</si>
  <si>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祖</t>
    </r>
    <r>
      <rPr>
        <sz val="11"/>
        <color theme="1"/>
        <rFont val="ＭＳ Ｐゴシック"/>
        <family val="3"/>
        <charset val="134"/>
        <scheme val="minor"/>
      </rPr>
      <t>应</t>
    </r>
    <r>
      <rPr>
        <sz val="11"/>
        <color theme="1"/>
        <rFont val="ＭＳ Ｐゴシック"/>
        <family val="3"/>
        <charset val="128"/>
        <scheme val="minor"/>
      </rPr>
      <t>才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</si>
  <si>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郑记</t>
    </r>
    <r>
      <rPr>
        <sz val="11"/>
        <color theme="1"/>
        <rFont val="ＭＳ Ｐゴシック"/>
        <family val="3"/>
        <charset val="128"/>
        <scheme val="minor"/>
      </rPr>
      <t>茅酒酒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</si>
  <si>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</t>
    </r>
  </si>
  <si>
    <t>中和酒舟</t>
  </si>
  <si>
    <r>
      <t>延吉市酒舟酒</t>
    </r>
    <r>
      <rPr>
        <sz val="11"/>
        <color theme="1"/>
        <rFont val="ＭＳ Ｐゴシック"/>
        <family val="3"/>
        <charset val="134"/>
        <scheme val="minor"/>
      </rPr>
      <t>类专销</t>
    </r>
    <r>
      <rPr>
        <sz val="11"/>
        <color theme="1"/>
        <rFont val="ＭＳ Ｐゴシック"/>
        <family val="3"/>
        <charset val="128"/>
        <scheme val="minor"/>
      </rPr>
      <t>中心</t>
    </r>
  </si>
  <si>
    <r>
      <t xml:space="preserve">蜂蜜酒; 白酒; 食用酒精;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梨酒; 果酒（含酒精）;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</si>
  <si>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踏云霄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</si>
  <si>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露酒; 黄酒; 葡萄酒;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米酒</t>
    </r>
  </si>
  <si>
    <t>寻书</t>
  </si>
  <si>
    <r>
      <t>马</t>
    </r>
    <r>
      <rPr>
        <sz val="11"/>
        <color theme="1"/>
        <rFont val="ＭＳ Ｐゴシック"/>
        <family val="3"/>
        <charset val="128"/>
        <scheme val="minor"/>
      </rPr>
      <t>佳</t>
    </r>
    <r>
      <rPr>
        <sz val="11"/>
        <color theme="1"/>
        <rFont val="ＭＳ Ｐゴシック"/>
        <family val="3"/>
        <charset val="134"/>
        <scheme val="minor"/>
      </rPr>
      <t>钰</t>
    </r>
  </si>
  <si>
    <t>甜酒; 葡萄酒; 白酒; 果酒; 食用酒精; 黄酒; 汽酒; 清酒; 米酒; 开胃酒</t>
  </si>
  <si>
    <r>
      <t>黔小</t>
    </r>
    <r>
      <rPr>
        <sz val="11"/>
        <color theme="1"/>
        <rFont val="ＭＳ Ｐゴシック"/>
        <family val="3"/>
        <charset val="134"/>
        <scheme val="minor"/>
      </rPr>
      <t>宾</t>
    </r>
  </si>
  <si>
    <t>李元俊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</si>
  <si>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甜酒; 果酒; 葡萄酒; 汽酒; 黄酒</t>
    </r>
  </si>
  <si>
    <r>
      <t>榆</t>
    </r>
    <r>
      <rPr>
        <sz val="11"/>
        <color theme="1"/>
        <rFont val="ＭＳ Ｐゴシック"/>
        <family val="3"/>
        <charset val="128"/>
        <scheme val="minor"/>
      </rPr>
      <t>林明</t>
    </r>
    <r>
      <rPr>
        <sz val="11"/>
        <color theme="1"/>
        <rFont val="ＭＳ Ｐゴシック"/>
        <family val="3"/>
        <charset val="134"/>
        <scheme val="minor"/>
      </rPr>
      <t>净蓝钻</t>
    </r>
    <r>
      <rPr>
        <sz val="11"/>
        <color theme="1"/>
        <rFont val="ＭＳ Ｐゴシック"/>
        <family val="3"/>
        <charset val="128"/>
        <scheme val="minor"/>
      </rPr>
      <t>玻璃有限公司</t>
    </r>
  </si>
  <si>
    <r>
      <t xml:space="preserve">青稞酒; 白酒; 烈酒; 高粱酒;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葡萄酒; 白干酒（中国白酒）</t>
    </r>
  </si>
  <si>
    <r>
      <t>寄放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光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</si>
  <si>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门鲸</t>
    </r>
    <r>
      <rPr>
        <sz val="11"/>
        <color theme="1"/>
        <rFont val="ＭＳ Ｐゴシック"/>
        <family val="3"/>
        <charset val="128"/>
        <scheme val="minor"/>
      </rPr>
      <t>空云智能科技有限公司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</si>
  <si>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利口酒; 葡萄酒</t>
    </r>
  </si>
  <si>
    <r>
      <t>琼</t>
    </r>
    <r>
      <rPr>
        <sz val="11"/>
        <color theme="1"/>
        <rFont val="ＭＳ Ｐゴシック"/>
        <family val="3"/>
        <charset val="128"/>
        <scheme val="minor"/>
      </rPr>
      <t>界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</si>
  <si>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圣哲</t>
    </r>
  </si>
  <si>
    <t>白酒; 甜酒; 米酒; 食用酒精; 汽酒; 果酒; 葡萄酒; 清酒; 开胃酒; 黄酒</t>
  </si>
  <si>
    <r>
      <t>乔</t>
    </r>
    <r>
      <rPr>
        <sz val="11"/>
        <color theme="1"/>
        <rFont val="ＭＳ Ｐゴシック"/>
        <family val="3"/>
        <charset val="128"/>
        <scheme val="minor"/>
      </rPr>
      <t>家大小姐</t>
    </r>
  </si>
  <si>
    <t>深圳企之家科技有限公司</t>
  </si>
  <si>
    <r>
      <t xml:space="preserve">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开胃酒; 汽酒; 米酒; 果酒（含酒精）; 食用酒精; 黄酒</t>
    </r>
  </si>
  <si>
    <t>鹿寿昌</t>
  </si>
  <si>
    <t>周彤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</si>
  <si>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黄酒; 葡萄酒; 米酒;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</si>
  <si>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飞</t>
    </r>
    <r>
      <rPr>
        <sz val="11"/>
        <color theme="1"/>
        <rFont val="ＭＳ Ｐゴシック"/>
        <family val="3"/>
        <charset val="128"/>
        <scheme val="minor"/>
      </rPr>
      <t>袖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</si>
  <si>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州茅不易商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</si>
  <si>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葡萄酒;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白酒; 黄酒;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</si>
  <si>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t>益元古月春</t>
  </si>
  <si>
    <r>
      <t>天津市古月春酒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</si>
  <si>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果酒; 薄荷酒; 露酒;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</si>
  <si>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t>有中有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</si>
  <si>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州酉中酉酒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</si>
  <si>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清酒; 甜酒; 白酒; 白干酒（中国白酒）;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</si>
  <si>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同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泉</t>
    </r>
  </si>
  <si>
    <r>
      <t>北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市万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</si>
  <si>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利口酒; 黄酒; 薄荷酒; 米酒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</si>
  <si>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家巷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</si>
  <si>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朗姆酒; 葡萄酒; 白酒; 黄酒; 伏特加酒; 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</si>
  <si>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鹿林客</t>
  </si>
  <si>
    <r>
      <t>商丘市伏鹿堂酒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</si>
  <si>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黄酒; 白酒; 清酒; 青稞酒; 食用酒精;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</t>
    </r>
  </si>
  <si>
    <t>广恩堂</t>
  </si>
  <si>
    <r>
      <t>青稞酒;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高粱酒; 白酒; 果酒（含酒精）; 黄酒;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</si>
  <si>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十只天</t>
    </r>
    <r>
      <rPr>
        <sz val="11"/>
        <color theme="1"/>
        <rFont val="ＭＳ Ｐゴシック"/>
        <family val="3"/>
        <charset val="134"/>
        <scheme val="minor"/>
      </rPr>
      <t>鹅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</si>
  <si>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福才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</si>
  <si>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清酒（日本米酒）;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</si>
  <si>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哆咪惢 DUOMAIRUI</t>
  </si>
  <si>
    <r>
      <t>赵</t>
    </r>
    <r>
      <rPr>
        <sz val="11"/>
        <color theme="1"/>
        <rFont val="ＭＳ Ｐゴシック"/>
        <family val="3"/>
        <charset val="128"/>
        <scheme val="minor"/>
      </rPr>
      <t>雅</t>
    </r>
    <r>
      <rPr>
        <sz val="11"/>
        <color theme="1"/>
        <rFont val="ＭＳ Ｐゴシック"/>
        <family val="3"/>
        <charset val="134"/>
        <scheme val="minor"/>
      </rPr>
      <t>岚</t>
    </r>
  </si>
  <si>
    <r>
      <t>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</si>
  <si>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酩</t>
    </r>
    <r>
      <rPr>
        <sz val="11"/>
        <color theme="1"/>
        <rFont val="ＭＳ Ｐゴシック"/>
        <family val="3"/>
        <charset val="134"/>
        <scheme val="minor"/>
      </rPr>
      <t>绩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</si>
  <si>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恩云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</si>
  <si>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黄酒; 白酒; 果酒; 清酒（日本米酒）</t>
    </r>
  </si>
  <si>
    <t>甄味百川</t>
  </si>
  <si>
    <r>
      <t>成都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到家商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</si>
  <si>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</t>
    </r>
  </si>
  <si>
    <t>包拳</t>
  </si>
  <si>
    <r>
      <t>无</t>
    </r>
    <r>
      <rPr>
        <sz val="11"/>
        <color theme="1"/>
        <rFont val="ＭＳ Ｐゴシック"/>
        <family val="3"/>
        <charset val="134"/>
        <scheme val="minor"/>
      </rPr>
      <t>锡</t>
    </r>
    <r>
      <rPr>
        <sz val="11"/>
        <color theme="1"/>
        <rFont val="ＭＳ Ｐゴシック"/>
        <family val="3"/>
        <charset val="128"/>
        <scheme val="minor"/>
      </rPr>
      <t>秀芳园食品有限公司</t>
    </r>
  </si>
  <si>
    <r>
      <t>梅酒;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黄酒</t>
    </r>
  </si>
  <si>
    <t>家展老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</si>
  <si>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布衣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</si>
  <si>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茴芹酒（利口酒）; 苹果酒;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朗姆酒; 米酒; 黄酒;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</si>
  <si>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竞</t>
    </r>
    <r>
      <rPr>
        <sz val="11"/>
        <color theme="1"/>
        <rFont val="ＭＳ Ｐゴシック"/>
        <family val="3"/>
        <charset val="128"/>
        <scheme val="minor"/>
      </rPr>
      <t>九洲</t>
    </r>
  </si>
  <si>
    <t>李安彧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</si>
  <si>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果酒（含酒精）; 米酒</t>
    </r>
  </si>
  <si>
    <r>
      <t>醉金</t>
    </r>
    <r>
      <rPr>
        <sz val="11"/>
        <color theme="1"/>
        <rFont val="ＭＳ Ｐゴシック"/>
        <family val="3"/>
        <charset val="134"/>
        <scheme val="minor"/>
      </rPr>
      <t>汉</t>
    </r>
  </si>
  <si>
    <r>
      <t>果酒（含酒精）; 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清酒（日本米酒）; 威士忌; 米酒; 白酒</t>
    </r>
  </si>
  <si>
    <t>卡士夜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</si>
  <si>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州嘉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合商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</si>
  <si>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利口酒; 白酒; 葡萄酒;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朗姆酒; 伏特加酒; 甜酒</t>
    </r>
  </si>
  <si>
    <r>
      <t>旌</t>
    </r>
    <r>
      <rPr>
        <sz val="11"/>
        <color theme="1"/>
        <rFont val="ＭＳ Ｐゴシック"/>
        <family val="3"/>
        <charset val="134"/>
        <scheme val="minor"/>
      </rPr>
      <t>节</t>
    </r>
  </si>
  <si>
    <t>北京五洲使者文化有限公司</t>
  </si>
  <si>
    <r>
      <t>米酒; 开胃酒;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酸酒（低等葡萄酒）; 黄酒; 葡萄酒</t>
    </r>
  </si>
  <si>
    <t>清雅韵 清和</t>
  </si>
  <si>
    <r>
      <t>山西晋康酒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</si>
  <si>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白酒; 葡萄酒;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</si>
  <si>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南国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夫守</t>
    </r>
    <r>
      <rPr>
        <sz val="11"/>
        <color theme="1"/>
        <rFont val="ＭＳ Ｐゴシック"/>
        <family val="3"/>
        <charset val="134"/>
        <scheme val="minor"/>
      </rPr>
      <t>护</t>
    </r>
  </si>
  <si>
    <r>
      <t>鲁</t>
    </r>
    <r>
      <rPr>
        <sz val="11"/>
        <color theme="1"/>
        <rFont val="ＭＳ Ｐゴシック"/>
        <family val="3"/>
        <charset val="128"/>
        <scheme val="minor"/>
      </rPr>
      <t>玉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</si>
  <si>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薄荷酒; 开胃酒;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威士忌</t>
    </r>
  </si>
  <si>
    <r>
      <t>豫</t>
    </r>
    <r>
      <rPr>
        <sz val="11"/>
        <color theme="1"/>
        <rFont val="ＭＳ Ｐゴシック"/>
        <family val="3"/>
        <charset val="134"/>
        <scheme val="minor"/>
      </rPr>
      <t>让桥</t>
    </r>
  </si>
  <si>
    <r>
      <t>邢台邢通</t>
    </r>
    <r>
      <rPr>
        <sz val="11"/>
        <color theme="1"/>
        <rFont val="ＭＳ Ｐゴシック"/>
        <family val="3"/>
        <charset val="134"/>
        <scheme val="minor"/>
      </rPr>
      <t>马术</t>
    </r>
    <r>
      <rPr>
        <sz val="11"/>
        <color theme="1"/>
        <rFont val="ＭＳ Ｐゴシック"/>
        <family val="3"/>
        <charset val="128"/>
        <scheme val="minor"/>
      </rPr>
      <t>俱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</si>
  <si>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 xml:space="preserve">米酒; 草莓酒; 高粱酒; 伏特加酒; 苹果酒; 果酒（含酒精）; 白酒; 葡萄酒; 青稞酒;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</si>
  <si>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r>
      <t>徐宗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大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工作室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</si>
  <si>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市徐大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</si>
  <si>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白酒;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清酒（日本米酒）; 威士忌</t>
    </r>
  </si>
  <si>
    <r>
      <t>徽茗唱</t>
    </r>
    <r>
      <rPr>
        <sz val="11"/>
        <color theme="1"/>
        <rFont val="ＭＳ Ｐゴシック"/>
        <family val="3"/>
        <charset val="134"/>
        <scheme val="minor"/>
      </rPr>
      <t>远</t>
    </r>
  </si>
  <si>
    <r>
      <t>黄山神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大健康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</si>
  <si>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果酒（含酒精）; 利口酒;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露酒;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</si>
  <si>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喜恩</t>
  </si>
  <si>
    <r>
      <t>山西汾圣源酒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</si>
  <si>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露酒;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威士忌;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</si>
  <si>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哲达</t>
    </r>
    <r>
      <rPr>
        <sz val="11"/>
        <color theme="1"/>
        <rFont val="ＭＳ Ｐゴシック"/>
        <family val="3"/>
        <charset val="134"/>
        <scheme val="minor"/>
      </rPr>
      <t>兴</t>
    </r>
  </si>
  <si>
    <t>李会学</t>
  </si>
  <si>
    <r>
      <t>烈酒; 白酒; 葡萄酒;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</si>
  <si>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微著</t>
  </si>
  <si>
    <r>
      <t>深圳市微著安全技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</si>
  <si>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白葡萄酒; 白干酒（中国白酒）</t>
    </r>
  </si>
  <si>
    <t>蓝宾</t>
  </si>
  <si>
    <r>
      <t xml:space="preserve">黄酒; 清酒（日本米酒）; 葡萄酒; 青稞酒;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</si>
  <si>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祥十二</t>
  </si>
  <si>
    <r>
      <t>濮阳直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</si>
  <si>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t>米酒; 黄酒; 朗姆酒; 梅酒; 白酒; 葡萄酒; 威士忌; 露酒; 伏特加酒; 清酒</t>
  </si>
  <si>
    <r>
      <t>又一</t>
    </r>
    <r>
      <rPr>
        <sz val="11"/>
        <color theme="1"/>
        <rFont val="ＭＳ Ｐゴシック"/>
        <family val="3"/>
        <charset val="134"/>
        <scheme val="minor"/>
      </rPr>
      <t>岛</t>
    </r>
  </si>
  <si>
    <t>叶大海</t>
  </si>
  <si>
    <t>米酒; 汽酒; 甜酒; 葡萄酒; 黄酒; 果酒; 清酒; 白酒; 食用酒精; 开胃酒</t>
  </si>
  <si>
    <t>如棠</t>
  </si>
  <si>
    <t>郭明磊</t>
  </si>
  <si>
    <r>
      <t>白干酒（中国白酒）; 露酒;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利口酒; 梨酒;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青稞酒; 梅酒</t>
    </r>
  </si>
  <si>
    <t>徽情吟梦</t>
  </si>
  <si>
    <r>
      <t xml:space="preserve">利口酒;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</si>
  <si>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清友圣情</t>
  </si>
  <si>
    <r>
      <t>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米酒; 果酒（含酒精）; 利口酒;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</si>
  <si>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莫干礼</t>
  </si>
  <si>
    <r>
      <t>褚月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</si>
  <si>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</si>
  <si>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清雅韵 清</t>
    </r>
    <r>
      <rPr>
        <sz val="11"/>
        <color theme="1"/>
        <rFont val="ＭＳ Ｐゴシック"/>
        <family val="3"/>
        <charset val="134"/>
        <scheme val="minor"/>
      </rPr>
      <t>澜</t>
    </r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</si>
  <si>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果酒（含酒精）; 烈酒</t>
    </r>
  </si>
  <si>
    <t>奢吻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</si>
  <si>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州鼎都商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</si>
  <si>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烈酒; 高粱酒;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</si>
  <si>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凰丰年</t>
  </si>
  <si>
    <r>
      <t>果酒（含酒精）; 白酒;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</t>
    </r>
  </si>
  <si>
    <t>耀梅</t>
  </si>
  <si>
    <r>
      <t>诸</t>
    </r>
    <r>
      <rPr>
        <sz val="11"/>
        <color theme="1"/>
        <rFont val="ＭＳ Ｐゴシック"/>
        <family val="3"/>
        <charset val="129"/>
        <scheme val="minor"/>
      </rPr>
      <t>暨</t>
    </r>
    <r>
      <rPr>
        <sz val="11"/>
        <color theme="1"/>
        <rFont val="ＭＳ Ｐゴシック"/>
        <family val="3"/>
        <charset val="128"/>
        <scheme val="minor"/>
      </rPr>
      <t>市耀梅酒行</t>
    </r>
  </si>
  <si>
    <r>
      <t xml:space="preserve">黄酒;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米酒; 威士忌</t>
    </r>
  </si>
  <si>
    <r>
      <t>露</t>
    </r>
    <r>
      <rPr>
        <sz val="11"/>
        <color theme="1"/>
        <rFont val="ＭＳ Ｐゴシック"/>
        <family val="3"/>
        <charset val="134"/>
        <scheme val="minor"/>
      </rPr>
      <t>尝</t>
    </r>
    <r>
      <rPr>
        <sz val="11"/>
        <color theme="1"/>
        <rFont val="ＭＳ Ｐゴシック"/>
        <family val="3"/>
        <charset val="128"/>
        <scheme val="minor"/>
      </rPr>
      <t>虹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</si>
  <si>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黄酒;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清酒（日本米酒）; 葡萄酒; 威士忌; 米酒</t>
    </r>
  </si>
  <si>
    <t>威斯提 WEASNIT</t>
  </si>
  <si>
    <r>
      <t>故城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兮</t>
    </r>
    <r>
      <rPr>
        <sz val="11"/>
        <color theme="1"/>
        <rFont val="ＭＳ Ｐゴシック"/>
        <family val="3"/>
        <charset val="134"/>
        <scheme val="minor"/>
      </rPr>
      <t>谈</t>
    </r>
    <r>
      <rPr>
        <sz val="11"/>
        <color theme="1"/>
        <rFont val="ＭＳ Ｐゴシック"/>
        <family val="3"/>
        <charset val="128"/>
        <scheme val="minor"/>
      </rPr>
      <t>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</si>
  <si>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 xml:space="preserve">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黄酒; 葡萄酒</t>
    </r>
  </si>
  <si>
    <t>喜事未来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</si>
  <si>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州未来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</si>
  <si>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蒸煮提取物（利口酒和烈酒）; 白酒; 果酒; 米酒; 黄酒</t>
    </r>
  </si>
  <si>
    <t>JYANG TOUR IN DA RAYS HOUSE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</si>
  <si>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赖</t>
    </r>
    <r>
      <rPr>
        <sz val="11"/>
        <color theme="1"/>
        <rFont val="ＭＳ Ｐゴシック"/>
        <family val="3"/>
        <charset val="128"/>
        <scheme val="minor"/>
      </rPr>
      <t>正衡酒厂</t>
    </r>
  </si>
  <si>
    <r>
      <t>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</si>
  <si>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狗狗</t>
    </r>
  </si>
  <si>
    <r>
      <t>莫玉</t>
    </r>
    <r>
      <rPr>
        <sz val="11"/>
        <color theme="1"/>
        <rFont val="ＭＳ Ｐゴシック"/>
        <family val="3"/>
        <charset val="134"/>
        <scheme val="minor"/>
      </rPr>
      <t>婵</t>
    </r>
  </si>
  <si>
    <r>
      <t>米酒;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甜酒; 清酒（日本米酒）;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</si>
  <si>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䇋京台酒</t>
  </si>
  <si>
    <r>
      <t>北京酒追誉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</si>
  <si>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白干酒（中国白酒）; 烈酒;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</si>
  <si>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君百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 xml:space="preserve"> JBSE</t>
    </r>
  </si>
  <si>
    <r>
      <t>君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(南京)有限公司</t>
    </r>
  </si>
  <si>
    <r>
      <t xml:space="preserve">蜂蜜酒; 米酒;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白酒; 青稞酒; 清酒（日本米酒）; 果酒（含酒精）; 蒸煮提取物（利口酒和烈酒）;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</si>
  <si>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和太医</t>
  </si>
  <si>
    <t>果酒; 汽酒; 米酒; 白酒; 葡萄酒; 黄酒; 开胃酒; 清酒; 甜酒; 食用酒精</t>
  </si>
  <si>
    <t>聿天</t>
  </si>
  <si>
    <r>
      <t>沽水流霞精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（天津）有限公司</t>
    </r>
  </si>
  <si>
    <r>
      <t>白干酒（中国白酒）;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麦芽威士忌; 白酒; 果酒;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</si>
  <si>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汤</t>
    </r>
    <r>
      <rPr>
        <sz val="11"/>
        <color theme="1"/>
        <rFont val="ＭＳ Ｐゴシック"/>
        <family val="3"/>
        <charset val="128"/>
        <scheme val="minor"/>
      </rPr>
      <t>氏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胄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</si>
  <si>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白酒; 伏特加酒; 黄酒; 果酒（含酒精）; 米酒;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</si>
  <si>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汤</t>
    </r>
    <r>
      <rPr>
        <sz val="11"/>
        <color theme="1"/>
        <rFont val="ＭＳ Ｐゴシック"/>
        <family val="3"/>
        <charset val="128"/>
        <scheme val="minor"/>
      </rPr>
      <t>家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</si>
  <si>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 xml:space="preserve">米酒; 开胃酒; 葡萄酒; 黄酒; 白酒;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</si>
  <si>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九粱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尊</t>
    </r>
  </si>
  <si>
    <r>
      <t>泰安市泰山日出酒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</si>
  <si>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</t>
    </r>
  </si>
  <si>
    <t>贵迈</t>
  </si>
  <si>
    <r>
      <t>章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珍</t>
    </r>
  </si>
  <si>
    <r>
      <t>葡萄酒; 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黄酒; 白酒;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</si>
  <si>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M.LEMENTS</t>
  </si>
  <si>
    <r>
      <t>原素未来（北京）文化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</si>
  <si>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清酒（日本米酒）; 白酒; 青稞酒;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果酒; 米酒</t>
    </r>
  </si>
  <si>
    <t>蒙小聚</t>
  </si>
  <si>
    <r>
      <t>谢</t>
    </r>
    <r>
      <rPr>
        <sz val="11"/>
        <color theme="1"/>
        <rFont val="ＭＳ Ｐゴシック"/>
        <family val="3"/>
        <charset val="128"/>
        <scheme val="minor"/>
      </rPr>
      <t>尚</t>
    </r>
    <r>
      <rPr>
        <sz val="11"/>
        <color theme="1"/>
        <rFont val="ＭＳ Ｐゴシック"/>
        <family val="3"/>
        <charset val="134"/>
        <scheme val="minor"/>
      </rPr>
      <t>远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</si>
  <si>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黄酒; 白干酒（中国白酒）; 食用酒精; 米酒;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葡萄酒</t>
    </r>
  </si>
  <si>
    <t>岭梧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</si>
  <si>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市国恒酒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</si>
  <si>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果酒（含酒精）;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米酒; 餐后酒（利口酒和烈酒）;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露酒;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</si>
  <si>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钜骐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</si>
  <si>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茅</t>
    </r>
    <r>
      <rPr>
        <sz val="11"/>
        <color theme="1"/>
        <rFont val="ＭＳ Ｐゴシック"/>
        <family val="3"/>
        <charset val="134"/>
        <scheme val="minor"/>
      </rPr>
      <t>琼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</si>
  <si>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餐后酒（利口酒和烈酒）; 露酒; 米酒; 白酒</t>
    </r>
  </si>
  <si>
    <t>友林玉熊霸</t>
  </si>
  <si>
    <r>
      <t>岫岩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族自治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玉酒酒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</si>
  <si>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威士忌; 高粱酒;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</si>
  <si>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露酒; 白酒; 果酒; 薄荷酒</t>
    </r>
  </si>
  <si>
    <t>丹食徒味</t>
  </si>
  <si>
    <r>
      <t>南京征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睿博</t>
    </r>
    <r>
      <rPr>
        <sz val="11"/>
        <color theme="1"/>
        <rFont val="ＭＳ Ｐゴシック"/>
        <family val="3"/>
        <charset val="134"/>
        <scheme val="minor"/>
      </rPr>
      <t>软</t>
    </r>
    <r>
      <rPr>
        <sz val="11"/>
        <color theme="1"/>
        <rFont val="ＭＳ Ｐゴシック"/>
        <family val="3"/>
        <charset val="128"/>
        <scheme val="minor"/>
      </rPr>
      <t>件科技有限公司</t>
    </r>
  </si>
  <si>
    <r>
      <t>葡萄酒; 伏特加酒; 黄酒; 米酒; 白酒;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</si>
  <si>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市井十洲里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</si>
  <si>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威士忌; 米酒;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</si>
  <si>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禧悦鹿</t>
    </r>
    <r>
      <rPr>
        <sz val="11"/>
        <color theme="1"/>
        <rFont val="ＭＳ Ｐゴシック"/>
        <family val="3"/>
        <charset val="134"/>
        <scheme val="minor"/>
      </rPr>
      <t>鸣</t>
    </r>
    <r>
      <rPr>
        <sz val="11"/>
        <color theme="1"/>
        <rFont val="ＭＳ Ｐゴシック"/>
        <family val="3"/>
        <charset val="128"/>
        <scheme val="minor"/>
      </rPr>
      <t>魂</t>
    </r>
  </si>
  <si>
    <r>
      <t>徐广</t>
    </r>
    <r>
      <rPr>
        <sz val="11"/>
        <color theme="1"/>
        <rFont val="ＭＳ Ｐゴシック"/>
        <family val="3"/>
        <charset val="134"/>
        <scheme val="minor"/>
      </rPr>
      <t>谢</t>
    </r>
  </si>
  <si>
    <r>
      <t xml:space="preserve">葡萄酒; 开胃酒; 蜂蜜酒; 白酒; 汽酒; 薄荷酒;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</t>
    </r>
  </si>
  <si>
    <t>宋酩珠</t>
  </si>
  <si>
    <r>
      <t>钟</t>
    </r>
    <r>
      <rPr>
        <sz val="11"/>
        <color theme="1"/>
        <rFont val="ＭＳ Ｐゴシック"/>
        <family val="3"/>
        <charset val="128"/>
        <scheme val="minor"/>
      </rPr>
      <t>超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</si>
  <si>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果酒（含酒精）; 烈酒;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开胃酒</t>
    </r>
  </si>
  <si>
    <r>
      <t>于</t>
    </r>
    <r>
      <rPr>
        <sz val="11"/>
        <color theme="1"/>
        <rFont val="ＭＳ Ｐゴシック"/>
        <family val="3"/>
        <charset val="134"/>
        <scheme val="minor"/>
      </rPr>
      <t>兹</t>
    </r>
  </si>
  <si>
    <r>
      <t>天地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</si>
  <si>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黄酒;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露酒</t>
    </r>
  </si>
  <si>
    <t>万年交</t>
  </si>
  <si>
    <r>
      <t>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</si>
  <si>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羌仙山</t>
  </si>
  <si>
    <t>四川羌六代福寿堂科技有限公司</t>
  </si>
  <si>
    <r>
      <t>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米酒</t>
    </r>
  </si>
  <si>
    <t>吾篁来信</t>
  </si>
  <si>
    <r>
      <t>杭州正墅茶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</si>
  <si>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佐餐酒; 威士忌; 白酒; 米酒</t>
    </r>
  </si>
  <si>
    <t>欣柏康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</si>
  <si>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松柏健康科技有限公司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</si>
  <si>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</t>
    </r>
  </si>
  <si>
    <r>
      <t>乔</t>
    </r>
    <r>
      <rPr>
        <sz val="11"/>
        <color theme="1"/>
        <rFont val="ＭＳ Ｐゴシック"/>
        <family val="3"/>
        <charset val="128"/>
        <scheme val="minor"/>
      </rPr>
      <t>元</t>
    </r>
  </si>
  <si>
    <r>
      <t>湖北</t>
    </r>
    <r>
      <rPr>
        <sz val="11"/>
        <color theme="1"/>
        <rFont val="ＭＳ Ｐゴシック"/>
        <family val="3"/>
        <charset val="134"/>
        <scheme val="minor"/>
      </rPr>
      <t>乔</t>
    </r>
    <r>
      <rPr>
        <sz val="11"/>
        <color theme="1"/>
        <rFont val="ＭＳ Ｐゴシック"/>
        <family val="3"/>
        <charset val="128"/>
        <scheme val="minor"/>
      </rPr>
      <t>元科技有限公司</t>
    </r>
  </si>
  <si>
    <r>
      <t xml:space="preserve">开胃酒; 苦味酒;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</si>
  <si>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州辣袋科技有限公司</t>
    </r>
  </si>
  <si>
    <r>
      <t xml:space="preserve">果酒; 开胃酒; 黄酒; 白酒;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</si>
  <si>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路邑伯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特</t>
    </r>
  </si>
  <si>
    <r>
      <t>路邑（云南）酒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</si>
  <si>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苹果酒; 果酒（含酒精）; 苦味酒; 加烈葡萄酒;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葡萄酒</t>
    </r>
  </si>
  <si>
    <t>儒立方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</si>
  <si>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威士忌; 米酒;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清酒（日本米酒）; 开胃酒; 白酒; 果酒（含酒精）</t>
    </r>
  </si>
  <si>
    <r>
      <t>哲</t>
    </r>
    <r>
      <rPr>
        <sz val="11"/>
        <color theme="1"/>
        <rFont val="ＭＳ Ｐゴシック"/>
        <family val="3"/>
        <charset val="134"/>
        <scheme val="minor"/>
      </rPr>
      <t>颐</t>
    </r>
    <r>
      <rPr>
        <sz val="11"/>
        <color theme="1"/>
        <rFont val="ＭＳ Ｐゴシック"/>
        <family val="3"/>
        <charset val="128"/>
        <scheme val="minor"/>
      </rPr>
      <t>达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</si>
  <si>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伏特加酒; 果酒; 葡萄酒</t>
    </r>
  </si>
  <si>
    <r>
      <t>优</t>
    </r>
    <r>
      <rPr>
        <sz val="11"/>
        <color theme="1"/>
        <rFont val="ＭＳ Ｐゴシック"/>
        <family val="3"/>
        <charset val="128"/>
        <scheme val="minor"/>
      </rPr>
      <t>美地壹</t>
    </r>
    <r>
      <rPr>
        <sz val="11"/>
        <color theme="1"/>
        <rFont val="ＭＳ Ｐゴシック"/>
        <family val="3"/>
        <charset val="134"/>
        <scheme val="minor"/>
      </rPr>
      <t>鹭</t>
    </r>
    <r>
      <rPr>
        <sz val="11"/>
        <color theme="1"/>
        <rFont val="ＭＳ Ｐゴシック"/>
        <family val="3"/>
        <charset val="128"/>
        <scheme val="minor"/>
      </rPr>
      <t>酒庄</t>
    </r>
  </si>
  <si>
    <r>
      <t xml:space="preserve">威士忌;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</t>
    </r>
  </si>
  <si>
    <t>清雅韵 知己</t>
  </si>
  <si>
    <r>
      <t xml:space="preserve">清酒;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烈酒; 利口酒;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</si>
  <si>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墨佳人</t>
  </si>
  <si>
    <r>
      <t>吴殿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</si>
  <si>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果酒（含酒精）; 清酒（日本米酒）;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米酒; 白酒; 含酒精的气泡水;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汽酒</t>
    </r>
  </si>
  <si>
    <t>EXTRA HAPPY</t>
  </si>
  <si>
    <r>
      <t>柏杜斯（广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）品牌运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</si>
  <si>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威士忌; 白酒;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开胃酒</t>
    </r>
  </si>
  <si>
    <t>丙乾善</t>
  </si>
  <si>
    <r>
      <t>葡萄酒;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</si>
  <si>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t>咟喜</t>
  </si>
  <si>
    <r>
      <t>张</t>
    </r>
    <r>
      <rPr>
        <sz val="11"/>
        <color theme="1"/>
        <rFont val="ＭＳ Ｐゴシック"/>
        <family val="3"/>
        <charset val="128"/>
        <scheme val="minor"/>
      </rPr>
      <t>黎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</si>
  <si>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食用酒精</t>
    </r>
  </si>
  <si>
    <r>
      <t>松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庭</t>
    </r>
  </si>
  <si>
    <r>
      <t>影世届(北京)文化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</si>
  <si>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汽酒; 白酒; 葡萄酒; 伏特加酒; 清酒（日本米酒）; 黄酒; 果酒（含酒精）;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</si>
  <si>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熊猫只只</t>
  </si>
  <si>
    <r>
      <t>苏</t>
    </r>
    <r>
      <rPr>
        <sz val="11"/>
        <color theme="1"/>
        <rFont val="ＭＳ Ｐゴシック"/>
        <family val="3"/>
        <charset val="128"/>
        <scheme val="minor"/>
      </rPr>
      <t>介岭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</si>
  <si>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黄酒; 白酒;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米酒; 果酒; 果酒（含酒精）</t>
    </r>
  </si>
  <si>
    <r>
      <t>赣</t>
    </r>
    <r>
      <rPr>
        <sz val="11"/>
        <color theme="1"/>
        <rFont val="ＭＳ Ｐゴシック"/>
        <family val="3"/>
        <charset val="128"/>
        <scheme val="minor"/>
      </rPr>
      <t>宏</t>
    </r>
  </si>
  <si>
    <r>
      <t>白酒; 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食用酒精</t>
    </r>
  </si>
  <si>
    <r>
      <t>迎春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</si>
  <si>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>刘春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</si>
  <si>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米酒; 开胃酒;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</si>
  <si>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于祖山</t>
  </si>
  <si>
    <r>
      <t>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露酒;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高粱酒</t>
    </r>
  </si>
  <si>
    <t>初夏秋冬</t>
  </si>
  <si>
    <t>武海洋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</si>
  <si>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威士忌;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米酒; 蒸煮提取物（利口酒和烈酒）</t>
    </r>
  </si>
  <si>
    <t>山晋人文</t>
  </si>
  <si>
    <r>
      <t>山西迎杏</t>
    </r>
    <r>
      <rPr>
        <sz val="11"/>
        <color theme="1"/>
        <rFont val="ＭＳ Ｐゴシック"/>
        <family val="3"/>
        <charset val="134"/>
        <scheme val="minor"/>
      </rPr>
      <t>纷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</si>
  <si>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利口酒; 果酒（含酒精）; 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</si>
  <si>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奥健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</si>
  <si>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郭月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</si>
  <si>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草本型利口酒;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黄酒</t>
    </r>
  </si>
  <si>
    <r>
      <t>南国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夫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承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</si>
  <si>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威士忌; 薄荷酒; 白酒;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</si>
  <si>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推山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</si>
  <si>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商控（青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）控股有限公司</t>
    </r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</si>
  <si>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葡萄酒; 米酒; 黄酒</t>
    </r>
  </si>
  <si>
    <r>
      <t>存</t>
    </r>
    <r>
      <rPr>
        <sz val="11"/>
        <color theme="1"/>
        <rFont val="ＭＳ Ｐゴシック"/>
        <family val="3"/>
        <charset val="134"/>
        <scheme val="minor"/>
      </rPr>
      <t>颂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</si>
  <si>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汽酒;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烈酒; 白酒; 果酒（含酒精）; 米酒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</si>
  <si>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多沐国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</si>
  <si>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黄酒; 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白酒; 开胃酒;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</si>
  <si>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堡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</si>
  <si>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清酒（日本米酒）</t>
    </r>
  </si>
  <si>
    <t>十全春来</t>
  </si>
  <si>
    <r>
      <t>海南</t>
    </r>
    <r>
      <rPr>
        <sz val="11"/>
        <color theme="1"/>
        <rFont val="ＭＳ Ｐゴシック"/>
        <family val="3"/>
        <charset val="134"/>
        <scheme val="minor"/>
      </rPr>
      <t>斋</t>
    </r>
    <r>
      <rPr>
        <sz val="11"/>
        <color theme="1"/>
        <rFont val="ＭＳ Ｐゴシック"/>
        <family val="3"/>
        <charset val="128"/>
        <scheme val="minor"/>
      </rPr>
      <t>有福管理有限公司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</si>
  <si>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白葡萄酒;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白酒; 青梅酒</t>
    </r>
  </si>
  <si>
    <r>
      <t>德聚</t>
    </r>
    <r>
      <rPr>
        <sz val="11"/>
        <color theme="1"/>
        <rFont val="ＭＳ Ｐゴシック"/>
        <family val="3"/>
        <charset val="134"/>
        <scheme val="minor"/>
      </rPr>
      <t>财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</si>
  <si>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食用酒精; 葡萄酒; 露酒; 白酒; 威士忌;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</si>
  <si>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美林天</t>
    </r>
    <r>
      <rPr>
        <sz val="11"/>
        <color theme="1"/>
        <rFont val="ＭＳ Ｐゴシック"/>
        <family val="3"/>
        <charset val="134"/>
        <scheme val="minor"/>
      </rPr>
      <t>鹅</t>
    </r>
  </si>
  <si>
    <r>
      <t>黄酒; 白酒; 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米酒;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</si>
  <si>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云上牧野</t>
  </si>
  <si>
    <r>
      <t>杭州</t>
    </r>
    <r>
      <rPr>
        <sz val="11"/>
        <color theme="1"/>
        <rFont val="ＭＳ Ｐゴシック"/>
        <family val="3"/>
        <charset val="134"/>
        <scheme val="minor"/>
      </rPr>
      <t>临</t>
    </r>
    <r>
      <rPr>
        <sz val="11"/>
        <color theme="1"/>
        <rFont val="ＭＳ Ｐゴシック"/>
        <family val="3"/>
        <charset val="128"/>
        <scheme val="minor"/>
      </rPr>
      <t>安牛羊舍民宿</t>
    </r>
  </si>
  <si>
    <r>
      <t>黄酒; 米酒; 威士忌; 白酒; 清酒; 青梅酒; 果酒; 葡萄酒;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</t>
    </r>
  </si>
  <si>
    <r>
      <t>尖</t>
    </r>
    <r>
      <rPr>
        <sz val="11"/>
        <color theme="1"/>
        <rFont val="ＭＳ Ｐゴシック"/>
        <family val="3"/>
        <charset val="134"/>
        <scheme val="minor"/>
      </rPr>
      <t>坝</t>
    </r>
  </si>
  <si>
    <r>
      <t>天津御福隆酒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</si>
  <si>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米酒;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</si>
  <si>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膳余堂神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健</t>
    </r>
  </si>
  <si>
    <t>米健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</si>
  <si>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清酒; 白酒</t>
    </r>
  </si>
  <si>
    <t>于滋</t>
  </si>
  <si>
    <r>
      <t>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露酒;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</t>
    </r>
  </si>
  <si>
    <r>
      <t>桂韵天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</si>
  <si>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广西</t>
    </r>
    <r>
      <rPr>
        <sz val="11"/>
        <color theme="1"/>
        <rFont val="ＭＳ Ｐゴシック"/>
        <family val="3"/>
        <charset val="134"/>
        <scheme val="minor"/>
      </rPr>
      <t>轻</t>
    </r>
    <r>
      <rPr>
        <sz val="11"/>
        <color theme="1"/>
        <rFont val="ＭＳ Ｐゴシック"/>
        <family val="3"/>
        <charset val="128"/>
        <scheme val="minor"/>
      </rPr>
      <t>工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科学技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研究院有限公司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</si>
  <si>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果酒（含酒精）; 蒸煮提取物（利口酒和烈酒）;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</si>
  <si>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彪</t>
    </r>
    <r>
      <rPr>
        <sz val="11"/>
        <color theme="1"/>
        <rFont val="ＭＳ Ｐゴシック"/>
        <family val="3"/>
        <charset val="134"/>
        <scheme val="minor"/>
      </rPr>
      <t>赣</t>
    </r>
    <r>
      <rPr>
        <sz val="11"/>
        <color theme="1"/>
        <rFont val="ＭＳ Ｐゴシック"/>
        <family val="3"/>
        <charset val="128"/>
        <scheme val="minor"/>
      </rPr>
      <t>虎</t>
    </r>
  </si>
  <si>
    <r>
      <t>江西彪虎健康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</si>
  <si>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米酒; 黄酒; 青稞酒; 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</si>
  <si>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费</t>
    </r>
    <r>
      <rPr>
        <sz val="11"/>
        <color theme="1"/>
        <rFont val="ＭＳ Ｐゴシック"/>
        <family val="3"/>
        <charset val="128"/>
        <scheme val="minor"/>
      </rPr>
      <t>而</t>
    </r>
    <r>
      <rPr>
        <sz val="11"/>
        <color theme="1"/>
        <rFont val="ＭＳ Ｐゴシック"/>
        <family val="3"/>
        <charset val="134"/>
        <scheme val="minor"/>
      </rPr>
      <t>隐</t>
    </r>
  </si>
  <si>
    <r>
      <t>费</t>
    </r>
    <r>
      <rPr>
        <sz val="11"/>
        <color theme="1"/>
        <rFont val="ＭＳ Ｐゴシック"/>
        <family val="3"/>
        <charset val="128"/>
        <scheme val="minor"/>
      </rPr>
      <t>而</t>
    </r>
    <r>
      <rPr>
        <sz val="11"/>
        <color theme="1"/>
        <rFont val="ＭＳ Ｐゴシック"/>
        <family val="3"/>
        <charset val="134"/>
        <scheme val="minor"/>
      </rPr>
      <t>隐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</si>
  <si>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黄酒; 食用酒精;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清酒; 开胃酒</t>
    </r>
  </si>
  <si>
    <t>遵荷</t>
  </si>
  <si>
    <t>杨纯</t>
  </si>
  <si>
    <r>
      <t xml:space="preserve">清酒（日本米酒）; 白酒; 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烈酒; 果酒（含酒精）; 葡萄酒</t>
    </r>
  </si>
  <si>
    <r>
      <t>乾</t>
    </r>
    <r>
      <rPr>
        <sz val="11"/>
        <color theme="1"/>
        <rFont val="ＭＳ Ｐゴシック"/>
        <family val="3"/>
        <charset val="134"/>
        <scheme val="minor"/>
      </rPr>
      <t>馐</t>
    </r>
  </si>
  <si>
    <r>
      <t>大名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良知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</si>
  <si>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梨酒; 米酒; 果酒（含酒精）;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</si>
  <si>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君典印象</t>
  </si>
  <si>
    <r>
      <t>陈</t>
    </r>
    <r>
      <rPr>
        <sz val="11"/>
        <color theme="1"/>
        <rFont val="ＭＳ Ｐゴシック"/>
        <family val="3"/>
        <charset val="128"/>
        <scheme val="minor"/>
      </rPr>
      <t>静</t>
    </r>
    <r>
      <rPr>
        <sz val="11"/>
        <color theme="1"/>
        <rFont val="ＭＳ Ｐゴシック"/>
        <family val="3"/>
        <charset val="134"/>
        <scheme val="minor"/>
      </rPr>
      <t>亚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</si>
  <si>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</si>
  <si>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君典老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</si>
  <si>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</si>
  <si>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莫待</t>
  </si>
  <si>
    <r>
      <t>西安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</si>
  <si>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清酒; 日本梅子酒; 米酒; 白酒; 日式甜米酒;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</si>
  <si>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掌天下</t>
    </r>
  </si>
  <si>
    <r>
      <t>王素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</si>
  <si>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白酒; 露酒;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葡萄酒; 烈酒</t>
    </r>
  </si>
  <si>
    <t>爵士兄弟</t>
  </si>
  <si>
    <r>
      <t>白酒; 黄酒; 高粱酒;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</si>
  <si>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委</t>
    </r>
    <r>
      <rPr>
        <sz val="11"/>
        <color theme="1"/>
        <rFont val="ＭＳ Ｐゴシック"/>
        <family val="3"/>
        <charset val="134"/>
        <scheme val="minor"/>
      </rPr>
      <t>鲜赞</t>
    </r>
  </si>
  <si>
    <t>徐委干</t>
  </si>
  <si>
    <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高粱酒;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</si>
  <si>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陶 酒</t>
    </r>
  </si>
  <si>
    <t>孙红亚</t>
  </si>
  <si>
    <r>
      <t>黄酒;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果酒</t>
    </r>
  </si>
  <si>
    <r>
      <t>四川邛</t>
    </r>
    <r>
      <rPr>
        <sz val="11"/>
        <color theme="1"/>
        <rFont val="ＭＳ Ｐゴシック"/>
        <family val="3"/>
        <charset val="134"/>
        <scheme val="minor"/>
      </rPr>
      <t>崃</t>
    </r>
    <r>
      <rPr>
        <sz val="11"/>
        <color theme="1"/>
        <rFont val="ＭＳ Ｐゴシック"/>
        <family val="3"/>
        <charset val="128"/>
        <scheme val="minor"/>
      </rPr>
      <t>金六福崖谷生</t>
    </r>
    <r>
      <rPr>
        <sz val="11"/>
        <color theme="1"/>
        <rFont val="ＭＳ Ｐゴシック"/>
        <family val="3"/>
        <charset val="134"/>
        <scheme val="minor"/>
      </rPr>
      <t>态酿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</si>
  <si>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青稞酒;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白酒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</si>
  <si>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邻</t>
    </r>
  </si>
  <si>
    <r>
      <t>卢</t>
    </r>
    <r>
      <rPr>
        <sz val="11"/>
        <color theme="1"/>
        <rFont val="ＭＳ Ｐゴシック"/>
        <family val="3"/>
        <charset val="128"/>
        <scheme val="minor"/>
      </rPr>
      <t>荣斌</t>
    </r>
  </si>
  <si>
    <r>
      <t>米酒; 蒸煮提取物（利口酒和烈酒）; 白酒; 青稞酒;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果酒（含酒精）</t>
    </r>
  </si>
  <si>
    <t>林江河</t>
  </si>
  <si>
    <r>
      <t>郭</t>
    </r>
    <r>
      <rPr>
        <sz val="11"/>
        <color theme="1"/>
        <rFont val="ＭＳ Ｐゴシック"/>
        <family val="3"/>
        <charset val="134"/>
        <scheme val="minor"/>
      </rPr>
      <t>颂扬</t>
    </r>
  </si>
  <si>
    <r>
      <t>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果酒（含酒精）</t>
    </r>
  </si>
  <si>
    <t>般阳古酒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</si>
  <si>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州醉仲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</si>
  <si>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白酒; 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黄酒; 米酒</t>
    </r>
  </si>
  <si>
    <r>
      <t>鹏聪</t>
    </r>
    <r>
      <rPr>
        <sz val="11"/>
        <color theme="1"/>
        <rFont val="ＭＳ Ｐゴシック"/>
        <family val="3"/>
        <charset val="128"/>
        <scheme val="minor"/>
      </rPr>
      <t>堂</t>
    </r>
  </si>
  <si>
    <r>
      <t>保定伸</t>
    </r>
    <r>
      <rPr>
        <sz val="11"/>
        <color theme="1"/>
        <rFont val="ＭＳ Ｐゴシック"/>
        <family val="3"/>
        <charset val="134"/>
        <scheme val="minor"/>
      </rPr>
      <t>鹏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</si>
  <si>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蒸煮提取物（利口酒和烈酒）; 利口酒; 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果酒（含酒精）;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</si>
  <si>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方寸大</t>
    </r>
    <r>
      <rPr>
        <sz val="11"/>
        <color theme="1"/>
        <rFont val="ＭＳ Ｐゴシック"/>
        <family val="3"/>
        <charset val="134"/>
        <scheme val="minor"/>
      </rPr>
      <t>观</t>
    </r>
  </si>
  <si>
    <r>
      <t>北京恒宇</t>
    </r>
    <r>
      <rPr>
        <sz val="11"/>
        <color theme="1"/>
        <rFont val="ＭＳ Ｐゴシック"/>
        <family val="3"/>
        <charset val="134"/>
        <scheme val="minor"/>
      </rPr>
      <t>畅</t>
    </r>
    <r>
      <rPr>
        <sz val="11"/>
        <color theme="1"/>
        <rFont val="ＭＳ Ｐゴシック"/>
        <family val="3"/>
        <charset val="128"/>
        <scheme val="minor"/>
      </rPr>
      <t>通汽</t>
    </r>
    <r>
      <rPr>
        <sz val="11"/>
        <color theme="1"/>
        <rFont val="ＭＳ Ｐゴシック"/>
        <family val="3"/>
        <charset val="134"/>
        <scheme val="minor"/>
      </rPr>
      <t>车贸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</si>
  <si>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利口酒; 葡萄酒; 威士忌; 果酒（含酒精）; 白酒; 伏特加酒;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</si>
  <si>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FORTE VITALITA</t>
  </si>
  <si>
    <t>威奥骨力有限公司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</si>
  <si>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果酒（含酒精）; 开胃酒; 黄酒; 葡萄酒</t>
    </r>
  </si>
  <si>
    <t>修普来</t>
  </si>
  <si>
    <r>
      <t>和利（广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）中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材种植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</si>
  <si>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食用酒精; 白葡萄酒; 果酒（含酒精）; 白酒; 烈酒;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</si>
  <si>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沃皮米酒</t>
  </si>
  <si>
    <r>
      <t>广西余</t>
    </r>
    <r>
      <rPr>
        <sz val="11"/>
        <color theme="1"/>
        <rFont val="ＭＳ Ｐゴシック"/>
        <family val="3"/>
        <charset val="134"/>
        <scheme val="minor"/>
      </rPr>
      <t>馆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</si>
  <si>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米酒</t>
  </si>
  <si>
    <r>
      <t>三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公</t>
    </r>
  </si>
  <si>
    <r>
      <t>韩</t>
    </r>
    <r>
      <rPr>
        <sz val="11"/>
        <color theme="1"/>
        <rFont val="ＭＳ Ｐゴシック"/>
        <family val="3"/>
        <charset val="128"/>
        <scheme val="minor"/>
      </rPr>
      <t>梅</t>
    </r>
  </si>
  <si>
    <r>
      <t>食用酒精; 白酒; 葡萄酒; 米酒;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果酒（含酒精）; 汽酒</t>
    </r>
  </si>
  <si>
    <r>
      <t>将</t>
    </r>
    <r>
      <rPr>
        <sz val="11"/>
        <color theme="1"/>
        <rFont val="ＭＳ Ｐゴシック"/>
        <family val="3"/>
        <charset val="134"/>
        <scheme val="minor"/>
      </rPr>
      <t>赢门</t>
    </r>
  </si>
  <si>
    <t>王高青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</si>
  <si>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白酒; 黄酒;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</si>
  <si>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BOKYLIN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</si>
  <si>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果酒; 葡萄酒; 白葡萄酒; 高粱酒;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</si>
  <si>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茶鹿臻品</t>
  </si>
  <si>
    <r>
      <t>宜昌清茗本心茶叶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</si>
  <si>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松叶酒; 蒸煮提取物（利口酒和烈酒）</t>
    </r>
  </si>
  <si>
    <t>瑞禾云科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</si>
  <si>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州瑞禾云科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</si>
  <si>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开胃酒;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</si>
  <si>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天堃酒坊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</si>
  <si>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井台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</si>
  <si>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</t>
    </r>
  </si>
  <si>
    <r>
      <t>津</t>
    </r>
    <r>
      <rPr>
        <sz val="11"/>
        <color theme="1"/>
        <rFont val="ＭＳ Ｐゴシック"/>
        <family val="3"/>
        <charset val="134"/>
        <scheme val="minor"/>
      </rPr>
      <t>爷</t>
    </r>
    <r>
      <rPr>
        <sz val="11"/>
        <color theme="1"/>
        <rFont val="ＭＳ Ｐゴシック"/>
        <family val="3"/>
        <charset val="128"/>
        <scheme val="minor"/>
      </rPr>
      <t>酒坊</t>
    </r>
  </si>
  <si>
    <r>
      <t xml:space="preserve">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米酒; 白酒; 黄酒; 果酒; 利口酒;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</si>
  <si>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凝</t>
    </r>
    <r>
      <rPr>
        <sz val="11"/>
        <color theme="1"/>
        <rFont val="ＭＳ Ｐゴシック"/>
        <family val="3"/>
        <charset val="134"/>
        <scheme val="minor"/>
      </rPr>
      <t>视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</si>
  <si>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米酒; 露酒; 黄酒; 烈酒; 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</si>
  <si>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艾</t>
    </r>
    <r>
      <rPr>
        <sz val="11"/>
        <color theme="1"/>
        <rFont val="ＭＳ Ｐゴシック"/>
        <family val="3"/>
        <charset val="129"/>
        <scheme val="minor"/>
      </rPr>
      <t>蔻</t>
    </r>
    <r>
      <rPr>
        <sz val="11"/>
        <color theme="1"/>
        <rFont val="ＭＳ Ｐゴシック"/>
        <family val="3"/>
        <charset val="128"/>
        <scheme val="minor"/>
      </rPr>
      <t>季娃</t>
    </r>
  </si>
  <si>
    <r>
      <t>深圳市所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适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</si>
  <si>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伏特加酒;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威士忌;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果酒（含酒精）; 葡萄酒; 米酒</t>
    </r>
  </si>
  <si>
    <r>
      <t>幸运</t>
    </r>
    <r>
      <rPr>
        <sz val="11"/>
        <color theme="1"/>
        <rFont val="ＭＳ Ｐゴシック"/>
        <family val="3"/>
        <charset val="134"/>
        <scheme val="minor"/>
      </rPr>
      <t>鲸</t>
    </r>
  </si>
  <si>
    <t>高云磊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</si>
  <si>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伏特加酒;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白酒; 米酒; 利口酒</t>
    </r>
  </si>
  <si>
    <r>
      <t>云禾供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（昆明）有限公司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</si>
  <si>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佐餐酒; 黄酒</t>
    </r>
  </si>
  <si>
    <t>有心水酉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</si>
  <si>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州合美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村开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</si>
  <si>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果酒; 葡萄酒; 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</si>
  <si>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亲亲</t>
    </r>
    <r>
      <rPr>
        <sz val="11"/>
        <color theme="1"/>
        <rFont val="ＭＳ Ｐゴシック"/>
        <family val="3"/>
        <charset val="128"/>
        <scheme val="minor"/>
      </rPr>
      <t>养</t>
    </r>
  </si>
  <si>
    <r>
      <t>山西振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五和养生酒有限公司</t>
    </r>
  </si>
  <si>
    <r>
      <t xml:space="preserve">果酒（含酒精）; 清酒（日本米酒）; 葡萄酒; 露酒;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</si>
  <si>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t>瑶塔</t>
  </si>
  <si>
    <r>
      <t>黄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源</t>
    </r>
  </si>
  <si>
    <r>
      <t xml:space="preserve">露酒;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烈酒; 黄酒; 甜酒; 果酒;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</si>
  <si>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小</t>
    </r>
    <r>
      <rPr>
        <sz val="11"/>
        <color theme="1"/>
        <rFont val="ＭＳ Ｐゴシック"/>
        <family val="3"/>
        <charset val="134"/>
        <scheme val="minor"/>
      </rPr>
      <t>满蓝赛</t>
    </r>
  </si>
  <si>
    <r>
      <t>宁夏</t>
    </r>
    <r>
      <rPr>
        <sz val="11"/>
        <color theme="1"/>
        <rFont val="ＭＳ Ｐゴシック"/>
        <family val="3"/>
        <charset val="134"/>
        <scheme val="minor"/>
      </rPr>
      <t>蓝赛</t>
    </r>
    <r>
      <rPr>
        <sz val="11"/>
        <color theme="1"/>
        <rFont val="ＭＳ Ｐゴシック"/>
        <family val="3"/>
        <charset val="128"/>
        <scheme val="minor"/>
      </rPr>
      <t>葡萄酒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</si>
  <si>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蜂蜜酒;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</si>
  <si>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君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年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</si>
  <si>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食用酒精; 果酒（含酒精）; 黄酒</t>
    </r>
  </si>
  <si>
    <t>雨休</t>
  </si>
  <si>
    <r>
      <t>天津德浩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</si>
  <si>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清酒（日本米酒）;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汽酒;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</si>
  <si>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品香溪</t>
  </si>
  <si>
    <r>
      <t>广州香溪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</si>
  <si>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白酒;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</si>
  <si>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r>
      <t>威士</t>
    </r>
    <r>
      <rPr>
        <sz val="11"/>
        <color theme="1"/>
        <rFont val="ＭＳ Ｐゴシック"/>
        <family val="3"/>
        <charset val="134"/>
        <scheme val="minor"/>
      </rPr>
      <t>纳</t>
    </r>
  </si>
  <si>
    <t>蒋森霞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</si>
  <si>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烈酒; 黄酒; 白酒; 清酒（日本米酒）; 威士忌; 开胃酒</t>
    </r>
  </si>
  <si>
    <r>
      <t>沁心</t>
    </r>
    <r>
      <rPr>
        <sz val="11"/>
        <color theme="1"/>
        <rFont val="ＭＳ Ｐゴシック"/>
        <family val="3"/>
        <charset val="134"/>
        <scheme val="minor"/>
      </rPr>
      <t>涧</t>
    </r>
  </si>
  <si>
    <r>
      <t>乌鲁</t>
    </r>
    <r>
      <rPr>
        <sz val="11"/>
        <color theme="1"/>
        <rFont val="ＭＳ Ｐゴシック"/>
        <family val="3"/>
        <charset val="128"/>
        <scheme val="minor"/>
      </rPr>
      <t>木</t>
    </r>
    <r>
      <rPr>
        <sz val="11"/>
        <color theme="1"/>
        <rFont val="ＭＳ Ｐゴシック"/>
        <family val="3"/>
        <charset val="134"/>
        <scheme val="minor"/>
      </rPr>
      <t>齐</t>
    </r>
    <r>
      <rPr>
        <sz val="11"/>
        <color theme="1"/>
        <rFont val="ＭＳ Ｐゴシック"/>
        <family val="3"/>
        <charset val="128"/>
        <scheme val="minor"/>
      </rPr>
      <t>味疆来食品科技有限公司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</si>
  <si>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</si>
  <si>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礼遇</t>
    </r>
    <r>
      <rPr>
        <sz val="11"/>
        <color theme="1"/>
        <rFont val="ＭＳ Ｐゴシック"/>
        <family val="3"/>
        <charset val="134"/>
        <scheme val="minor"/>
      </rPr>
      <t>颐</t>
    </r>
    <r>
      <rPr>
        <sz val="11"/>
        <color theme="1"/>
        <rFont val="ＭＳ Ｐゴシック"/>
        <family val="3"/>
        <charset val="128"/>
        <scheme val="minor"/>
      </rPr>
      <t>和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</si>
  <si>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颐</t>
    </r>
    <r>
      <rPr>
        <sz val="11"/>
        <color theme="1"/>
        <rFont val="ＭＳ Ｐゴシック"/>
        <family val="3"/>
        <charset val="128"/>
        <scheme val="minor"/>
      </rPr>
      <t>和园品牌管理有限公司</t>
    </r>
  </si>
  <si>
    <r>
      <t>开胃酒;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白干酒（中国白酒）; 葡萄酒; 米酒; 白酒;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</t>
    </r>
  </si>
  <si>
    <r>
      <t>徐炳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</si>
  <si>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果酒;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</t>
    </r>
  </si>
  <si>
    <r>
      <t>赣</t>
    </r>
    <r>
      <rPr>
        <sz val="11"/>
        <color theme="1"/>
        <rFont val="ＭＳ Ｐゴシック"/>
        <family val="3"/>
        <charset val="128"/>
        <scheme val="minor"/>
      </rPr>
      <t>小潮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</si>
  <si>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付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</si>
  <si>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白酒; 葡萄酒; 黄酒;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威士忌</t>
    </r>
  </si>
  <si>
    <t>MOON LOVE SONG</t>
  </si>
  <si>
    <t>福星山</t>
  </si>
  <si>
    <r>
      <t>何妮</t>
    </r>
    <r>
      <rPr>
        <sz val="11"/>
        <color theme="1"/>
        <rFont val="ＭＳ Ｐゴシック"/>
        <family val="3"/>
        <charset val="134"/>
        <scheme val="minor"/>
      </rPr>
      <t>鳆</t>
    </r>
  </si>
  <si>
    <r>
      <t>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利口酒; 白酒</t>
    </r>
  </si>
  <si>
    <r>
      <t>南阳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宛堂艾草制品有限公司</t>
    </r>
  </si>
  <si>
    <r>
      <t xml:space="preserve">威士忌; 开胃酒; 果酒（含酒精）; 苹果酒; 黄酒;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</si>
  <si>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满边</t>
    </r>
    <r>
      <rPr>
        <sz val="11"/>
        <color theme="1"/>
        <rFont val="ＭＳ Ｐゴシック"/>
        <family val="3"/>
        <charset val="128"/>
        <scheme val="minor"/>
      </rPr>
      <t>花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</si>
  <si>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永邦</t>
    </r>
  </si>
  <si>
    <r>
      <t>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高粱酒;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蜂蜜酒; 烈酒; 清酒</t>
    </r>
  </si>
  <si>
    <t>匠伶</t>
  </si>
  <si>
    <r>
      <t xml:space="preserve">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米酒; 威士忌; 烈酒;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</si>
  <si>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水古情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</si>
  <si>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（</t>
    </r>
    <r>
      <rPr>
        <sz val="11"/>
        <color theme="1"/>
        <rFont val="ＭＳ Ｐゴシック"/>
        <family val="3"/>
        <charset val="134"/>
        <scheme val="minor"/>
      </rPr>
      <t>辽</t>
    </r>
    <r>
      <rPr>
        <sz val="11"/>
        <color theme="1"/>
        <rFont val="ＭＳ Ｐゴシック"/>
        <family val="3"/>
        <charset val="128"/>
        <scheme val="minor"/>
      </rPr>
      <t>宁）影</t>
    </r>
    <r>
      <rPr>
        <sz val="11"/>
        <color theme="1"/>
        <rFont val="ＭＳ Ｐゴシック"/>
        <family val="3"/>
        <charset val="134"/>
        <scheme val="minor"/>
      </rPr>
      <t>视传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</si>
  <si>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</si>
  <si>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交投路遇</t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</si>
  <si>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江交投路域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源开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</si>
  <si>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含酒精的气泡水; 白酒; 葡萄酒; 威士忌;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果酒（含酒精）</t>
    </r>
  </si>
  <si>
    <t>伊慕</t>
  </si>
  <si>
    <t>万晴</t>
  </si>
  <si>
    <r>
      <t xml:space="preserve">威士忌; 开胃酒;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果酒; 葡萄酒; 伏特加酒; 黄酒; 朗姆酒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</si>
  <si>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序曲</t>
    </r>
  </si>
  <si>
    <r>
      <t>博</t>
    </r>
    <r>
      <rPr>
        <sz val="11"/>
        <color theme="1"/>
        <rFont val="ＭＳ Ｐゴシック"/>
        <family val="3"/>
        <charset val="134"/>
        <scheme val="minor"/>
      </rPr>
      <t>尔纳</t>
    </r>
    <r>
      <rPr>
        <sz val="11"/>
        <color theme="1"/>
        <rFont val="ＭＳ Ｐゴシック"/>
        <family val="3"/>
        <charset val="128"/>
        <scheme val="minor"/>
      </rPr>
      <t>拉博</t>
    </r>
    <r>
      <rPr>
        <sz val="11"/>
        <color theme="1"/>
        <rFont val="ＭＳ Ｐゴシック"/>
        <family val="3"/>
        <charset val="134"/>
        <scheme val="minor"/>
      </rPr>
      <t>丝</t>
    </r>
    <r>
      <rPr>
        <sz val="11"/>
        <color theme="1"/>
        <rFont val="ＭＳ Ｐゴシック"/>
        <family val="3"/>
        <charset val="128"/>
        <scheme val="minor"/>
      </rPr>
      <t>特有限公司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</si>
  <si>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开胃酒;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利口酒</t>
    </r>
  </si>
  <si>
    <r>
      <t>稀</t>
    </r>
    <r>
      <rPr>
        <sz val="11"/>
        <color theme="1"/>
        <rFont val="ＭＳ Ｐゴシック"/>
        <family val="3"/>
        <charset val="134"/>
        <scheme val="minor"/>
      </rPr>
      <t>酝</t>
    </r>
    <r>
      <rPr>
        <sz val="11"/>
        <color theme="1"/>
        <rFont val="ＭＳ Ｐゴシック"/>
        <family val="3"/>
        <charset val="128"/>
        <scheme val="minor"/>
      </rPr>
      <t>谷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</si>
  <si>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市仁沙酒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</si>
  <si>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白干酒（中国白酒）;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烈性干酒; 白酒;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</t>
    </r>
  </si>
  <si>
    <r>
      <t>益</t>
    </r>
    <r>
      <rPr>
        <sz val="11"/>
        <color theme="1"/>
        <rFont val="ＭＳ Ｐゴシック"/>
        <family val="3"/>
        <charset val="134"/>
        <scheme val="minor"/>
      </rPr>
      <t>邻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</si>
  <si>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州存元堂科技有限公司</t>
    </r>
  </si>
  <si>
    <r>
      <t>果酒（含酒精）;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米酒; 白酒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</si>
  <si>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涛</t>
    </r>
  </si>
  <si>
    <r>
      <t>山西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方之子酒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</si>
  <si>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白酒; 米酒;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果酒（含酒精）; 烈酒; 伏特加酒</t>
    </r>
  </si>
  <si>
    <r>
      <t>蕴</t>
    </r>
    <r>
      <rPr>
        <sz val="11"/>
        <color theme="1"/>
        <rFont val="ＭＳ Ｐゴシック"/>
        <family val="3"/>
        <charset val="128"/>
        <scheme val="minor"/>
      </rPr>
      <t>稀谷</t>
    </r>
  </si>
  <si>
    <r>
      <t>饮</t>
    </r>
    <r>
      <rPr>
        <sz val="11"/>
        <color theme="1"/>
        <rFont val="ＭＳ Ｐゴシック"/>
        <family val="3"/>
        <charset val="128"/>
        <scheme val="minor"/>
      </rPr>
      <t>用烈酒;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烈性干酒; 甘蔗制烈酒;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</si>
  <si>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智</t>
    </r>
    <r>
      <rPr>
        <sz val="11"/>
        <color theme="1"/>
        <rFont val="ＭＳ Ｐゴシック"/>
        <family val="3"/>
        <charset val="134"/>
        <scheme val="minor"/>
      </rPr>
      <t>鲜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</si>
  <si>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智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</si>
  <si>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清酒（日本米酒）;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苹果酒; 梨酒; 日本梅子酒; 水果汽酒;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</t>
    </r>
  </si>
  <si>
    <r>
      <t>黔台</t>
    </r>
    <r>
      <rPr>
        <sz val="11"/>
        <color theme="1"/>
        <rFont val="ＭＳ Ｐゴシック"/>
        <family val="3"/>
        <charset val="134"/>
        <scheme val="minor"/>
      </rPr>
      <t>玺</t>
    </r>
    <r>
      <rPr>
        <sz val="11"/>
        <color theme="1"/>
        <rFont val="ＭＳ Ｐゴシック"/>
        <family val="3"/>
        <charset val="128"/>
        <scheme val="minor"/>
      </rPr>
      <t>品</t>
    </r>
  </si>
  <si>
    <t>姚林江</t>
  </si>
  <si>
    <r>
      <t xml:space="preserve">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米酒; 果酒（含酒精）; 清酒（日本米酒）; 黄酒</t>
    </r>
  </si>
  <si>
    <r>
      <t>鑫高佳</t>
    </r>
    <r>
      <rPr>
        <sz val="11"/>
        <color theme="1"/>
        <rFont val="ＭＳ Ｐゴシック"/>
        <family val="3"/>
        <charset val="134"/>
        <scheme val="minor"/>
      </rPr>
      <t>烧锅</t>
    </r>
  </si>
  <si>
    <r>
      <t>高克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</si>
  <si>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葡萄酒; 果酒; 米酒; 甜酒; 白干酒（中国白酒）</t>
    </r>
  </si>
  <si>
    <r>
      <t xml:space="preserve">黄酒;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开胃酒;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</t>
    </r>
  </si>
  <si>
    <r>
      <t>天誉</t>
    </r>
    <r>
      <rPr>
        <sz val="11"/>
        <color theme="1"/>
        <rFont val="ＭＳ Ｐゴシック"/>
        <family val="3"/>
        <charset val="134"/>
        <scheme val="minor"/>
      </rPr>
      <t>浔</t>
    </r>
  </si>
  <si>
    <r>
      <t>故城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俏</t>
    </r>
    <r>
      <rPr>
        <sz val="11"/>
        <color theme="1"/>
        <rFont val="ＭＳ Ｐゴシック"/>
        <family val="3"/>
        <charset val="134"/>
        <scheme val="minor"/>
      </rPr>
      <t>垲</t>
    </r>
    <r>
      <rPr>
        <sz val="11"/>
        <color theme="1"/>
        <rFont val="ＭＳ Ｐゴシック"/>
        <family val="3"/>
        <charset val="128"/>
        <scheme val="minor"/>
      </rPr>
      <t>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)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</si>
  <si>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葡萄酒; 白酒; 果酒; 威士忌</t>
    </r>
  </si>
  <si>
    <t>FLIP FLOP</t>
  </si>
  <si>
    <r>
      <t>邓</t>
    </r>
    <r>
      <rPr>
        <sz val="11"/>
        <color theme="1"/>
        <rFont val="ＭＳ Ｐゴシック"/>
        <family val="3"/>
        <charset val="128"/>
        <scheme val="minor"/>
      </rPr>
      <t>仁道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</si>
  <si>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威士忌;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</si>
  <si>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林洲金淘仙</t>
  </si>
  <si>
    <r>
      <t>贾卫</t>
    </r>
    <r>
      <rPr>
        <sz val="11"/>
        <color theme="1"/>
        <rFont val="ＭＳ Ｐゴシック"/>
        <family val="3"/>
        <charset val="128"/>
        <scheme val="minor"/>
      </rPr>
      <t>林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</si>
  <si>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汽酒;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开胃酒; 葡萄酒; 米酒; 果酒</t>
    </r>
  </si>
  <si>
    <r>
      <t>读</t>
    </r>
    <r>
      <rPr>
        <sz val="11"/>
        <color theme="1"/>
        <rFont val="ＭＳ Ｐゴシック"/>
        <family val="3"/>
        <charset val="128"/>
        <scheme val="minor"/>
      </rPr>
      <t>瑶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</si>
  <si>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权权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</si>
  <si>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果酒</t>
    </r>
  </si>
  <si>
    <r>
      <t>果源π</t>
    </r>
    <r>
      <rPr>
        <sz val="11"/>
        <color theme="1"/>
        <rFont val="ＭＳ Ｐゴシック"/>
        <family val="3"/>
        <charset val="134"/>
        <scheme val="minor"/>
      </rPr>
      <t>队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</si>
  <si>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大宇食品有限公司</t>
    </r>
  </si>
  <si>
    <r>
      <t xml:space="preserve">米酒; 水果汽酒; 利口酒; 白酒; 葡萄酒;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</si>
  <si>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企普</t>
  </si>
  <si>
    <r>
      <t>领</t>
    </r>
    <r>
      <rPr>
        <sz val="11"/>
        <color theme="1"/>
        <rFont val="ＭＳ Ｐゴシック"/>
        <family val="3"/>
        <charset val="128"/>
        <scheme val="minor"/>
      </rPr>
      <t>先未来（北京）信息技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</si>
  <si>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白酒; 食用酒精; 伏特加酒; 果酒（含酒精）;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</si>
  <si>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卫</t>
    </r>
    <r>
      <rPr>
        <sz val="11"/>
        <color theme="1"/>
        <rFont val="ＭＳ Ｐゴシック"/>
        <family val="3"/>
        <charset val="128"/>
        <scheme val="minor"/>
      </rPr>
      <t>康叔后裔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</si>
  <si>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州香花幽草园林园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</si>
  <si>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苹果酒;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米酒; 白酒; 餐后酒（利口酒和烈酒）;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</si>
  <si>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山海知己</t>
  </si>
  <si>
    <r>
      <t>饮</t>
    </r>
    <r>
      <rPr>
        <sz val="11"/>
        <color theme="1"/>
        <rFont val="ＭＳ Ｐゴシック"/>
        <family val="3"/>
        <charset val="128"/>
        <scheme val="minor"/>
      </rPr>
      <t>品</t>
    </r>
    <r>
      <rPr>
        <sz val="11"/>
        <color theme="1"/>
        <rFont val="ＭＳ Ｐゴシック"/>
        <family val="3"/>
        <charset val="134"/>
        <scheme val="minor"/>
      </rPr>
      <t>图鉴</t>
    </r>
    <r>
      <rPr>
        <sz val="11"/>
        <color theme="1"/>
        <rFont val="ＭＳ Ｐゴシック"/>
        <family val="3"/>
        <charset val="128"/>
        <scheme val="minor"/>
      </rPr>
      <t>（广州）网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</si>
  <si>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果酒（含酒精）; 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</si>
  <si>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成氏</t>
    </r>
    <r>
      <rPr>
        <sz val="11"/>
        <color theme="1"/>
        <rFont val="ＭＳ Ｐゴシック"/>
        <family val="3"/>
        <charset val="134"/>
        <scheme val="minor"/>
      </rPr>
      <t>诚实</t>
    </r>
  </si>
  <si>
    <r>
      <t>烈性干酒;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白干酒（中国白酒）;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</si>
  <si>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蒙</t>
    </r>
    <r>
      <rPr>
        <sz val="11"/>
        <color theme="1"/>
        <rFont val="ＭＳ Ｐゴシック"/>
        <family val="3"/>
        <charset val="134"/>
        <scheme val="minor"/>
      </rPr>
      <t>骄</t>
    </r>
    <r>
      <rPr>
        <sz val="11"/>
        <color theme="1"/>
        <rFont val="ＭＳ Ｐゴシック"/>
        <family val="3"/>
        <charset val="128"/>
        <scheme val="minor"/>
      </rPr>
      <t>汗</t>
    </r>
  </si>
  <si>
    <r>
      <t>通</t>
    </r>
    <r>
      <rPr>
        <sz val="11"/>
        <color theme="1"/>
        <rFont val="ＭＳ Ｐゴシック"/>
        <family val="3"/>
        <charset val="134"/>
        <scheme val="minor"/>
      </rPr>
      <t>辽</t>
    </r>
    <r>
      <rPr>
        <sz val="11"/>
        <color theme="1"/>
        <rFont val="ＭＳ Ｐゴシック"/>
        <family val="3"/>
        <charset val="128"/>
        <scheme val="minor"/>
      </rPr>
      <t>市中衡彩</t>
    </r>
    <r>
      <rPr>
        <sz val="11"/>
        <color theme="1"/>
        <rFont val="ＭＳ Ｐゴシック"/>
        <family val="3"/>
        <charset val="134"/>
        <scheme val="minor"/>
      </rPr>
      <t>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</si>
  <si>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果酒;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白酒; 青稞酒</t>
    </r>
  </si>
  <si>
    <r>
      <t>浩</t>
    </r>
    <r>
      <rPr>
        <sz val="11"/>
        <color theme="1"/>
        <rFont val="ＭＳ Ｐゴシック"/>
        <family val="3"/>
        <charset val="134"/>
        <scheme val="minor"/>
      </rPr>
      <t>浓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</si>
  <si>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汽酒; 米酒;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</si>
  <si>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林玖旺</t>
  </si>
  <si>
    <t>彭林英</t>
  </si>
  <si>
    <r>
      <t>开胃酒; 白酒; 食用酒精;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蜂蜜酒; 米酒; 烈酒</t>
    </r>
  </si>
  <si>
    <r>
      <t>邓财</t>
    </r>
    <r>
      <rPr>
        <sz val="11"/>
        <color theme="1"/>
        <rFont val="ＭＳ Ｐゴシック"/>
        <family val="3"/>
        <charset val="128"/>
        <scheme val="minor"/>
      </rPr>
      <t>子</t>
    </r>
  </si>
  <si>
    <r>
      <t>邓</t>
    </r>
    <r>
      <rPr>
        <sz val="11"/>
        <color theme="1"/>
        <rFont val="ＭＳ Ｐゴシック"/>
        <family val="3"/>
        <charset val="128"/>
        <scheme val="minor"/>
      </rPr>
      <t>恒裕</t>
    </r>
  </si>
  <si>
    <r>
      <t xml:space="preserve">葡萄酒; 青稞酒; 黄酒; 烈酒;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咖啡利口酒; 米酒; 果酒</t>
    </r>
  </si>
  <si>
    <r>
      <t>值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</si>
  <si>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平</t>
    </r>
    <r>
      <rPr>
        <sz val="11"/>
        <color theme="1"/>
        <rFont val="ＭＳ Ｐゴシック"/>
        <family val="3"/>
        <charset val="134"/>
        <scheme val="minor"/>
      </rPr>
      <t>顶</t>
    </r>
    <r>
      <rPr>
        <sz val="11"/>
        <color theme="1"/>
        <rFont val="ＭＳ Ｐゴシック"/>
        <family val="3"/>
        <charset val="128"/>
        <scheme val="minor"/>
      </rPr>
      <t>山昆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</si>
  <si>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威士忌;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黄酒;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</si>
  <si>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鹿效元</t>
  </si>
  <si>
    <r>
      <t>陈</t>
    </r>
    <r>
      <rPr>
        <sz val="11"/>
        <color theme="1"/>
        <rFont val="ＭＳ Ｐゴシック"/>
        <family val="3"/>
        <charset val="128"/>
        <scheme val="minor"/>
      </rPr>
      <t>景昌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</si>
  <si>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</si>
  <si>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陈继红</t>
  </si>
  <si>
    <r>
      <t>开胃酒;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黄酒; 威士忌</t>
    </r>
  </si>
  <si>
    <t>AMY UP</t>
  </si>
  <si>
    <r>
      <t>陈</t>
    </r>
    <r>
      <rPr>
        <sz val="11"/>
        <color theme="1"/>
        <rFont val="ＭＳ Ｐゴシック"/>
        <family val="3"/>
        <charset val="128"/>
        <scheme val="minor"/>
      </rPr>
      <t>建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</si>
  <si>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果酒（含酒精）; 黄酒; 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清酒（日本米酒）;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</si>
  <si>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山蝉</t>
  </si>
  <si>
    <r>
      <t xml:space="preserve">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伏特加酒; 高粱酒; 果酒（含酒精）</t>
    </r>
  </si>
  <si>
    <r>
      <t>欢</t>
    </r>
    <r>
      <rPr>
        <sz val="11"/>
        <color theme="1"/>
        <rFont val="ＭＳ Ｐゴシック"/>
        <family val="3"/>
        <charset val="128"/>
        <scheme val="minor"/>
      </rPr>
      <t>喜公元</t>
    </r>
  </si>
  <si>
    <r>
      <t>袋鼠和她的朋友</t>
    </r>
    <r>
      <rPr>
        <sz val="11"/>
        <color theme="1"/>
        <rFont val="ＭＳ Ｐゴシック"/>
        <family val="3"/>
        <charset val="134"/>
        <scheme val="minor"/>
      </rPr>
      <t>们</t>
    </r>
    <r>
      <rPr>
        <sz val="11"/>
        <color theme="1"/>
        <rFont val="ＭＳ Ｐゴシック"/>
        <family val="3"/>
        <charset val="128"/>
        <scheme val="minor"/>
      </rPr>
      <t>(沈阳)文化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</si>
  <si>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含酒精的气泡水;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黄酒</t>
    </r>
  </si>
  <si>
    <r>
      <t>徐</t>
    </r>
    <r>
      <rPr>
        <sz val="11"/>
        <color theme="1"/>
        <rFont val="ＭＳ Ｐゴシック"/>
        <family val="3"/>
        <charset val="134"/>
        <scheme val="minor"/>
      </rPr>
      <t>砻祯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</si>
  <si>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州黔世源酒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</si>
  <si>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蜂蜜酒; 开胃酒; 果酒（含酒精）; 米酒; 白酒; 清酒（日本米酒）; 黄酒</t>
    </r>
  </si>
  <si>
    <r>
      <t>桥边</t>
    </r>
    <r>
      <rPr>
        <sz val="11"/>
        <color theme="1"/>
        <rFont val="ＭＳ Ｐゴシック"/>
        <family val="3"/>
        <charset val="128"/>
        <scheme val="minor"/>
      </rPr>
      <t>半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</si>
  <si>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波</t>
    </r>
  </si>
  <si>
    <r>
      <t>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清酒; 果酒（含酒精）</t>
    </r>
  </si>
  <si>
    <t>御杞年</t>
  </si>
  <si>
    <r>
      <t xml:space="preserve">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</si>
  <si>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翁相逢</t>
  </si>
  <si>
    <t>彭小建</t>
  </si>
  <si>
    <r>
      <t>果酒（含酒精）; 米酒; 高粱酒; 烈酒; 开胃酒; 白干酒（中国白酒）;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</si>
  <si>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瑷</t>
    </r>
    <r>
      <rPr>
        <sz val="11"/>
        <color theme="1"/>
        <rFont val="ＭＳ Ｐゴシック"/>
        <family val="3"/>
        <charset val="128"/>
        <scheme val="minor"/>
      </rPr>
      <t>有</t>
    </r>
    <r>
      <rPr>
        <sz val="11"/>
        <color theme="1"/>
        <rFont val="ＭＳ Ｐゴシック"/>
        <family val="3"/>
        <charset val="134"/>
        <scheme val="minor"/>
      </rPr>
      <t>凯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</si>
  <si>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州京</t>
    </r>
    <r>
      <rPr>
        <sz val="11"/>
        <color theme="1"/>
        <rFont val="ＭＳ Ｐゴシック"/>
        <family val="3"/>
        <charset val="134"/>
        <scheme val="minor"/>
      </rPr>
      <t>谭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</si>
  <si>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烈酒; 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</si>
  <si>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王幺</t>
    </r>
    <r>
      <rPr>
        <sz val="11"/>
        <color theme="1"/>
        <rFont val="ＭＳ Ｐゴシック"/>
        <family val="3"/>
        <charset val="134"/>
        <scheme val="minor"/>
      </rPr>
      <t>妈</t>
    </r>
  </si>
  <si>
    <r>
      <t>北京王幺</t>
    </r>
    <r>
      <rPr>
        <sz val="11"/>
        <color theme="1"/>
        <rFont val="ＭＳ Ｐゴシック"/>
        <family val="3"/>
        <charset val="134"/>
        <scheme val="minor"/>
      </rPr>
      <t>妈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</si>
  <si>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含酒精的气泡水; 葡萄酒; 高粱酒; 白酒; 米酒; 威士忌; 伏特加酒; 果酒; 黄酒</t>
    </r>
  </si>
  <si>
    <t>豪老怪</t>
  </si>
  <si>
    <r>
      <t>邵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苹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</si>
  <si>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果酒（含酒精）; 烈酒; 威士忌;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白酒</t>
    </r>
  </si>
  <si>
    <r>
      <t>天真</t>
    </r>
    <r>
      <rPr>
        <sz val="11"/>
        <color theme="1"/>
        <rFont val="ＭＳ Ｐゴシック"/>
        <family val="3"/>
        <charset val="134"/>
        <scheme val="minor"/>
      </rPr>
      <t>顶</t>
    </r>
  </si>
  <si>
    <r>
      <t>赖</t>
    </r>
    <r>
      <rPr>
        <sz val="11"/>
        <color theme="1"/>
        <rFont val="ＭＳ Ｐゴシック"/>
        <family val="3"/>
        <charset val="128"/>
        <scheme val="minor"/>
      </rPr>
      <t>天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</si>
  <si>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果酒（含酒精）;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</si>
  <si>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甲</t>
    </r>
    <r>
      <rPr>
        <sz val="11"/>
        <color theme="1"/>
        <rFont val="ＭＳ Ｐゴシック"/>
        <family val="3"/>
        <charset val="134"/>
        <scheme val="minor"/>
      </rPr>
      <t>车间</t>
    </r>
  </si>
  <si>
    <r>
      <t xml:space="preserve">米酒;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利口酒; 白酒</t>
    </r>
  </si>
  <si>
    <t>张银</t>
  </si>
  <si>
    <r>
      <t>米酒;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黄酒; 白酒; 果酒; 葡萄酒</t>
    </r>
  </si>
  <si>
    <t>喆喆故事</t>
  </si>
  <si>
    <r>
      <t>浙江喆喆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</si>
  <si>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汽酒; 米酒;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</si>
  <si>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会稽春</t>
    </r>
    <r>
      <rPr>
        <sz val="11"/>
        <color theme="1"/>
        <rFont val="ＭＳ Ｐゴシック"/>
        <family val="3"/>
        <charset val="134"/>
        <scheme val="minor"/>
      </rPr>
      <t>晓</t>
    </r>
  </si>
  <si>
    <r>
      <t>封国</t>
    </r>
    <r>
      <rPr>
        <sz val="11"/>
        <color theme="1"/>
        <rFont val="ＭＳ Ｐゴシック"/>
        <family val="3"/>
        <charset val="134"/>
        <scheme val="minor"/>
      </rPr>
      <t>卫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</si>
  <si>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高粱酒; 葡萄酒; 水果汽酒; 米酒; 五加皮酒（中国混合烈酒）; 甜酒; 茴香酒</t>
    </r>
  </si>
  <si>
    <t>古力特</t>
  </si>
  <si>
    <t>许进军</t>
  </si>
  <si>
    <r>
      <t xml:space="preserve">白酒;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米酒; 果酒（含酒精）</t>
    </r>
  </si>
  <si>
    <r>
      <t>佳煦嘉</t>
    </r>
    <r>
      <rPr>
        <sz val="11"/>
        <color theme="1"/>
        <rFont val="ＭＳ Ｐゴシック"/>
        <family val="3"/>
        <charset val="134"/>
        <scheme val="minor"/>
      </rPr>
      <t>颐</t>
    </r>
  </si>
  <si>
    <t>王宝文</t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</si>
  <si>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果酒（含酒精）; 利口酒; 威士忌;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</si>
  <si>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t>私后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</si>
  <si>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州影奇大数据有限公司</t>
    </r>
  </si>
  <si>
    <r>
      <t xml:space="preserve">果酒（含酒精）; 白酒; 利口酒; 水果汽酒;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</t>
    </r>
  </si>
  <si>
    <t>都二</t>
  </si>
  <si>
    <r>
      <t>北京都二商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</si>
  <si>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黄酒; 果酒（含酒精）; 葡萄酒; 威士忌;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</si>
  <si>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EVER DISH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</si>
  <si>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青稞酒;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</si>
  <si>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南大元福盛</t>
  </si>
  <si>
    <t>浙江元福盛文化科技有限公司</t>
  </si>
  <si>
    <r>
      <t>开胃酒;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苦味酒; 葡萄酒; 白干酒（中国白酒）</t>
    </r>
  </si>
  <si>
    <r>
      <t>伽</t>
    </r>
    <r>
      <rPr>
        <sz val="11"/>
        <color theme="1"/>
        <rFont val="ＭＳ Ｐゴシック"/>
        <family val="3"/>
        <charset val="134"/>
        <scheme val="minor"/>
      </rPr>
      <t>澜</t>
    </r>
    <r>
      <rPr>
        <sz val="11"/>
        <color theme="1"/>
        <rFont val="ＭＳ Ｐゴシック"/>
        <family val="3"/>
        <charset val="128"/>
        <scheme val="minor"/>
      </rPr>
      <t>上医堂</t>
    </r>
  </si>
  <si>
    <r>
      <t>琼</t>
    </r>
    <r>
      <rPr>
        <sz val="11"/>
        <color theme="1"/>
        <rFont val="ＭＳ Ｐゴシック"/>
        <family val="3"/>
        <charset val="128"/>
        <scheme val="minor"/>
      </rPr>
      <t>海市伽</t>
    </r>
    <r>
      <rPr>
        <sz val="11"/>
        <color theme="1"/>
        <rFont val="ＭＳ Ｐゴシック"/>
        <family val="3"/>
        <charset val="134"/>
        <scheme val="minor"/>
      </rPr>
      <t>澜</t>
    </r>
    <r>
      <rPr>
        <sz val="11"/>
        <color theme="1"/>
        <rFont val="ＭＳ Ｐゴシック"/>
        <family val="3"/>
        <charset val="128"/>
        <scheme val="minor"/>
      </rPr>
      <t>中医</t>
    </r>
    <r>
      <rPr>
        <sz val="11"/>
        <color theme="1"/>
        <rFont val="ＭＳ Ｐゴシック"/>
        <family val="3"/>
        <charset val="134"/>
        <scheme val="minor"/>
      </rPr>
      <t>门诊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</si>
  <si>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伏特加酒;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</si>
  <si>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乘禹</t>
  </si>
  <si>
    <r>
      <t>陈</t>
    </r>
    <r>
      <rPr>
        <sz val="11"/>
        <color theme="1"/>
        <rFont val="ＭＳ Ｐゴシック"/>
        <family val="3"/>
        <charset val="128"/>
        <scheme val="minor"/>
      </rPr>
      <t>佳禹******************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</si>
  <si>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</si>
  <si>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匠今洲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</si>
  <si>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烈酒; 黄酒;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</si>
  <si>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t>内津</t>
  </si>
  <si>
    <r>
      <t xml:space="preserve">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葡萄酒; 果酒;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清酒; 利口酒</t>
    </r>
  </si>
  <si>
    <t>盖嘴香</t>
  </si>
  <si>
    <r>
      <t>昆明运开商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</si>
  <si>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黄酒;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</t>
    </r>
  </si>
  <si>
    <t>古韵濮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</si>
  <si>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德品酒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</si>
  <si>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烈酒;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高粱酒; 开胃酒; 葡萄酒; 米酒</t>
    </r>
  </si>
  <si>
    <r>
      <t>味</t>
    </r>
    <r>
      <rPr>
        <sz val="11"/>
        <color theme="1"/>
        <rFont val="ＭＳ Ｐゴシック"/>
        <family val="3"/>
        <charset val="134"/>
        <scheme val="minor"/>
      </rPr>
      <t>觉</t>
    </r>
    <r>
      <rPr>
        <sz val="11"/>
        <color theme="1"/>
        <rFont val="ＭＳ Ｐゴシック"/>
        <family val="3"/>
        <charset val="128"/>
        <scheme val="minor"/>
      </rPr>
      <t>符号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</si>
  <si>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州多彩</t>
    </r>
    <r>
      <rPr>
        <sz val="11"/>
        <color theme="1"/>
        <rFont val="ＭＳ Ｐゴシック"/>
        <family val="3"/>
        <charset val="134"/>
        <scheme val="minor"/>
      </rPr>
      <t>记忆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</si>
  <si>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清酒（日本米酒）; 果酒（含酒精）;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</si>
  <si>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浩牛哥家</t>
  </si>
  <si>
    <t>刘宝林</t>
  </si>
  <si>
    <r>
      <t xml:space="preserve">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</si>
  <si>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慕</t>
    </r>
    <r>
      <rPr>
        <sz val="11"/>
        <color theme="1"/>
        <rFont val="ＭＳ Ｐゴシック"/>
        <family val="3"/>
        <charset val="134"/>
        <scheme val="minor"/>
      </rPr>
      <t>贪</t>
    </r>
    <r>
      <rPr>
        <sz val="11"/>
        <color theme="1"/>
        <rFont val="ＭＳ Ｐゴシック"/>
        <family val="3"/>
        <charset val="128"/>
        <scheme val="minor"/>
      </rPr>
      <t>吃</t>
    </r>
  </si>
  <si>
    <r>
      <t>广州招商工</t>
    </r>
    <r>
      <rPr>
        <sz val="11"/>
        <color theme="1"/>
        <rFont val="ＭＳ Ｐゴシック"/>
        <family val="3"/>
        <charset val="134"/>
        <scheme val="minor"/>
      </rPr>
      <t>场</t>
    </r>
    <r>
      <rPr>
        <sz val="11"/>
        <color theme="1"/>
        <rFont val="ＭＳ Ｐゴシック"/>
        <family val="3"/>
        <charset val="128"/>
        <scheme val="minor"/>
      </rPr>
      <t>控股有限公司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</si>
  <si>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烈酒; 葡萄酒;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</si>
  <si>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遵牌匠</t>
    </r>
    <r>
      <rPr>
        <sz val="11"/>
        <color theme="1"/>
        <rFont val="ＭＳ Ｐゴシック"/>
        <family val="3"/>
        <charset val="134"/>
        <scheme val="minor"/>
      </rPr>
      <t>乡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</si>
  <si>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</si>
  <si>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白干酒（中国白酒）;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</t>
    </r>
  </si>
  <si>
    <t>杏井瓷</t>
  </si>
  <si>
    <r>
      <t>山西杏花古井酒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</si>
  <si>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利口酒;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</si>
  <si>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初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域</t>
    </r>
  </si>
  <si>
    <t>邵冰</t>
  </si>
  <si>
    <r>
      <t>白干酒（中国白酒）;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果酒; 白酒; 烈酒; 葡萄酒;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</si>
  <si>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荷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光</t>
    </r>
  </si>
  <si>
    <r>
      <t xml:space="preserve">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清酒（日本米酒）;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梅酒; 黄酒</t>
    </r>
  </si>
  <si>
    <r>
      <t>乳</t>
    </r>
    <r>
      <rPr>
        <sz val="11"/>
        <color theme="1"/>
        <rFont val="ＭＳ Ｐゴシック"/>
        <family val="3"/>
        <charset val="134"/>
        <scheme val="minor"/>
      </rPr>
      <t>乡</t>
    </r>
  </si>
  <si>
    <r>
      <t>董</t>
    </r>
    <r>
      <rPr>
        <sz val="11"/>
        <color theme="1"/>
        <rFont val="ＭＳ Ｐゴシック"/>
        <family val="3"/>
        <charset val="134"/>
        <scheme val="minor"/>
      </rPr>
      <t>跃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</si>
  <si>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清酒; 利口酒;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果酒（含酒精）; 米酒</t>
    </r>
  </si>
  <si>
    <r>
      <t>快</t>
    </r>
    <r>
      <rPr>
        <sz val="11"/>
        <color theme="1"/>
        <rFont val="ＭＳ Ｐゴシック"/>
        <family val="3"/>
        <charset val="134"/>
        <scheme val="minor"/>
      </rPr>
      <t>舰</t>
    </r>
  </si>
  <si>
    <r>
      <t>果酒（含酒精）;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葡萄酒; 露酒;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高粱酒</t>
    </r>
  </si>
  <si>
    <t>不是村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</si>
  <si>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不是村生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</si>
  <si>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果酒（含酒精）; 果酒; 高粱酒;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</si>
  <si>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宫颐</t>
    </r>
    <r>
      <rPr>
        <sz val="11"/>
        <color theme="1"/>
        <rFont val="ＭＳ Ｐゴシック"/>
        <family val="3"/>
        <charset val="128"/>
        <scheme val="minor"/>
      </rPr>
      <t>楼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</si>
  <si>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开胃酒; 利口酒; 威士忌;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</si>
  <si>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t>喆喆禧事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</si>
  <si>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</si>
  <si>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喆喆喜事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</si>
  <si>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汽酒; 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米酒;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</si>
  <si>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榆</t>
    </r>
    <r>
      <rPr>
        <sz val="11"/>
        <color theme="1"/>
        <rFont val="ＭＳ Ｐゴシック"/>
        <family val="3"/>
        <charset val="134"/>
        <scheme val="minor"/>
      </rPr>
      <t>坛</t>
    </r>
    <r>
      <rPr>
        <sz val="11"/>
        <color theme="1"/>
        <rFont val="ＭＳ Ｐゴシック"/>
        <family val="3"/>
        <charset val="128"/>
        <scheme val="minor"/>
      </rPr>
      <t>香</t>
    </r>
  </si>
  <si>
    <r>
      <t>王洪</t>
    </r>
    <r>
      <rPr>
        <sz val="11"/>
        <color theme="1"/>
        <rFont val="ＭＳ Ｐゴシック"/>
        <family val="3"/>
        <charset val="134"/>
        <scheme val="minor"/>
      </rPr>
      <t>贺</t>
    </r>
  </si>
  <si>
    <r>
      <t>威士忌; 果酒;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</si>
  <si>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跑池</t>
  </si>
  <si>
    <r>
      <t>亳州市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池酒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</si>
  <si>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伏特加酒; 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烈酒;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</si>
  <si>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云港口粮王</t>
  </si>
  <si>
    <r>
      <t xml:space="preserve">米酒;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苹果酒;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果酒; 葡萄酒</t>
    </r>
  </si>
  <si>
    <r>
      <t>泉食</t>
    </r>
    <r>
      <rPr>
        <sz val="11"/>
        <color theme="1"/>
        <rFont val="ＭＳ Ｐゴシック"/>
        <family val="3"/>
        <charset val="134"/>
        <scheme val="minor"/>
      </rPr>
      <t>鲜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</si>
  <si>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霞******************</t>
    </r>
  </si>
  <si>
    <r>
      <t>烈酒; 米酒; 威士忌; 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黄酒; 白酒</t>
    </r>
  </si>
  <si>
    <r>
      <t>梦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星</t>
    </r>
    <r>
      <rPr>
        <sz val="11"/>
        <color theme="1"/>
        <rFont val="ＭＳ Ｐゴシック"/>
        <family val="3"/>
        <charset val="134"/>
        <scheme val="minor"/>
      </rPr>
      <t>选</t>
    </r>
  </si>
  <si>
    <t>杭州魔筷科技有限公司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</si>
  <si>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米酒; 黄酒; 果酒（含酒精）; 水果汽酒; 白酒;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</si>
  <si>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百粮恋</t>
  </si>
  <si>
    <t>李瑞</t>
  </si>
  <si>
    <r>
      <t>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</t>
    </r>
  </si>
  <si>
    <t>CYHTFG</t>
  </si>
  <si>
    <t>上海美天教育科技有限公司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</si>
  <si>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梅酒; 白酒; 葡萄酒; 威士忌; 伏特加酒; 果酒（含酒精）;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清酒（日本米酒）</t>
    </r>
  </si>
  <si>
    <t>秦岭熊猫谷</t>
  </si>
  <si>
    <t>佛坪熊猫谷旅游有限公司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</si>
  <si>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清酒; 白酒; 葡萄酒</t>
    </r>
  </si>
  <si>
    <t>GOLFOWL</t>
  </si>
  <si>
    <r>
      <t>庄臣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酒（福建）有限公司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</si>
  <si>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利口酒; 烈酒;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白酒; 朗姆酒</t>
    </r>
  </si>
  <si>
    <t>GOLFMAGIC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</si>
  <si>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朗姆酒; 白酒; 烈酒; 葡萄酒; 利口酒; 威士忌;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</si>
  <si>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芈</t>
    </r>
    <r>
      <rPr>
        <sz val="11"/>
        <color theme="1"/>
        <rFont val="ＭＳ Ｐゴシック"/>
        <family val="3"/>
        <charset val="128"/>
        <scheme val="minor"/>
      </rPr>
      <t>泥</t>
    </r>
  </si>
  <si>
    <r>
      <t>中艾文化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</si>
  <si>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葡萄酒; 果酒（含酒精）;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威士忌</t>
    </r>
  </si>
  <si>
    <t>千味舌尖</t>
  </si>
  <si>
    <r>
      <t>杭州荷唐餐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</si>
  <si>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高粱酒; 果酒; 黄酒; 米酒;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</si>
  <si>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鹤</t>
    </r>
    <r>
      <rPr>
        <sz val="11"/>
        <color theme="1"/>
        <rFont val="ＭＳ Ｐゴシック"/>
        <family val="3"/>
        <charset val="128"/>
        <scheme val="minor"/>
      </rPr>
      <t>与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</si>
  <si>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海涛</t>
    </r>
  </si>
  <si>
    <r>
      <t xml:space="preserve">黄酒; 白酒; 清酒; 米酒; 烈酒; 开胃酒; 果酒（含酒精）;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</si>
  <si>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楚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安</t>
    </r>
  </si>
  <si>
    <t>殷小燕</t>
  </si>
  <si>
    <r>
      <t>餐后酒（利口酒和烈酒）; 白酒;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</si>
  <si>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柳府真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</si>
  <si>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柳州市柳府酒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</si>
  <si>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黄酒; 白酒;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薄荷酒; 米酒</t>
    </r>
  </si>
  <si>
    <t>帆水井</t>
  </si>
  <si>
    <r>
      <t>李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江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</si>
  <si>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米酒;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</t>
    </r>
  </si>
  <si>
    <t>万坊</t>
  </si>
  <si>
    <r>
      <t>富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前程有限公司</t>
    </r>
  </si>
  <si>
    <r>
      <t xml:space="preserve">果酒（含酒精）; 黄酒; 清酒（日本米酒）; 米酒; 葡萄酒; 白酒;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</t>
    </r>
  </si>
  <si>
    <r>
      <t>颐</t>
    </r>
    <r>
      <rPr>
        <sz val="11"/>
        <color theme="1"/>
        <rFont val="ＭＳ Ｐゴシック"/>
        <family val="3"/>
        <charset val="128"/>
        <scheme val="minor"/>
      </rPr>
      <t>白达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</si>
  <si>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明</t>
    </r>
  </si>
  <si>
    <r>
      <t>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露酒;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杜松子酒; 威末酒;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</si>
  <si>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半酒半城</t>
  </si>
  <si>
    <r>
      <t>杨泽</t>
    </r>
    <r>
      <rPr>
        <sz val="11"/>
        <color theme="1"/>
        <rFont val="ＭＳ Ｐゴシック"/>
        <family val="3"/>
        <charset val="128"/>
        <scheme val="minor"/>
      </rPr>
      <t>皇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</si>
  <si>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含酒精的气泡水</t>
    </r>
  </si>
  <si>
    <t>阖缘</t>
  </si>
  <si>
    <t>李静霞*****************X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</si>
  <si>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果酒（含酒精）;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</si>
  <si>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清郁山海</t>
  </si>
  <si>
    <t>冉明</t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</si>
  <si>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葡萄酒;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梨酒; 黄酒; 米酒; 苹果酒; 果酒</t>
    </r>
  </si>
  <si>
    <r>
      <t>阖缘</t>
    </r>
    <r>
      <rPr>
        <sz val="11"/>
        <color theme="1"/>
        <rFont val="ＭＳ Ｐゴシック"/>
        <family val="3"/>
        <charset val="128"/>
        <scheme val="minor"/>
      </rPr>
      <t>秘匠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</si>
  <si>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食用酒精; 果酒（含酒精）</t>
    </r>
  </si>
  <si>
    <t>GOLFBAMBOO</t>
  </si>
  <si>
    <r>
      <t xml:space="preserve">葡萄酒; 利口酒; 朗姆酒;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白酒</t>
    </r>
  </si>
  <si>
    <r>
      <t>楚醺</t>
    </r>
    <r>
      <rPr>
        <sz val="11"/>
        <color theme="1"/>
        <rFont val="ＭＳ Ｐゴシック"/>
        <family val="3"/>
        <charset val="134"/>
        <scheme val="minor"/>
      </rPr>
      <t>叁</t>
    </r>
    <r>
      <rPr>
        <sz val="11"/>
        <color theme="1"/>
        <rFont val="ＭＳ Ｐゴシック"/>
        <family val="3"/>
        <charset val="128"/>
        <scheme val="minor"/>
      </rPr>
      <t>零</t>
    </r>
    <r>
      <rPr>
        <sz val="11"/>
        <color theme="1"/>
        <rFont val="ＭＳ Ｐゴシック"/>
        <family val="3"/>
        <charset val="134"/>
        <scheme val="minor"/>
      </rPr>
      <t>叁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</si>
  <si>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三零三文化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</si>
  <si>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威士忌; 白酒; 葡萄酒; 烈酒; 杜松子酒; 黄酒</t>
    </r>
  </si>
  <si>
    <t>㐀朗㐀</t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</si>
  <si>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</t>
    </r>
  </si>
  <si>
    <r>
      <t>万家</t>
    </r>
    <r>
      <rPr>
        <sz val="11"/>
        <color theme="1"/>
        <rFont val="ＭＳ Ｐゴシック"/>
        <family val="3"/>
        <charset val="134"/>
        <scheme val="minor"/>
      </rPr>
      <t>赞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</si>
  <si>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卡拉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</si>
  <si>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葡萄酒; 威士忌;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伏特加酒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</si>
  <si>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果酒; 黄酒; 烈酒;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</si>
  <si>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长传</t>
  </si>
  <si>
    <r>
      <t>杭州</t>
    </r>
    <r>
      <rPr>
        <sz val="11"/>
        <color theme="1"/>
        <rFont val="ＭＳ Ｐゴシック"/>
        <family val="3"/>
        <charset val="134"/>
        <scheme val="minor"/>
      </rPr>
      <t>长传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</si>
  <si>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葡萄酒; 薄荷酒; 苦味酒;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朗姆酒; 伏特加酒;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米酒</t>
    </r>
  </si>
  <si>
    <t>最淑服 TOPSHUFU</t>
  </si>
  <si>
    <r>
      <t>广州市等等服</t>
    </r>
    <r>
      <rPr>
        <sz val="11"/>
        <color theme="1"/>
        <rFont val="ＭＳ Ｐゴシック"/>
        <family val="3"/>
        <charset val="134"/>
        <scheme val="minor"/>
      </rPr>
      <t>饰贸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</si>
  <si>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葡萄酒; 蜂蜜酒; 米酒;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</si>
  <si>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阿永</t>
    </r>
  </si>
  <si>
    <r>
      <t>永嘉</t>
    </r>
    <r>
      <rPr>
        <sz val="11"/>
        <color theme="1"/>
        <rFont val="ＭＳ Ｐゴシック"/>
        <family val="3"/>
        <charset val="134"/>
        <scheme val="minor"/>
      </rPr>
      <t>县兴</t>
    </r>
    <r>
      <rPr>
        <sz val="11"/>
        <color theme="1"/>
        <rFont val="ＭＳ Ｐゴシック"/>
        <family val="3"/>
        <charset val="128"/>
        <scheme val="minor"/>
      </rPr>
      <t>拓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</si>
  <si>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利口酒;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蜂蜜酒; 黄酒; 果酒;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</si>
  <si>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ATHOST</t>
  </si>
  <si>
    <r>
      <t>成都豪士特商</t>
    </r>
    <r>
      <rPr>
        <sz val="11"/>
        <color theme="1"/>
        <rFont val="ＭＳ Ｐゴシック"/>
        <family val="3"/>
        <charset val="134"/>
        <scheme val="minor"/>
      </rPr>
      <t>业经营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</si>
  <si>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青稞酒; 果酒; 白酒; 开胃酒;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米酒; 伏特加酒</t>
    </r>
  </si>
  <si>
    <t>寿蔬香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</si>
  <si>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东齐</t>
    </r>
    <r>
      <rPr>
        <sz val="11"/>
        <color theme="1"/>
        <rFont val="ＭＳ Ｐゴシック"/>
        <family val="3"/>
        <charset val="128"/>
        <scheme val="minor"/>
      </rPr>
      <t>民思白酒有限公司</t>
    </r>
  </si>
  <si>
    <r>
      <t xml:space="preserve">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苹果酒; 米酒; 白酒</t>
    </r>
  </si>
  <si>
    <r>
      <t>抖</t>
    </r>
    <r>
      <rPr>
        <sz val="11"/>
        <color theme="1"/>
        <rFont val="ＭＳ Ｐゴシック"/>
        <family val="3"/>
        <charset val="134"/>
        <scheme val="minor"/>
      </rPr>
      <t>观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</si>
  <si>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播城科技股份有限公司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</si>
  <si>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食用酒精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</si>
  <si>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荧</t>
    </r>
    <r>
      <rPr>
        <sz val="11"/>
        <color theme="1"/>
        <rFont val="ＭＳ Ｐゴシック"/>
        <family val="3"/>
        <charset val="128"/>
        <scheme val="minor"/>
      </rPr>
      <t>光海科技有限公司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</si>
  <si>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利口酒;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</si>
  <si>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故里</t>
    </r>
    <r>
      <rPr>
        <sz val="11"/>
        <color theme="1"/>
        <rFont val="ＭＳ Ｐゴシック"/>
        <family val="3"/>
        <charset val="134"/>
        <scheme val="minor"/>
      </rPr>
      <t>谣</t>
    </r>
  </si>
  <si>
    <r>
      <t>徐州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荣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</si>
  <si>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</si>
  <si>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黄灵灵</t>
  </si>
  <si>
    <r>
      <t>葡萄酒;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果酒（含酒精）; 烈酒;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</si>
  <si>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GOLFCLOVER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</si>
  <si>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伏特加酒; 白酒</t>
    </r>
  </si>
  <si>
    <t>御井康</t>
  </si>
  <si>
    <t>岳文杰******************</t>
  </si>
  <si>
    <r>
      <t>开胃酒; 米酒; 白干酒（中国白酒）; 甜果酒; 高粱酒; 葡萄酒; 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</si>
  <si>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和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</si>
  <si>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旭</t>
    </r>
  </si>
  <si>
    <r>
      <t xml:space="preserve">葡萄酒; 蜂蜜酒;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</t>
    </r>
  </si>
  <si>
    <t>榜久</t>
  </si>
  <si>
    <r>
      <t xml:space="preserve">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</si>
  <si>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久戈王</t>
  </si>
  <si>
    <r>
      <t>刘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</si>
  <si>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>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草本型利口酒; 米酒; 黄酒</t>
    </r>
  </si>
  <si>
    <t>久戈神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</si>
  <si>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草本型利口酒;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</si>
  <si>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敏盖</t>
    </r>
    <r>
      <rPr>
        <sz val="11"/>
        <color theme="1"/>
        <rFont val="ＭＳ Ｐゴシック"/>
        <family val="3"/>
        <charset val="129"/>
        <scheme val="minor"/>
      </rPr>
      <t>灡</t>
    </r>
    <r>
      <rPr>
        <sz val="11"/>
        <color theme="1"/>
        <rFont val="ＭＳ Ｐゴシック"/>
        <family val="3"/>
        <charset val="128"/>
        <scheme val="minor"/>
      </rPr>
      <t>花</t>
    </r>
  </si>
  <si>
    <r>
      <t>李永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</si>
  <si>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黄酒; 食用酒精;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白酒; 清酒; 汽酒; 高粱酒; 米酒</t>
    </r>
  </si>
  <si>
    <r>
      <t>阖缘</t>
    </r>
    <r>
      <rPr>
        <sz val="11"/>
        <color theme="1"/>
        <rFont val="ＭＳ Ｐゴシック"/>
        <family val="3"/>
        <charset val="128"/>
        <scheme val="minor"/>
      </rPr>
      <t>奥盛</t>
    </r>
  </si>
  <si>
    <r>
      <t>葡萄酒; 米酒;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</si>
  <si>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饮</t>
    </r>
    <r>
      <rPr>
        <sz val="11"/>
        <color theme="1"/>
        <rFont val="ＭＳ Ｐゴシック"/>
        <family val="3"/>
        <charset val="128"/>
        <scheme val="minor"/>
      </rPr>
      <t>必思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</si>
  <si>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葡萄酒; 餐后酒（利口酒和烈酒）;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</si>
  <si>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事裕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喜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</si>
  <si>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利林</t>
    </r>
  </si>
  <si>
    <r>
      <t>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甜果酒;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梅酒; 葡萄酒</t>
    </r>
  </si>
  <si>
    <r>
      <t>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葡萄酒;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</t>
    </r>
  </si>
  <si>
    <t>FRADIOS 弗雷迪奥</t>
  </si>
  <si>
    <r>
      <t>伏特加酒;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</si>
  <si>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禾哥</t>
  </si>
  <si>
    <t>何敦富</t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</si>
  <si>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清酒; 白酒; 威士忌; 甜酒; 佐餐酒;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</si>
  <si>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私</t>
    </r>
    <r>
      <rPr>
        <sz val="11"/>
        <color theme="1"/>
        <rFont val="ＭＳ Ｐゴシック"/>
        <family val="3"/>
        <charset val="134"/>
        <scheme val="minor"/>
      </rPr>
      <t>见</t>
    </r>
  </si>
  <si>
    <r>
      <t>何小</t>
    </r>
    <r>
      <rPr>
        <sz val="11"/>
        <color theme="1"/>
        <rFont val="ＭＳ Ｐゴシック"/>
        <family val="3"/>
        <charset val="134"/>
        <scheme val="minor"/>
      </rPr>
      <t>剑</t>
    </r>
  </si>
  <si>
    <r>
      <t>清酒（日本米酒）;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米酒; 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黄酒</t>
    </r>
  </si>
  <si>
    <t>吉造福</t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</si>
  <si>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葡萄酒; 黄酒;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</t>
    </r>
  </si>
  <si>
    <t>GOLFFAIRY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</si>
  <si>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烈酒; 威士忌; 伏特加酒; 白酒; 葡萄酒;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</si>
  <si>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GOLFFUTURE</t>
  </si>
  <si>
    <r>
      <t xml:space="preserve">朗姆酒;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</si>
  <si>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红帜</t>
  </si>
  <si>
    <t>先国映</t>
  </si>
  <si>
    <r>
      <t xml:space="preserve">米酒; 白酒; 高粱酒;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黄酒; 果酒; 食用酒精</t>
    </r>
  </si>
  <si>
    <t>蜀岩隆</t>
  </si>
  <si>
    <t>林莅富</t>
  </si>
  <si>
    <r>
      <t xml:space="preserve">果酒（含酒精）; 黄酒; 米酒; 白酒; 食用酒精; 葡萄酒;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白酒</t>
    </r>
  </si>
  <si>
    <r>
      <t>记</t>
    </r>
    <r>
      <rPr>
        <sz val="11"/>
        <color theme="1"/>
        <rFont val="ＭＳ Ｐゴシック"/>
        <family val="3"/>
        <charset val="128"/>
        <scheme val="minor"/>
      </rPr>
      <t>邑</t>
    </r>
  </si>
  <si>
    <r>
      <t>杭州光阳国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</si>
  <si>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白酒; 清酒（日本米酒）;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威士忌</t>
    </r>
  </si>
  <si>
    <r>
      <t>定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安</t>
    </r>
  </si>
  <si>
    <t>林雨晴</t>
  </si>
  <si>
    <r>
      <t>果酒（含酒精）; 餐后酒（利口酒和烈酒）;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葡萄酒</t>
    </r>
  </si>
  <si>
    <r>
      <t>存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安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</si>
  <si>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果酒（含酒精）; 餐后酒（利口酒和烈酒）;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</si>
  <si>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莫邀</t>
  </si>
  <si>
    <r>
      <t>张</t>
    </r>
    <r>
      <rPr>
        <sz val="11"/>
        <color theme="1"/>
        <rFont val="ＭＳ Ｐゴシック"/>
        <family val="3"/>
        <charset val="128"/>
        <scheme val="minor"/>
      </rPr>
      <t>航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</si>
  <si>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蒸煮提取物（利口酒和烈酒）; 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</si>
  <si>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萃湾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</si>
  <si>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葆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</si>
  <si>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葡萄酒; 威士忌;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</si>
  <si>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GOLFPANTHER</t>
  </si>
  <si>
    <r>
      <t>威士忌; 伏特加酒;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朗姆酒; 烈酒;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</si>
  <si>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凛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</si>
  <si>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李志</t>
    </r>
    <r>
      <rPr>
        <sz val="11"/>
        <color theme="1"/>
        <rFont val="ＭＳ Ｐゴシック"/>
        <family val="3"/>
        <charset val="134"/>
        <scheme val="minor"/>
      </rPr>
      <t>伦</t>
    </r>
  </si>
  <si>
    <r>
      <t>果酒（含酒精）; 汽酒; 清酒;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葡萄酒</t>
    </r>
  </si>
  <si>
    <r>
      <t>壮戟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宝</t>
    </r>
  </si>
  <si>
    <t>广西泉味坊食品配送有限公司</t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</si>
  <si>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黄酒;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青稞酒; 朗姆酒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</si>
  <si>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里八</t>
    </r>
    <r>
      <rPr>
        <sz val="11"/>
        <color theme="1"/>
        <rFont val="ＭＳ Ｐゴシック"/>
        <family val="3"/>
        <charset val="134"/>
        <scheme val="minor"/>
      </rPr>
      <t>乡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</si>
  <si>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晓锦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</si>
  <si>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食用酒精; 薄荷酒; 青稞酒; 白酒; 威士忌; 果酒（含酒精）; 葡萄酒; 清酒（日本米酒）; 黄酒</t>
    </r>
  </si>
  <si>
    <r>
      <t>柏木</t>
    </r>
    <r>
      <rPr>
        <sz val="11"/>
        <color theme="1"/>
        <rFont val="ＭＳ Ｐゴシック"/>
        <family val="3"/>
        <charset val="134"/>
        <scheme val="minor"/>
      </rPr>
      <t>澜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</si>
  <si>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大芹威士忌蒸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厂有限公司</t>
    </r>
  </si>
  <si>
    <r>
      <t>米酒; 葡萄酒;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清酒（日本米酒）;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伏特加酒</t>
    </r>
  </si>
  <si>
    <r>
      <t>珍</t>
    </r>
    <r>
      <rPr>
        <sz val="11"/>
        <color theme="1"/>
        <rFont val="ＭＳ Ｐゴシック"/>
        <family val="3"/>
        <charset val="134"/>
        <scheme val="minor"/>
      </rPr>
      <t>欢乐</t>
    </r>
  </si>
  <si>
    <r>
      <t>徐浩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</si>
  <si>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葡萄酒;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</si>
  <si>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花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蹊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</si>
  <si>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丰</t>
    </r>
    <r>
      <rPr>
        <sz val="11"/>
        <color theme="1"/>
        <rFont val="ＭＳ Ｐゴシック"/>
        <family val="3"/>
        <charset val="134"/>
        <scheme val="minor"/>
      </rPr>
      <t>临门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</si>
  <si>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清酒（日本米酒）</t>
    </r>
  </si>
  <si>
    <r>
      <t>阑</t>
    </r>
    <r>
      <rPr>
        <sz val="11"/>
        <color theme="1"/>
        <rFont val="ＭＳ Ｐゴシック"/>
        <family val="3"/>
        <charset val="128"/>
        <scheme val="minor"/>
      </rPr>
      <t>德醉</t>
    </r>
  </si>
  <si>
    <r>
      <t>惠州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浮金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生奇楠中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</si>
  <si>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威士忌</t>
    </r>
  </si>
  <si>
    <r>
      <t>鹭</t>
    </r>
    <r>
      <rPr>
        <sz val="11"/>
        <color theme="1"/>
        <rFont val="ＭＳ Ｐゴシック"/>
        <family val="3"/>
        <charset val="128"/>
        <scheme val="minor"/>
      </rPr>
      <t>馨</t>
    </r>
    <r>
      <rPr>
        <sz val="11"/>
        <color theme="1"/>
        <rFont val="ＭＳ Ｐゴシック"/>
        <family val="3"/>
        <charset val="134"/>
        <scheme val="minor"/>
      </rPr>
      <t>缘</t>
    </r>
  </si>
  <si>
    <t>左超</t>
  </si>
  <si>
    <r>
      <t>葡萄酒; 果酒（含酒精）; 蜂蜜酒; 白酒;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</si>
  <si>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峰池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屯</t>
    </r>
  </si>
  <si>
    <r>
      <t>云南峰池玉品酒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</si>
  <si>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蜂蜜酒; 黄酒; 葡萄酒;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</si>
  <si>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众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达</t>
    </r>
  </si>
  <si>
    <r>
      <t>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餐后酒（利口酒和烈酒）;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</si>
  <si>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锭</t>
    </r>
    <r>
      <rPr>
        <sz val="11"/>
        <color theme="1"/>
        <rFont val="ＭＳ Ｐゴシック"/>
        <family val="3"/>
        <charset val="128"/>
        <scheme val="minor"/>
      </rPr>
      <t>·元宝</t>
    </r>
    <r>
      <rPr>
        <sz val="11"/>
        <color theme="1"/>
        <rFont val="ＭＳ Ｐゴシック"/>
        <family val="3"/>
        <charset val="134"/>
        <scheme val="minor"/>
      </rPr>
      <t>枫</t>
    </r>
  </si>
  <si>
    <r>
      <t>杭州元宝</t>
    </r>
    <r>
      <rPr>
        <sz val="11"/>
        <color theme="1"/>
        <rFont val="ＭＳ Ｐゴシック"/>
        <family val="3"/>
        <charset val="134"/>
        <scheme val="minor"/>
      </rPr>
      <t>枫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</si>
  <si>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清酒（日本米酒）</t>
    </r>
  </si>
  <si>
    <t>ABCH</t>
  </si>
  <si>
    <t>李江利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</si>
  <si>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米酒; 伏特加酒; 果酒（含酒精）</t>
    </r>
  </si>
  <si>
    <t>GO</t>
  </si>
  <si>
    <r>
      <t>周展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</si>
  <si>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>威士忌; 米酒; 果酒（含酒精）;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汽酒;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</si>
  <si>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OLICENSE 欧莱香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</si>
  <si>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餐后酒（利口酒和烈酒）; 葡萄酒; 威士忌; 白酒; 果酒（含酒精）; 伏特加酒;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</si>
  <si>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风</t>
    </r>
    <r>
      <rPr>
        <sz val="11"/>
        <color theme="1"/>
        <rFont val="ＭＳ Ｐゴシック"/>
        <family val="3"/>
        <charset val="128"/>
        <scheme val="minor"/>
      </rPr>
      <t>情</t>
    </r>
    <r>
      <rPr>
        <sz val="11"/>
        <color theme="1"/>
        <rFont val="ＭＳ Ｐゴシック"/>
        <family val="3"/>
        <charset val="134"/>
        <scheme val="minor"/>
      </rPr>
      <t>满陇</t>
    </r>
  </si>
  <si>
    <t>巢谷文化（杭州）有限公司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</si>
  <si>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</si>
  <si>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引礼</t>
  </si>
  <si>
    <t>李志民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</si>
  <si>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</t>
    </r>
  </si>
  <si>
    <t>呼淳</t>
  </si>
  <si>
    <r>
      <t>新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市蒙淳商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</si>
  <si>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主的中式白酒;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白干酒（中国白酒）; 白酒; 烈性干酒</t>
    </r>
  </si>
  <si>
    <t>黔逐</t>
  </si>
  <si>
    <r>
      <t xml:space="preserve">葡萄酒; 高粱酒; 米酒; 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黄酒; 烈酒;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</t>
    </r>
  </si>
  <si>
    <t>留恋清秋</t>
  </si>
  <si>
    <r>
      <t>张</t>
    </r>
    <r>
      <rPr>
        <sz val="11"/>
        <color theme="1"/>
        <rFont val="ＭＳ Ｐゴシック"/>
        <family val="3"/>
        <charset val="128"/>
        <scheme val="minor"/>
      </rPr>
      <t>忠杰</t>
    </r>
  </si>
  <si>
    <r>
      <t>米酒; 葡萄酒; 果酒; 清酒;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</t>
    </r>
  </si>
  <si>
    <t>酒梦思 JEMOOSE</t>
  </si>
  <si>
    <r>
      <t>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餐后酒（利口酒和烈酒）; 葡萄酒; 威士忌;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</si>
  <si>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杏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安</t>
    </r>
  </si>
  <si>
    <r>
      <t>米酒;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</si>
  <si>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t>禾神仙</t>
  </si>
  <si>
    <r>
      <t>张</t>
    </r>
    <r>
      <rPr>
        <sz val="11"/>
        <color theme="1"/>
        <rFont val="ＭＳ Ｐゴシック"/>
        <family val="3"/>
        <charset val="128"/>
        <scheme val="minor"/>
      </rPr>
      <t>依</t>
    </r>
  </si>
  <si>
    <r>
      <t>开胃酒; 威士忌;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果酒; 黄酒</t>
    </r>
  </si>
  <si>
    <r>
      <t>诉</t>
    </r>
    <r>
      <rPr>
        <sz val="11"/>
        <color theme="1"/>
        <rFont val="ＭＳ Ｐゴシック"/>
        <family val="3"/>
        <charset val="128"/>
        <scheme val="minor"/>
      </rPr>
      <t>九州</t>
    </r>
  </si>
  <si>
    <t>彭国富</t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</si>
  <si>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</si>
  <si>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CHEFUN 厨凡</t>
  </si>
  <si>
    <t>康熙微服（中国）有限公司</t>
  </si>
  <si>
    <r>
      <t xml:space="preserve">葡萄酒; 白酒; 黄酒; 青梅酒;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餐后酒（利口酒和烈酒）; 米酒; 果酒（含酒精）</t>
    </r>
  </si>
  <si>
    <r>
      <t>皇沟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韵</t>
    </r>
  </si>
  <si>
    <r>
      <t>河南皇沟酒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</si>
  <si>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利口酒; 果酒（含酒精）; 蒸煮提取物（利口酒和烈酒）</t>
    </r>
  </si>
  <si>
    <t>圣瑞通</t>
  </si>
  <si>
    <r>
      <t>山西圣三德商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</si>
  <si>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开胃酒; 白酒</t>
    </r>
  </si>
  <si>
    <t>MEDNUTRIS</t>
  </si>
  <si>
    <r>
      <t>济</t>
    </r>
    <r>
      <rPr>
        <sz val="11"/>
        <color theme="1"/>
        <rFont val="ＭＳ Ｐゴシック"/>
        <family val="3"/>
        <charset val="128"/>
        <scheme val="minor"/>
      </rPr>
      <t>南科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麦迪食品科技有限公司</t>
    </r>
  </si>
  <si>
    <r>
      <t xml:space="preserve">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朗姆酒; 威士忌; 果酒; 薄荷酒; 开胃酒; 葡萄酒; 伏特加酒</t>
    </r>
  </si>
  <si>
    <r>
      <t>钓</t>
    </r>
    <r>
      <rPr>
        <sz val="11"/>
        <color theme="1"/>
        <rFont val="ＭＳ Ｐゴシック"/>
        <family val="3"/>
        <charset val="128"/>
        <scheme val="minor"/>
      </rPr>
      <t>王匠</t>
    </r>
  </si>
  <si>
    <r>
      <t>苹果酒;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白酒; 葡萄酒; 餐后酒（利口酒和烈酒）</t>
    </r>
  </si>
  <si>
    <t>艾儿帕可</t>
  </si>
  <si>
    <t>柳秀娟</t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</si>
  <si>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黄酒; 白酒; 葡萄酒</t>
    </r>
  </si>
  <si>
    <r>
      <t>广州市羊城光彩事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基金会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</si>
  <si>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黄酒;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开胃酒;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</si>
  <si>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望川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</si>
  <si>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桑健</t>
    </r>
    <r>
      <rPr>
        <sz val="11"/>
        <color theme="1"/>
        <rFont val="ＭＳ Ｐゴシック"/>
        <family val="3"/>
        <charset val="134"/>
        <scheme val="minor"/>
      </rPr>
      <t>栋</t>
    </r>
  </si>
  <si>
    <r>
      <t>果酒（含酒精）; 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米酒</t>
    </r>
  </si>
  <si>
    <t>凤飘</t>
  </si>
  <si>
    <r>
      <t>张</t>
    </r>
    <r>
      <rPr>
        <sz val="11"/>
        <color theme="1"/>
        <rFont val="ＭＳ Ｐゴシック"/>
        <family val="3"/>
        <charset val="128"/>
        <scheme val="minor"/>
      </rPr>
      <t>家</t>
    </r>
    <r>
      <rPr>
        <sz val="11"/>
        <color theme="1"/>
        <rFont val="ＭＳ Ｐゴシック"/>
        <family val="3"/>
        <charset val="134"/>
        <scheme val="minor"/>
      </rPr>
      <t>庆</t>
    </r>
  </si>
  <si>
    <r>
      <t xml:space="preserve">烈酒; 清酒; 白酒;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葡萄酒; 青稞酒; 黄酒; 高粱酒</t>
    </r>
  </si>
  <si>
    <t>澈山海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</si>
  <si>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</si>
  <si>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r>
      <t>春</t>
    </r>
    <r>
      <rPr>
        <sz val="11"/>
        <color theme="1"/>
        <rFont val="ＭＳ Ｐゴシック"/>
        <family val="3"/>
        <charset val="134"/>
        <scheme val="minor"/>
      </rPr>
      <t>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</si>
  <si>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葡萄酒</t>
    </r>
  </si>
  <si>
    <r>
      <t>亿</t>
    </r>
    <r>
      <rPr>
        <sz val="11"/>
        <color theme="1"/>
        <rFont val="ＭＳ Ｐゴシック"/>
        <family val="3"/>
        <charset val="128"/>
        <scheme val="minor"/>
      </rPr>
      <t>店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518</t>
    </r>
  </si>
  <si>
    <t>张艺</t>
  </si>
  <si>
    <r>
      <t xml:space="preserve">烈酒;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黄酒; 果酒（含酒精）; 葡萄酒; 开胃酒</t>
    </r>
  </si>
  <si>
    <t>君中品</t>
  </si>
  <si>
    <r>
      <t>果酒（含酒精）; 白酒; 米酒; 餐后酒（利口酒和烈酒）; 露酒;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</si>
  <si>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ICYNESS</t>
  </si>
  <si>
    <t>李倩雯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</si>
  <si>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威士忌;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开胃酒; 白酒</t>
    </r>
  </si>
  <si>
    <t>帝皇坤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</si>
  <si>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餐后酒（利口酒和烈酒）; 葡萄酒</t>
    </r>
  </si>
  <si>
    <t>虎猫究究</t>
  </si>
  <si>
    <t>成都文物考古研究院</t>
  </si>
  <si>
    <r>
      <t>黄酒;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梅酒; 威士忌; 果酒（含酒精）; 葡萄酒; 白酒; 米酒</t>
    </r>
  </si>
  <si>
    <t>山咀大叔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</si>
  <si>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高粱酒</t>
    </r>
  </si>
  <si>
    <r>
      <t>皇沟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馥</t>
    </r>
  </si>
  <si>
    <r>
      <t>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食用酒精;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</si>
  <si>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梵</t>
    </r>
    <r>
      <rPr>
        <sz val="11"/>
        <color theme="1"/>
        <rFont val="ＭＳ Ｐゴシック"/>
        <family val="3"/>
        <charset val="129"/>
        <scheme val="minor"/>
      </rPr>
      <t>蔻</t>
    </r>
  </si>
  <si>
    <r>
      <t>广州金樽酒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</si>
  <si>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开胃酒; 薄荷酒; 威士忌; 白酒;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</si>
  <si>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皇沟</t>
    </r>
    <r>
      <rPr>
        <sz val="11"/>
        <color theme="1"/>
        <rFont val="ＭＳ Ｐゴシック"/>
        <family val="3"/>
        <charset val="134"/>
        <scheme val="minor"/>
      </rPr>
      <t>汉赋</t>
    </r>
  </si>
  <si>
    <r>
      <t>蒸煮提取物（利口酒和烈酒）; 果酒（含酒精）;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</si>
  <si>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濮十五</t>
  </si>
  <si>
    <r>
      <t>海南周濮投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</si>
  <si>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清酒;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</si>
  <si>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鹿本鹿</t>
  </si>
  <si>
    <r>
      <t>河南中喜佳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品牌运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</si>
  <si>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白酒; 米酒; 威士忌; 清酒; 露酒;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</si>
  <si>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序井</t>
  </si>
  <si>
    <r>
      <t xml:space="preserve">葡萄酒; 青稞酒; 烈酒; 白酒; 清酒; 高粱酒; 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梅酒</t>
    </r>
  </si>
  <si>
    <r>
      <t>围龙</t>
    </r>
    <r>
      <rPr>
        <sz val="11"/>
        <color theme="1"/>
        <rFont val="ＭＳ Ｐゴシック"/>
        <family val="3"/>
        <charset val="128"/>
        <scheme val="minor"/>
      </rPr>
      <t>醉月</t>
    </r>
  </si>
  <si>
    <r>
      <t>梅州市姐婆家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</si>
  <si>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葡萄酒; 米酒; 黄酒</t>
    </r>
  </si>
  <si>
    <r>
      <t>沙漠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湾</t>
    </r>
  </si>
  <si>
    <r>
      <t xml:space="preserve">白酒; 烈酒;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高粱酒;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</si>
  <si>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皇沟御酒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</si>
  <si>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蒸煮提取物（利口酒和烈酒）; 果酒（含酒精）; 利口酒;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</si>
  <si>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赤宴</t>
    </r>
    <r>
      <rPr>
        <sz val="11"/>
        <color theme="1"/>
        <rFont val="ＭＳ Ｐゴシック"/>
        <family val="3"/>
        <charset val="129"/>
        <scheme val="minor"/>
      </rPr>
      <t>怀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</si>
  <si>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餐后酒（利口酒和烈酒）; 露酒;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</si>
  <si>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阿秋</t>
    </r>
  </si>
  <si>
    <t>李秋生</t>
  </si>
  <si>
    <r>
      <t>米酒;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开胃酒; 果酒（含酒精）;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</si>
  <si>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映</t>
    </r>
    <r>
      <rPr>
        <sz val="11"/>
        <color theme="1"/>
        <rFont val="ＭＳ Ｐゴシック"/>
        <family val="3"/>
        <charset val="134"/>
        <scheme val="minor"/>
      </rPr>
      <t>边</t>
    </r>
    <r>
      <rPr>
        <sz val="11"/>
        <color theme="1"/>
        <rFont val="ＭＳ Ｐゴシック"/>
        <family val="3"/>
        <charset val="128"/>
        <scheme val="minor"/>
      </rPr>
      <t>塞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</si>
  <si>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清酒（日本米酒）</t>
    </r>
  </si>
  <si>
    <r>
      <t>悦江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</si>
  <si>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</si>
  <si>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皇沟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宴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</si>
  <si>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利口酒;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</t>
    </r>
  </si>
  <si>
    <r>
      <t>卓依</t>
    </r>
    <r>
      <rPr>
        <sz val="11"/>
        <color theme="1"/>
        <rFont val="ＭＳ Ｐゴシック"/>
        <family val="3"/>
        <charset val="134"/>
        <scheme val="minor"/>
      </rPr>
      <t>玛</t>
    </r>
  </si>
  <si>
    <t>戴政平</t>
  </si>
  <si>
    <r>
      <t>果酒（含酒精）; 苹果酒;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</si>
  <si>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乱雨</t>
  </si>
  <si>
    <t>李健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</si>
  <si>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汽酒; 威士忌; 果酒（含酒精）;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</si>
  <si>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t>岳香思</t>
  </si>
  <si>
    <r>
      <t>岳普湖</t>
    </r>
    <r>
      <rPr>
        <sz val="11"/>
        <color theme="1"/>
        <rFont val="ＭＳ Ｐゴシック"/>
        <family val="3"/>
        <charset val="134"/>
        <scheme val="minor"/>
      </rPr>
      <t>县农业</t>
    </r>
    <r>
      <rPr>
        <sz val="11"/>
        <color theme="1"/>
        <rFont val="ＭＳ Ｐゴシック"/>
        <family val="3"/>
        <charset val="128"/>
        <scheme val="minor"/>
      </rPr>
      <t>水利投</t>
    </r>
    <r>
      <rPr>
        <sz val="11"/>
        <color theme="1"/>
        <rFont val="ＭＳ Ｐゴシック"/>
        <family val="3"/>
        <charset val="134"/>
        <scheme val="minor"/>
      </rPr>
      <t>资发</t>
    </r>
    <r>
      <rPr>
        <sz val="11"/>
        <color theme="1"/>
        <rFont val="ＭＳ Ｐゴシック"/>
        <family val="3"/>
        <charset val="128"/>
        <scheme val="minor"/>
      </rPr>
      <t>展集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</si>
  <si>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黄酒; 蜂蜜酒; 朗姆酒;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茴香酒（利口酒）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</si>
  <si>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岱河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</si>
  <si>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永娟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</si>
  <si>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</t>
    </r>
  </si>
  <si>
    <t>名粮禧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</si>
  <si>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露酒; 苹果酒; 餐后酒（利口酒和烈酒）;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</si>
  <si>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匠九方</t>
  </si>
  <si>
    <r>
      <t>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威士忌;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</si>
  <si>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宗朴养生有限公司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</si>
  <si>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果酒（含酒精）; 葡萄酒; 露酒;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</si>
  <si>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酩仕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</si>
  <si>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果酒（含酒精）; 葡萄酒;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</si>
  <si>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满</t>
    </r>
    <r>
      <rPr>
        <sz val="11"/>
        <color theme="1"/>
        <rFont val="ＭＳ Ｐゴシック"/>
        <family val="3"/>
        <charset val="128"/>
        <scheme val="minor"/>
      </rPr>
      <t>里好</t>
    </r>
    <r>
      <rPr>
        <sz val="11"/>
        <color theme="1"/>
        <rFont val="ＭＳ Ｐゴシック"/>
        <family val="3"/>
        <charset val="134"/>
        <scheme val="minor"/>
      </rPr>
      <t>锡</t>
    </r>
  </si>
  <si>
    <r>
      <t xml:space="preserve">果酒（含酒精）; 伏特加酒;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米酒;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</si>
  <si>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小果状</t>
  </si>
  <si>
    <t>明思危</t>
  </si>
  <si>
    <r>
      <t>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梅酒;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白酒; 米酒; 黄酒; 葡萄酒</t>
    </r>
  </si>
  <si>
    <r>
      <t>酩之</t>
    </r>
    <r>
      <rPr>
        <sz val="11"/>
        <color theme="1"/>
        <rFont val="ＭＳ Ｐゴシック"/>
        <family val="3"/>
        <charset val="134"/>
        <scheme val="minor"/>
      </rPr>
      <t>巅</t>
    </r>
  </si>
  <si>
    <r>
      <t xml:space="preserve">果酒（含酒精）; 葡萄酒; 清酒（日本米酒）;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</si>
  <si>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匠品坤</t>
  </si>
  <si>
    <r>
      <t>米酒;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白酒; 露酒;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</t>
    </r>
  </si>
  <si>
    <t>久匠清花</t>
  </si>
  <si>
    <r>
      <t>果酒（含酒精）; 苹果酒; 露酒; 餐后酒（利口酒和烈酒）;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</si>
  <si>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桦</t>
    </r>
    <r>
      <rPr>
        <sz val="11"/>
        <color theme="1"/>
        <rFont val="ＭＳ Ｐゴシック"/>
        <family val="3"/>
        <charset val="128"/>
        <scheme val="minor"/>
      </rPr>
      <t>根泉</t>
    </r>
  </si>
  <si>
    <t>杨轶</t>
  </si>
  <si>
    <r>
      <t>薄荷酒; 餐后酒（利口酒和烈酒）;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威士忌;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</t>
    </r>
  </si>
  <si>
    <r>
      <t>壮志</t>
    </r>
    <r>
      <rPr>
        <sz val="11"/>
        <color theme="1"/>
        <rFont val="ＭＳ Ｐゴシック"/>
        <family val="3"/>
        <charset val="134"/>
        <scheme val="minor"/>
      </rPr>
      <t>浔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</si>
  <si>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</si>
  <si>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香云染</t>
  </si>
  <si>
    <r>
      <t>广州博慧欣</t>
    </r>
    <r>
      <rPr>
        <sz val="11"/>
        <color theme="1"/>
        <rFont val="ＭＳ Ｐゴシック"/>
        <family val="3"/>
        <charset val="134"/>
        <scheme val="minor"/>
      </rPr>
      <t>澜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</si>
  <si>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白酒; 黄酒; 果酒（含酒精）;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威士忌</t>
    </r>
  </si>
  <si>
    <t>樊玉峰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</si>
  <si>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清酒（日本米酒）;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果酒（含酒精）</t>
    </r>
  </si>
  <si>
    <r>
      <t>玉液</t>
    </r>
    <r>
      <rPr>
        <sz val="11"/>
        <color theme="1"/>
        <rFont val="ＭＳ Ｐゴシック"/>
        <family val="3"/>
        <charset val="134"/>
        <scheme val="minor"/>
      </rPr>
      <t>玺</t>
    </r>
  </si>
  <si>
    <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苹果酒; 果酒（含酒精）; 白酒; 米酒; 露酒</t>
    </r>
  </si>
  <si>
    <r>
      <t>皇沟</t>
    </r>
    <r>
      <rPr>
        <sz val="11"/>
        <color theme="1"/>
        <rFont val="ＭＳ Ｐゴシック"/>
        <family val="3"/>
        <charset val="134"/>
        <scheme val="minor"/>
      </rPr>
      <t>汉风</t>
    </r>
  </si>
  <si>
    <r>
      <t>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</si>
  <si>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BASEMO</t>
  </si>
  <si>
    <t>深圳市倍魔科技有限公司</t>
  </si>
  <si>
    <r>
      <t xml:space="preserve">白酒; 威士忌; 果酒; 葡萄酒;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</si>
  <si>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晋山川</t>
  </si>
  <si>
    <r>
      <t>吕</t>
    </r>
    <r>
      <rPr>
        <sz val="11"/>
        <color theme="1"/>
        <rFont val="ＭＳ Ｐゴシック"/>
        <family val="3"/>
        <charset val="128"/>
        <scheme val="minor"/>
      </rPr>
      <t>宗金</t>
    </r>
  </si>
  <si>
    <r>
      <t xml:space="preserve">果酒（含酒精）; 烈酒; 开胃酒;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白酒</t>
    </r>
  </si>
  <si>
    <r>
      <t>又</t>
    </r>
    <r>
      <rPr>
        <sz val="11"/>
        <color theme="1"/>
        <rFont val="ＭＳ Ｐゴシック"/>
        <family val="3"/>
        <charset val="134"/>
        <scheme val="minor"/>
      </rPr>
      <t>芜</t>
    </r>
    <r>
      <rPr>
        <sz val="11"/>
        <color theme="1"/>
        <rFont val="ＭＳ Ｐゴシック"/>
        <family val="3"/>
        <charset val="128"/>
        <scheme val="minor"/>
      </rPr>
      <t>迪</t>
    </r>
  </si>
  <si>
    <r>
      <t>佛山市中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仁合科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</si>
  <si>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米酒; 白酒;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</si>
  <si>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桐茗台</t>
  </si>
  <si>
    <r>
      <t>甘</t>
    </r>
    <r>
      <rPr>
        <sz val="11"/>
        <color theme="1"/>
        <rFont val="ＭＳ Ｐゴシック"/>
        <family val="3"/>
        <charset val="134"/>
        <scheme val="minor"/>
      </rPr>
      <t>肃</t>
    </r>
    <r>
      <rPr>
        <sz val="11"/>
        <color theme="1"/>
        <rFont val="ＭＳ Ｐゴシック"/>
        <family val="3"/>
        <charset val="128"/>
        <scheme val="minor"/>
      </rPr>
      <t>桐茗台茶文化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</si>
  <si>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米酒;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黄酒; 清酒;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</si>
  <si>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曲上</t>
    </r>
    <r>
      <rPr>
        <sz val="11"/>
        <color theme="1"/>
        <rFont val="ＭＳ Ｐゴシック"/>
        <family val="3"/>
        <charset val="134"/>
        <scheme val="minor"/>
      </rPr>
      <t>桥</t>
    </r>
    <r>
      <rPr>
        <sz val="11"/>
        <color theme="1"/>
        <rFont val="ＭＳ Ｐゴシック"/>
        <family val="3"/>
        <charset val="128"/>
        <scheme val="minor"/>
      </rPr>
      <t>都</t>
    </r>
  </si>
  <si>
    <t>田阿美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</si>
  <si>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开胃酒; 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</si>
  <si>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云心山山</t>
  </si>
  <si>
    <r>
      <t>苏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过</t>
    </r>
    <r>
      <rPr>
        <sz val="11"/>
        <color theme="1"/>
        <rFont val="ＭＳ Ｐゴシック"/>
        <family val="3"/>
        <charset val="128"/>
        <scheme val="minor"/>
      </rPr>
      <t>云楼文旅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</si>
  <si>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黄酒; 烈酒; 果酒（含酒精）; 清酒;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露酒; 葡萄酒</t>
    </r>
  </si>
  <si>
    <t>吴自欣</t>
  </si>
  <si>
    <r>
      <t>米酒; 白酒; 青稞酒;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果酒;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</si>
  <si>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一老牛</t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</si>
  <si>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明</t>
    </r>
    <r>
      <rPr>
        <sz val="11"/>
        <color theme="1"/>
        <rFont val="ＭＳ Ｐゴシック"/>
        <family val="3"/>
        <charset val="134"/>
        <scheme val="minor"/>
      </rPr>
      <t>发贸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</si>
  <si>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果酒（含酒精）; 高粱酒;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伏特加酒</t>
    </r>
  </si>
  <si>
    <t>壮元仕</t>
  </si>
  <si>
    <t>王桂</t>
  </si>
  <si>
    <r>
      <t xml:space="preserve">白酒;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清酒（日本米酒）</t>
    </r>
  </si>
  <si>
    <t>元泰悦年</t>
  </si>
  <si>
    <r>
      <t>元泰健康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(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河)有限公司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</si>
  <si>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汽酒; 甜酒;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果酒（含酒精）; 葡萄酒</t>
    </r>
  </si>
  <si>
    <t>君徒</t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</si>
  <si>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颖</t>
    </r>
    <r>
      <rPr>
        <sz val="11"/>
        <color theme="1"/>
        <rFont val="ＭＳ Ｐゴシック"/>
        <family val="3"/>
        <charset val="128"/>
        <scheme val="minor"/>
      </rPr>
      <t>怡酒</t>
    </r>
    <r>
      <rPr>
        <sz val="11"/>
        <color theme="1"/>
        <rFont val="ＭＳ Ｐゴシック"/>
        <family val="3"/>
        <charset val="134"/>
        <scheme val="minor"/>
      </rPr>
      <t>类经营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</si>
  <si>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葡萄酒; 果酒（含酒精）;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米酒; 白酒; 高粱酒; 清酒</t>
    </r>
  </si>
  <si>
    <r>
      <t>叶二</t>
    </r>
    <r>
      <rPr>
        <sz val="11"/>
        <color theme="1"/>
        <rFont val="ＭＳ Ｐゴシック"/>
        <family val="3"/>
        <charset val="134"/>
        <scheme val="minor"/>
      </rPr>
      <t>婶</t>
    </r>
  </si>
  <si>
    <r>
      <t>内蒙古叶二餐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</si>
  <si>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开胃酒; 汽酒; 果酒; 米酒;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</si>
  <si>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梁公婆</t>
  </si>
  <si>
    <t>周棉林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</si>
  <si>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</t>
    </r>
  </si>
  <si>
    <r>
      <t>堰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和</t>
    </r>
  </si>
  <si>
    <r>
      <t>吕</t>
    </r>
    <r>
      <rPr>
        <sz val="11"/>
        <color theme="1"/>
        <rFont val="ＭＳ Ｐゴシック"/>
        <family val="3"/>
        <charset val="128"/>
        <scheme val="minor"/>
      </rPr>
      <t>自朝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</si>
  <si>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白干酒（中国白酒）;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</si>
  <si>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铁</t>
    </r>
    <r>
      <rPr>
        <sz val="11"/>
        <color theme="1"/>
        <rFont val="ＭＳ Ｐゴシック"/>
        <family val="3"/>
        <charset val="128"/>
        <scheme val="minor"/>
      </rPr>
      <t>瓶巷</t>
    </r>
  </si>
  <si>
    <r>
      <t>露酒; 烈酒;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米酒; 白酒</t>
    </r>
  </si>
  <si>
    <t>禾大嘴</t>
  </si>
  <si>
    <r>
      <t>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米酒; 果酒（含酒精）</t>
    </r>
  </si>
  <si>
    <t>世良久</t>
  </si>
  <si>
    <t>唐超</t>
  </si>
  <si>
    <r>
      <t>威士忌; 白酒; 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</t>
    </r>
  </si>
  <si>
    <t>南山衡</t>
  </si>
  <si>
    <r>
      <t>四川天下</t>
    </r>
    <r>
      <rPr>
        <sz val="11"/>
        <color theme="1"/>
        <rFont val="ＭＳ Ｐゴシック"/>
        <family val="3"/>
        <charset val="134"/>
        <scheme val="minor"/>
      </rPr>
      <t>战</t>
    </r>
    <r>
      <rPr>
        <sz val="11"/>
        <color theme="1"/>
        <rFont val="ＭＳ Ｐゴシック"/>
        <family val="3"/>
        <charset val="128"/>
        <scheme val="minor"/>
      </rPr>
      <t>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</si>
  <si>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</si>
  <si>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陶君子</t>
  </si>
  <si>
    <r>
      <t>海南酌云网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</si>
  <si>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开胃酒;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</si>
  <si>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禹王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</si>
  <si>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灵石神池酒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</si>
  <si>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青稞酒; 黄酒;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开胃酒; 清酒（日本米酒）; 葡萄酒; 食用酒精</t>
    </r>
  </si>
  <si>
    <t>喜窖世佳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</si>
  <si>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开胃酒; 葡萄酒; 黄酒; 烈酒; 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果酒（含酒精）</t>
    </r>
  </si>
  <si>
    <r>
      <t>和香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</si>
  <si>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和</t>
    </r>
    <r>
      <rPr>
        <sz val="11"/>
        <color theme="1"/>
        <rFont val="ＭＳ Ｐゴシック"/>
        <family val="3"/>
        <charset val="134"/>
        <scheme val="minor"/>
      </rPr>
      <t>顺县</t>
    </r>
    <r>
      <rPr>
        <sz val="11"/>
        <color theme="1"/>
        <rFont val="ＭＳ Ｐゴシック"/>
        <family val="3"/>
        <charset val="128"/>
        <scheme val="minor"/>
      </rPr>
      <t>和众</t>
    </r>
    <r>
      <rPr>
        <sz val="11"/>
        <color theme="1"/>
        <rFont val="ＭＳ Ｐゴシック"/>
        <family val="3"/>
        <charset val="134"/>
        <scheme val="minor"/>
      </rPr>
      <t>农产</t>
    </r>
    <r>
      <rPr>
        <sz val="11"/>
        <color theme="1"/>
        <rFont val="ＭＳ Ｐゴシック"/>
        <family val="3"/>
        <charset val="128"/>
        <scheme val="minor"/>
      </rPr>
      <t>品加工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</si>
  <si>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 xml:space="preserve">蒸煮提取物（利口酒和烈酒）; 食用酒精;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</t>
    </r>
  </si>
  <si>
    <t>ODAY</t>
  </si>
  <si>
    <r>
      <t>深圳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白科技有限公司</t>
    </r>
  </si>
  <si>
    <r>
      <t xml:space="preserve">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</si>
  <si>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卿如月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</si>
  <si>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</si>
  <si>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顾</t>
    </r>
    <r>
      <rPr>
        <sz val="11"/>
        <color theme="1"/>
        <rFont val="ＭＳ Ｐゴシック"/>
        <family val="3"/>
        <charset val="128"/>
        <scheme val="minor"/>
      </rPr>
      <t>得其</t>
    </r>
  </si>
  <si>
    <r>
      <t xml:space="preserve">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果酒（含酒精）; 露酒; 清酒; 米酒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</si>
  <si>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利湾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</si>
  <si>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利信达商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</si>
  <si>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苹果酒;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朗姆酒; 清酒（日本米酒）</t>
    </r>
  </si>
  <si>
    <r>
      <t>知醇御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淳</t>
    </r>
  </si>
  <si>
    <t>程建松</t>
  </si>
  <si>
    <r>
      <t>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白酒</t>
    </r>
  </si>
  <si>
    <t>十居</t>
  </si>
  <si>
    <r>
      <t>果酒（含酒精）; 伏特加酒; 白酒; 米酒;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高粱酒;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</si>
  <si>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玉</t>
    </r>
    <r>
      <rPr>
        <sz val="11"/>
        <color theme="1"/>
        <rFont val="ＭＳ Ｐゴシック"/>
        <family val="3"/>
        <charset val="134"/>
        <scheme val="minor"/>
      </rPr>
      <t>澜</t>
    </r>
    <r>
      <rPr>
        <sz val="11"/>
        <color theme="1"/>
        <rFont val="ＭＳ Ｐゴシック"/>
        <family val="3"/>
        <charset val="128"/>
        <scheme val="minor"/>
      </rPr>
      <t>湖</t>
    </r>
  </si>
  <si>
    <r>
      <t>莫耀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</si>
  <si>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白酒;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五加皮酒（中国混合烈酒）; 露酒</t>
    </r>
  </si>
  <si>
    <r>
      <t>临</t>
    </r>
    <r>
      <rPr>
        <sz val="11"/>
        <color theme="1"/>
        <rFont val="ＭＳ Ｐゴシック"/>
        <family val="3"/>
        <charset val="128"/>
        <scheme val="minor"/>
      </rPr>
      <t>研通（天津）科技有限公司</t>
    </r>
  </si>
  <si>
    <r>
      <t xml:space="preserve">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青稞酒; 果酒（含酒精）; 葡萄酒</t>
    </r>
  </si>
  <si>
    <r>
      <t>君</t>
    </r>
    <r>
      <rPr>
        <sz val="11"/>
        <color theme="1"/>
        <rFont val="ＭＳ Ｐゴシック"/>
        <family val="3"/>
        <charset val="134"/>
        <scheme val="minor"/>
      </rPr>
      <t>购</t>
    </r>
  </si>
  <si>
    <r>
      <t xml:space="preserve">清酒;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黄酒; 白酒; 米酒</t>
    </r>
  </si>
  <si>
    <t>楠遇知己 NAN MEETS A CONFIDANT</t>
  </si>
  <si>
    <r>
      <t>全球浙商俱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部有限公司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</si>
  <si>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</t>
    </r>
  </si>
  <si>
    <t>禾小嘴</t>
  </si>
  <si>
    <r>
      <t xml:space="preserve">黄酒; 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</si>
  <si>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兖</t>
    </r>
  </si>
  <si>
    <r>
      <t xml:space="preserve">清酒; 葡萄酒;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果酒（含酒精）; 黄酒; 米酒; 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</si>
  <si>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汝品人生</t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</si>
  <si>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米酒; 黄酒; 葡萄酒;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</t>
    </r>
  </si>
  <si>
    <t>牛三皮</t>
  </si>
  <si>
    <r>
      <t>王秀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*****************X</t>
    </r>
  </si>
  <si>
    <r>
      <t xml:space="preserve">威士忌; 米酒;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</si>
  <si>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思本熊</t>
  </si>
  <si>
    <r>
      <t>四川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宇佳品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</si>
  <si>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清酒（日本米酒）;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</t>
    </r>
  </si>
  <si>
    <r>
      <t>纤亿</t>
    </r>
    <r>
      <rPr>
        <sz val="11"/>
        <color theme="1"/>
        <rFont val="ＭＳ Ｐゴシック"/>
        <family val="3"/>
        <charset val="128"/>
        <scheme val="minor"/>
      </rPr>
      <t>容</t>
    </r>
  </si>
  <si>
    <r>
      <t>嘉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康美化</t>
    </r>
    <r>
      <rPr>
        <sz val="11"/>
        <color theme="1"/>
        <rFont val="ＭＳ Ｐゴシック"/>
        <family val="3"/>
        <charset val="134"/>
        <scheme val="minor"/>
      </rPr>
      <t>妆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</si>
  <si>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</si>
  <si>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茉</t>
    </r>
    <r>
      <rPr>
        <sz val="11"/>
        <color theme="1"/>
        <rFont val="ＭＳ Ｐゴシック"/>
        <family val="3"/>
        <charset val="134"/>
        <scheme val="minor"/>
      </rPr>
      <t>颐</t>
    </r>
  </si>
  <si>
    <r>
      <t>北京鑫帝酒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</si>
  <si>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苦味酒; 白酒; 果酒（含酒精）; 梨酒; 酸酒（低等葡萄酒）; 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薄荷酒</t>
    </r>
  </si>
  <si>
    <r>
      <t>洋</t>
    </r>
    <r>
      <rPr>
        <sz val="11"/>
        <color theme="1"/>
        <rFont val="ＭＳ Ｐゴシック"/>
        <family val="3"/>
        <charset val="134"/>
        <scheme val="minor"/>
      </rPr>
      <t>铭</t>
    </r>
    <r>
      <rPr>
        <sz val="11"/>
        <color theme="1"/>
        <rFont val="ＭＳ Ｐゴシック"/>
        <family val="3"/>
        <charset val="128"/>
        <scheme val="minor"/>
      </rPr>
      <t>旺</t>
    </r>
  </si>
  <si>
    <r>
      <t>深圳市鼎</t>
    </r>
    <r>
      <rPr>
        <sz val="11"/>
        <color theme="1"/>
        <rFont val="ＭＳ Ｐゴシック"/>
        <family val="3"/>
        <charset val="134"/>
        <scheme val="minor"/>
      </rPr>
      <t>铭</t>
    </r>
    <r>
      <rPr>
        <sz val="11"/>
        <color theme="1"/>
        <rFont val="ＭＳ Ｐゴシック"/>
        <family val="3"/>
        <charset val="128"/>
        <scheme val="minor"/>
      </rPr>
      <t>盛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</si>
  <si>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开胃酒;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</si>
  <si>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鑫玉川子</t>
  </si>
  <si>
    <r>
      <t>玉川子（福建）茶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州分公司</t>
    </r>
  </si>
  <si>
    <r>
      <t xml:space="preserve">草本型利口酒;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苦艾酒; 黄酒; 青稞酒; 果酒（含酒精）; 米酒; 葡萄酒; 白酒</t>
    </r>
  </si>
  <si>
    <t>何以唯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</si>
  <si>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果酒（含酒精）;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</si>
  <si>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九姑</t>
    </r>
    <r>
      <rPr>
        <sz val="11"/>
        <color theme="1"/>
        <rFont val="ＭＳ Ｐゴシック"/>
        <family val="3"/>
        <charset val="134"/>
        <scheme val="minor"/>
      </rPr>
      <t>爷</t>
    </r>
  </si>
  <si>
    <r>
      <t xml:space="preserve">葡萄酒; 白酒; 果酒（含酒精）;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</si>
  <si>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贝</t>
    </r>
    <r>
      <rPr>
        <sz val="11"/>
        <color theme="1"/>
        <rFont val="ＭＳ Ｐゴシック"/>
        <family val="3"/>
        <charset val="128"/>
        <scheme val="minor"/>
      </rPr>
      <t>丘山水</t>
    </r>
  </si>
  <si>
    <r>
      <t>南宁园博园旅游开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</si>
  <si>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</si>
  <si>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阿</t>
    </r>
    <r>
      <rPr>
        <sz val="11"/>
        <color theme="1"/>
        <rFont val="ＭＳ Ｐゴシック"/>
        <family val="3"/>
        <charset val="134"/>
        <scheme val="minor"/>
      </rPr>
      <t>细</t>
    </r>
    <r>
      <rPr>
        <sz val="11"/>
        <color theme="1"/>
        <rFont val="ＭＳ Ｐゴシック"/>
        <family val="3"/>
        <charset val="128"/>
        <scheme val="minor"/>
      </rPr>
      <t>恋歌</t>
    </r>
  </si>
  <si>
    <t>云南歌莱蒙生物科技有限公司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</si>
  <si>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高粱酒; 葡萄酒; 米酒;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</si>
  <si>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楠得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</si>
  <si>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果酒（含酒精）; 米酒;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</si>
  <si>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云易福</t>
  </si>
  <si>
    <t>王才金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</si>
  <si>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黄酒;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梨酒; 葡萄酒</t>
    </r>
  </si>
  <si>
    <t>通葡鼎峯</t>
  </si>
  <si>
    <t>通化葡萄酒股份有限公司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</si>
  <si>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利口酒; 露酒; 白酒; 烈酒; 果酒（含酒精）; 威士忌</t>
    </r>
  </si>
  <si>
    <r>
      <t xml:space="preserve">露酒; 果酒（含酒精）; 葡萄酒;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</si>
  <si>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浭</t>
  </si>
  <si>
    <r>
      <t>唐山</t>
    </r>
    <r>
      <rPr>
        <sz val="11"/>
        <color theme="1"/>
        <rFont val="ＭＳ Ｐゴシック"/>
        <family val="3"/>
        <charset val="129"/>
        <scheme val="minor"/>
      </rPr>
      <t>浭</t>
    </r>
    <r>
      <rPr>
        <sz val="11"/>
        <color theme="1"/>
        <rFont val="ＭＳ Ｐゴシック"/>
        <family val="3"/>
        <charset val="128"/>
        <scheme val="minor"/>
      </rPr>
      <t>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</si>
  <si>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利口酒;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</t>
    </r>
  </si>
  <si>
    <t>仁里灵泉</t>
  </si>
  <si>
    <t>唐文雍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</si>
  <si>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青梅酒; 高粱酒;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</si>
  <si>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蘑菇姐妹</t>
  </si>
  <si>
    <r>
      <t xml:space="preserve">威士忌;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露酒; 米酒;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</si>
  <si>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大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新港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</si>
  <si>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范大学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</si>
  <si>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蒸煮提取物（利口酒和烈酒）; 开胃酒;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黄酒</t>
    </r>
  </si>
  <si>
    <t>望君出</t>
  </si>
  <si>
    <r>
      <t>北京紫金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夏酒文化有限公司</t>
    </r>
  </si>
  <si>
    <r>
      <t>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白干酒（中国白酒）; 葡萄酒;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清酒（日本米酒）; 米酒; 黄酒</t>
    </r>
  </si>
  <si>
    <r>
      <t>天富</t>
    </r>
    <r>
      <rPr>
        <sz val="11"/>
        <color theme="1"/>
        <rFont val="ＭＳ Ｐゴシック"/>
        <family val="3"/>
        <charset val="134"/>
        <scheme val="minor"/>
      </rPr>
      <t>临诃</t>
    </r>
    <r>
      <rPr>
        <sz val="11"/>
        <color theme="1"/>
        <rFont val="ＭＳ Ｐゴシック"/>
        <family val="3"/>
        <charset val="128"/>
        <scheme val="minor"/>
      </rPr>
      <t>王</t>
    </r>
  </si>
  <si>
    <r>
      <t>内蒙古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窕商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</si>
  <si>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烈酒; 米酒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</si>
  <si>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庭九襄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</si>
  <si>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粮（海南）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</si>
  <si>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汽酒;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米酒</t>
    </r>
  </si>
  <si>
    <r>
      <t>凡思空</t>
    </r>
    <r>
      <rPr>
        <sz val="11"/>
        <color theme="1"/>
        <rFont val="ＭＳ Ｐゴシック"/>
        <family val="3"/>
        <charset val="134"/>
        <scheme val="minor"/>
      </rPr>
      <t>间</t>
    </r>
  </si>
  <si>
    <r>
      <t>中山市凡思空</t>
    </r>
    <r>
      <rPr>
        <sz val="11"/>
        <color theme="1"/>
        <rFont val="ＭＳ Ｐゴシック"/>
        <family val="3"/>
        <charset val="134"/>
        <scheme val="minor"/>
      </rPr>
      <t>间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</si>
  <si>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米酒; 果酒（含酒精）; 清酒（日本米酒）; 白酒;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</si>
  <si>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t>刘文叔</t>
  </si>
  <si>
    <r>
      <t>胡</t>
    </r>
    <r>
      <rPr>
        <sz val="11"/>
        <color theme="1"/>
        <rFont val="ＭＳ Ｐゴシック"/>
        <family val="3"/>
        <charset val="134"/>
        <scheme val="minor"/>
      </rPr>
      <t>积</t>
    </r>
    <r>
      <rPr>
        <sz val="11"/>
        <color theme="1"/>
        <rFont val="ＭＳ Ｐゴシック"/>
        <family val="3"/>
        <charset val="128"/>
        <scheme val="minor"/>
      </rPr>
      <t>杰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</si>
  <si>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甜酒; 白酒</t>
    </r>
  </si>
  <si>
    <r>
      <t>吾比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</si>
  <si>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自然之美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</si>
  <si>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</si>
  <si>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半生玖</t>
    </r>
    <r>
      <rPr>
        <sz val="11"/>
        <color theme="1"/>
        <rFont val="ＭＳ Ｐゴシック"/>
        <family val="3"/>
        <charset val="134"/>
        <scheme val="minor"/>
      </rPr>
      <t>酝</t>
    </r>
  </si>
  <si>
    <r>
      <t>哈</t>
    </r>
    <r>
      <rPr>
        <sz val="11"/>
        <color theme="1"/>
        <rFont val="ＭＳ Ｐゴシック"/>
        <family val="3"/>
        <charset val="134"/>
        <scheme val="minor"/>
      </rPr>
      <t>尔滨问</t>
    </r>
    <r>
      <rPr>
        <sz val="11"/>
        <color theme="1"/>
        <rFont val="ＭＳ Ｐゴシック"/>
        <family val="3"/>
        <charset val="128"/>
        <scheme val="minor"/>
      </rPr>
      <t>天品牌管理有限公司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</si>
  <si>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露酒;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</si>
  <si>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半生君潭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</si>
  <si>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青稞酒; 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</si>
  <si>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飞</t>
    </r>
    <r>
      <rPr>
        <sz val="11"/>
        <color theme="1"/>
        <rFont val="ＭＳ Ｐゴシック"/>
        <family val="3"/>
        <charset val="128"/>
        <scheme val="minor"/>
      </rPr>
      <t>小度</t>
    </r>
  </si>
  <si>
    <t>何一漾</t>
  </si>
  <si>
    <r>
      <t>食用酒精;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</si>
  <si>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德源翔</t>
  </si>
  <si>
    <r>
      <t>孙</t>
    </r>
    <r>
      <rPr>
        <sz val="11"/>
        <color theme="1"/>
        <rFont val="ＭＳ Ｐゴシック"/>
        <family val="3"/>
        <charset val="128"/>
        <scheme val="minor"/>
      </rPr>
      <t>俊国</t>
    </r>
  </si>
  <si>
    <r>
      <t>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烈酒; 甜酒; 米酒</t>
    </r>
  </si>
  <si>
    <t>壤溪春</t>
  </si>
  <si>
    <r>
      <t>冯</t>
    </r>
    <r>
      <rPr>
        <sz val="11"/>
        <color theme="1"/>
        <rFont val="ＭＳ Ｐゴシック"/>
        <family val="3"/>
        <charset val="128"/>
        <scheme val="minor"/>
      </rPr>
      <t>三中******************</t>
    </r>
  </si>
  <si>
    <t>蜂蜜酒; 白酒; 米酒</t>
  </si>
  <si>
    <r>
      <t>张</t>
    </r>
    <r>
      <rPr>
        <sz val="11"/>
        <color theme="1"/>
        <rFont val="ＭＳ Ｐゴシック"/>
        <family val="3"/>
        <charset val="128"/>
        <scheme val="minor"/>
      </rPr>
      <t>家塞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淇</t>
    </r>
  </si>
  <si>
    <r>
      <t>甘月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</si>
  <si>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</si>
  <si>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巧墩子</t>
  </si>
  <si>
    <r>
      <t>甘</t>
    </r>
    <r>
      <rPr>
        <sz val="11"/>
        <color theme="1"/>
        <rFont val="ＭＳ Ｐゴシック"/>
        <family val="3"/>
        <charset val="134"/>
        <scheme val="minor"/>
      </rPr>
      <t>肃</t>
    </r>
    <r>
      <rPr>
        <sz val="11"/>
        <color theme="1"/>
        <rFont val="ＭＳ Ｐゴシック"/>
        <family val="3"/>
        <charset val="128"/>
        <scheme val="minor"/>
      </rPr>
      <t>素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</si>
  <si>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t>果酒（含酒精）; 蜂蜜酒; 汽酒; 清酒（日本米酒）; 食用酒精; 黄酒; 米酒; 葡萄酒; 白酒; 威士忌</t>
  </si>
  <si>
    <r>
      <t>潮植馨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</si>
  <si>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漳州市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星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</si>
  <si>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果酒（含酒精）;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</si>
  <si>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若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好礼</t>
    </r>
  </si>
  <si>
    <r>
      <t>瑞金市微若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</si>
  <si>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白酒; 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高粱酒; 米酒</t>
    </r>
  </si>
  <si>
    <t>禾御呈</t>
  </si>
  <si>
    <t>程占勇</t>
  </si>
  <si>
    <r>
      <t>食用酒精;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</si>
  <si>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半生御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</si>
  <si>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 xml:space="preserve">白酒;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果酒（含酒精）;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露酒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</si>
  <si>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半生醇悦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</si>
  <si>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</t>
    </r>
  </si>
  <si>
    <t>CHATEAU DE VILLEMARTIN</t>
  </si>
  <si>
    <r>
      <t>英佩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（上海）酒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</si>
  <si>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汽酒; 利口酒;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</si>
  <si>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箔菲</t>
    </r>
    <r>
      <rPr>
        <sz val="11"/>
        <color theme="1"/>
        <rFont val="ＭＳ Ｐゴシック"/>
        <family val="3"/>
        <charset val="134"/>
        <scheme val="minor"/>
      </rPr>
      <t>亚</t>
    </r>
  </si>
  <si>
    <r>
      <t>宁波酒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</si>
  <si>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酸酒（低等葡萄酒）; 蒸煮提取物（利口酒和烈酒）; 葡萄酒; 利口酒; 果酒（含酒精）; 黄酒</t>
    </r>
  </si>
  <si>
    <r>
      <t>瑞品川徽</t>
    </r>
    <r>
      <rPr>
        <sz val="11"/>
        <color theme="1"/>
        <rFont val="ＭＳ Ｐゴシック"/>
        <family val="3"/>
        <charset val="134"/>
        <scheme val="minor"/>
      </rPr>
      <t>贡</t>
    </r>
  </si>
  <si>
    <r>
      <t>合肥市瑞品川酒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</si>
  <si>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高粱酒;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白干酒（中国白酒）; 白酒; 草莓酒;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</t>
    </r>
  </si>
  <si>
    <r>
      <t>海</t>
    </r>
    <r>
      <rPr>
        <sz val="11"/>
        <color theme="1"/>
        <rFont val="ＭＳ Ｐゴシック"/>
        <family val="3"/>
        <charset val="134"/>
        <scheme val="minor"/>
      </rPr>
      <t>经汇</t>
    </r>
    <r>
      <rPr>
        <sz val="11"/>
        <color theme="1"/>
        <rFont val="ＭＳ Ｐゴシック"/>
        <family val="3"/>
        <charset val="128"/>
        <scheme val="minor"/>
      </rPr>
      <t>智</t>
    </r>
  </si>
  <si>
    <r>
      <t>烟台城丰房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管理有限公司牟平分公司</t>
    </r>
  </si>
  <si>
    <r>
      <t>开胃酒; 餐后酒（利口酒和烈酒）;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威士忌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</si>
  <si>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半生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仁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</si>
  <si>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青稞酒; 食用酒精;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</si>
  <si>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城信通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园投</t>
    </r>
    <r>
      <rPr>
        <sz val="11"/>
        <color theme="1"/>
        <rFont val="ＭＳ Ｐゴシック"/>
        <family val="3"/>
        <charset val="134"/>
        <scheme val="minor"/>
      </rPr>
      <t>资发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</si>
  <si>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汽酒; 葡萄酒;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</si>
  <si>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农</t>
    </r>
    <r>
      <rPr>
        <sz val="11"/>
        <color theme="1"/>
        <rFont val="ＭＳ Ｐゴシック"/>
        <family val="3"/>
        <charset val="128"/>
        <scheme val="minor"/>
      </rPr>
      <t>姆客</t>
    </r>
  </si>
  <si>
    <r>
      <t>深圳万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零售集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</si>
  <si>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黄酒; 白酒; 食用酒精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</si>
  <si>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半生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酌</t>
    </r>
  </si>
  <si>
    <r>
      <t xml:space="preserve">白酒; 露酒; 食用酒精; 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</si>
  <si>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酒都的流杯意 LIUBEIYI OF THE WINE CAPITAL</t>
  </si>
  <si>
    <r>
      <t>四川宜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流杯池酒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</si>
  <si>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</si>
  <si>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漠北豪情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</si>
  <si>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葡萄酒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</si>
  <si>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大科技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新港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</si>
  <si>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开胃酒;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蒸煮提取物（利口酒和烈酒）;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</si>
  <si>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范大学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新港</t>
    </r>
  </si>
  <si>
    <r>
      <t xml:space="preserve">果酒（含酒精）; 白酒; 葡萄酒;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蒸煮提取物（利口酒和烈酒）;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</si>
  <si>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半生君品</t>
    </r>
  </si>
  <si>
    <r>
      <t>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露酒; 青稞酒; 果酒（含酒精）; 黄酒; 白酒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</si>
  <si>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半生喜悦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</si>
  <si>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食用酒精;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露酒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</si>
  <si>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半生醺</t>
    </r>
    <r>
      <rPr>
        <sz val="11"/>
        <color theme="1"/>
        <rFont val="ＭＳ Ｐゴシック"/>
        <family val="3"/>
        <charset val="134"/>
        <scheme val="minor"/>
      </rPr>
      <t>觅</t>
    </r>
  </si>
  <si>
    <r>
      <t>白酒; 食用酒精;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</si>
  <si>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WUYANGLIFANG</t>
  </si>
  <si>
    <t>福州五洋立方食品有限公司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</si>
  <si>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甜果酒; 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白酒; 高粱酒;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</si>
  <si>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夷七孝</t>
    </r>
  </si>
  <si>
    <r>
      <t>孔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(山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)酒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</si>
  <si>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薄荷酒;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</si>
  <si>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绿</t>
    </r>
    <r>
      <rPr>
        <sz val="11"/>
        <color theme="1"/>
        <rFont val="ＭＳ Ｐゴシック"/>
        <family val="3"/>
        <charset val="128"/>
        <scheme val="minor"/>
      </rPr>
      <t>香悦</t>
    </r>
  </si>
  <si>
    <r>
      <t>莫仕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</si>
  <si>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烈酒; 甜酒;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</t>
    </r>
  </si>
  <si>
    <t>玖克里里</t>
  </si>
  <si>
    <r>
      <t>罗</t>
    </r>
    <r>
      <rPr>
        <sz val="11"/>
        <color theme="1"/>
        <rFont val="ＭＳ Ｐゴシック"/>
        <family val="3"/>
        <charset val="129"/>
        <scheme val="minor"/>
      </rPr>
      <t>榆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</si>
  <si>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烈酒; 清酒; 日本梅子酒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</si>
  <si>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半生今喜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</si>
  <si>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白酒; 青稞酒;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</si>
  <si>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半生酉趣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</si>
  <si>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食用酒精;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露酒; 果酒（含酒精）;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</si>
  <si>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庄主拉</t>
  </si>
  <si>
    <r>
      <t>固安圣拉菲酒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</si>
  <si>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白葡萄酒; 葡萄酒; 起泡白葡萄酒;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</si>
  <si>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范大学科技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新港</t>
    </r>
  </si>
  <si>
    <r>
      <t xml:space="preserve">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蒸煮提取物（利口酒和烈酒）; 开胃酒; 果酒（含酒精）; 白酒</t>
    </r>
  </si>
  <si>
    <r>
      <t>小</t>
    </r>
    <r>
      <rPr>
        <sz val="11"/>
        <color theme="1"/>
        <rFont val="ＭＳ Ｐゴシック"/>
        <family val="3"/>
        <charset val="134"/>
        <scheme val="minor"/>
      </rPr>
      <t>爱蓝蓝</t>
    </r>
  </si>
  <si>
    <t>湖南捍味食品科技有限公司</t>
  </si>
  <si>
    <r>
      <t>蒸煮提取物（利口酒和烈酒）; 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食用酒精; 伏特加酒; 烈酒</t>
    </r>
  </si>
  <si>
    <t>禾上呈</t>
  </si>
  <si>
    <r>
      <t>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</si>
  <si>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吉</t>
    </r>
    <r>
      <rPr>
        <sz val="11"/>
        <color theme="1"/>
        <rFont val="ＭＳ Ｐゴシック"/>
        <family val="3"/>
        <charset val="134"/>
        <scheme val="minor"/>
      </rPr>
      <t>浓</t>
    </r>
    <r>
      <rPr>
        <sz val="11"/>
        <color theme="1"/>
        <rFont val="ＭＳ Ｐゴシック"/>
        <family val="3"/>
        <charset val="128"/>
        <scheme val="minor"/>
      </rPr>
      <t>王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</si>
  <si>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红军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</si>
  <si>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青稞酒; 白酒; 伏特加酒;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利口酒;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</si>
  <si>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匡</t>
    </r>
    <r>
      <rPr>
        <sz val="11"/>
        <color theme="1"/>
        <rFont val="ＭＳ Ｐゴシック"/>
        <family val="3"/>
        <charset val="134"/>
        <scheme val="minor"/>
      </rPr>
      <t>鸽</t>
    </r>
  </si>
  <si>
    <t>匡德金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</si>
  <si>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威士忌;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果酒（含酒精）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</si>
  <si>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半生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今</t>
    </r>
  </si>
  <si>
    <r>
      <t xml:space="preserve">食用酒精;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</si>
  <si>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半生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承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</si>
  <si>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青稞酒; 食用酒精;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</si>
  <si>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运潭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</si>
  <si>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运潭酒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</si>
  <si>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</t>
    </r>
  </si>
  <si>
    <t>漠品世佳</t>
  </si>
  <si>
    <r>
      <t>刘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玲</t>
    </r>
  </si>
  <si>
    <r>
      <t>黄酒; 烈酒; 米酒; 葡萄酒;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威士忌; 清酒</t>
    </r>
  </si>
  <si>
    <t>巴蜀融派</t>
  </si>
  <si>
    <r>
      <t>四川省荣</t>
    </r>
    <r>
      <rPr>
        <sz val="11"/>
        <color theme="1"/>
        <rFont val="ＭＳ Ｐゴシック"/>
        <family val="3"/>
        <charset val="134"/>
        <scheme val="minor"/>
      </rPr>
      <t>创记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</si>
  <si>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葡萄酒; 威士忌; 高粱酒;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黄酒; 汽酒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</si>
  <si>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鸽觅语</t>
    </r>
  </si>
  <si>
    <r>
      <t>南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</si>
  <si>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 xml:space="preserve">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白酒; 汽酒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</si>
  <si>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唐舞</t>
    </r>
  </si>
  <si>
    <r>
      <t>深圳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心牛文化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</si>
  <si>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 xml:space="preserve">白酒; 果酒（含酒精）;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</t>
    </r>
  </si>
  <si>
    <t>心易灵</t>
  </si>
  <si>
    <r>
      <t>单</t>
    </r>
    <r>
      <rPr>
        <sz val="11"/>
        <color theme="1"/>
        <rFont val="ＭＳ Ｐゴシック"/>
        <family val="3"/>
        <charset val="128"/>
        <scheme val="minor"/>
      </rPr>
      <t>杰</t>
    </r>
  </si>
  <si>
    <r>
      <t>水果汽酒; 米酒;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苹果酒; 黄酒</t>
    </r>
  </si>
  <si>
    <r>
      <t>上海南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区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材医</t>
    </r>
    <r>
      <rPr>
        <sz val="11"/>
        <color theme="1"/>
        <rFont val="ＭＳ Ｐゴシック"/>
        <family val="3"/>
        <charset val="134"/>
        <scheme val="minor"/>
      </rPr>
      <t>药总</t>
    </r>
    <r>
      <rPr>
        <sz val="11"/>
        <color theme="1"/>
        <rFont val="ＭＳ Ｐゴシック"/>
        <family val="3"/>
        <charset val="128"/>
        <scheme val="minor"/>
      </rPr>
      <t>公司</t>
    </r>
  </si>
  <si>
    <r>
      <t>葡萄酒;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伏特加酒;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黄酒; 果酒（含酒精）;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含酒精的气泡水;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</si>
  <si>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米小</t>
    </r>
    <r>
      <rPr>
        <sz val="11"/>
        <color theme="1"/>
        <rFont val="ＭＳ Ｐゴシック"/>
        <family val="3"/>
        <charset val="134"/>
        <scheme val="minor"/>
      </rPr>
      <t>乌</t>
    </r>
  </si>
  <si>
    <r>
      <t>福建省百越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</si>
  <si>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梅酒;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白酒; 佐餐酒;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</si>
  <si>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太影地卯卯</t>
  </si>
  <si>
    <r>
      <t>宁波又甜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</si>
  <si>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清酒; 黄酒; 蜂蜜酒; 威士忌;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</si>
  <si>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白媳</t>
    </r>
    <r>
      <rPr>
        <sz val="11"/>
        <color theme="1"/>
        <rFont val="ＭＳ Ｐゴシック"/>
        <family val="3"/>
        <charset val="134"/>
        <scheme val="minor"/>
      </rPr>
      <t>妇</t>
    </r>
  </si>
  <si>
    <r>
      <t>刘志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</si>
  <si>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白酒; 甜酒; 果酒; 米酒; 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清酒; 葡萄酒; 梅酒; 蜂蜜酒</t>
    </r>
  </si>
  <si>
    <r>
      <t>宋荷君</t>
    </r>
    <r>
      <rPr>
        <sz val="11"/>
        <color theme="1"/>
        <rFont val="ＭＳ Ｐゴシック"/>
        <family val="3"/>
        <charset val="134"/>
        <scheme val="minor"/>
      </rPr>
      <t>莲</t>
    </r>
  </si>
  <si>
    <r>
      <t>福建中</t>
    </r>
    <r>
      <rPr>
        <sz val="11"/>
        <color theme="1"/>
        <rFont val="ＭＳ Ｐゴシック"/>
        <family val="3"/>
        <charset val="134"/>
        <scheme val="minor"/>
      </rPr>
      <t>莲</t>
    </r>
    <r>
      <rPr>
        <sz val="11"/>
        <color theme="1"/>
        <rFont val="ＭＳ Ｐゴシック"/>
        <family val="3"/>
        <charset val="128"/>
        <scheme val="minor"/>
      </rPr>
      <t>兆荷投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</si>
  <si>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</t>
    </r>
  </si>
  <si>
    <t>盛衡川</t>
  </si>
  <si>
    <r>
      <t>盛衡川（上海）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</si>
  <si>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清酒（日本米酒）; 苦味酒;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</si>
  <si>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太影地日富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</si>
  <si>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清酒; 白酒</t>
    </r>
  </si>
  <si>
    <t>晚匠坊</t>
  </si>
  <si>
    <r>
      <t>深圳恒泰丰生</t>
    </r>
    <r>
      <rPr>
        <sz val="11"/>
        <color theme="1"/>
        <rFont val="ＭＳ Ｐゴシック"/>
        <family val="3"/>
        <charset val="134"/>
        <scheme val="minor"/>
      </rPr>
      <t>态产业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</si>
  <si>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米酒; 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</si>
  <si>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北京体智美德教育科技有限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</si>
  <si>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白酒; 威士忌; 蜂蜜酒; 苹果酒;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</si>
  <si>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人和</t>
    </r>
    <r>
      <rPr>
        <sz val="11"/>
        <color theme="1"/>
        <rFont val="ＭＳ Ｐゴシック"/>
        <family val="3"/>
        <charset val="134"/>
        <scheme val="minor"/>
      </rPr>
      <t>码头</t>
    </r>
  </si>
  <si>
    <r>
      <t>卢</t>
    </r>
    <r>
      <rPr>
        <sz val="11"/>
        <color theme="1"/>
        <rFont val="ＭＳ Ｐゴシック"/>
        <family val="3"/>
        <charset val="128"/>
        <scheme val="minor"/>
      </rPr>
      <t>奇芬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</si>
  <si>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黄酒; 食用酒精; 威士忌;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</t>
    </r>
  </si>
  <si>
    <r>
      <t>帝酒天成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心</t>
    </r>
  </si>
  <si>
    <r>
      <t>南京源夫</t>
    </r>
    <r>
      <rPr>
        <sz val="11"/>
        <color theme="1"/>
        <rFont val="ＭＳ Ｐゴシック"/>
        <family val="3"/>
        <charset val="134"/>
        <scheme val="minor"/>
      </rPr>
      <t>农产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</si>
  <si>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 xml:space="preserve">白酒; 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露酒</t>
    </r>
  </si>
  <si>
    <r>
      <t>汇</t>
    </r>
    <r>
      <rPr>
        <sz val="11"/>
        <color theme="1"/>
        <rFont val="ＭＳ Ｐゴシック"/>
        <family val="3"/>
        <charset val="128"/>
        <scheme val="minor"/>
      </rPr>
      <t>丰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</si>
  <si>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>北京新</t>
    </r>
    <r>
      <rPr>
        <sz val="11"/>
        <color theme="1"/>
        <rFont val="ＭＳ Ｐゴシック"/>
        <family val="3"/>
        <charset val="134"/>
        <scheme val="minor"/>
      </rPr>
      <t>华传</t>
    </r>
    <r>
      <rPr>
        <sz val="11"/>
        <color theme="1"/>
        <rFont val="ＭＳ Ｐゴシック"/>
        <family val="3"/>
        <charset val="128"/>
        <scheme val="minor"/>
      </rPr>
      <t>志文化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</si>
  <si>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烈酒; 白干酒（中国白酒）; 高粱酒;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</si>
  <si>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太影地月昌</t>
  </si>
  <si>
    <r>
      <t>黄酒; 威士忌; 果酒;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</si>
  <si>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玉酌</t>
    </r>
    <r>
      <rPr>
        <sz val="11"/>
        <color theme="1"/>
        <rFont val="ＭＳ Ｐゴシック"/>
        <family val="3"/>
        <charset val="134"/>
        <scheme val="minor"/>
      </rPr>
      <t>蕴</t>
    </r>
  </si>
  <si>
    <t>周昌武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</si>
  <si>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清酒（日本米酒）; 葡萄酒; 食用酒精</t>
    </r>
  </si>
  <si>
    <t>北莽</t>
  </si>
  <si>
    <t>王小敏</t>
  </si>
  <si>
    <r>
      <t xml:space="preserve">青稞酒; 清酒; 米酒; 白酒; 葡萄酒; 黄酒; 食用酒精; 烈酒;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</si>
  <si>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法拉</t>
    </r>
  </si>
  <si>
    <t>周国富</t>
  </si>
  <si>
    <r>
      <t>清酒（日本米酒）; 葡萄酒; 黄酒; 杜松子酒;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</si>
  <si>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莫</t>
    </r>
    <r>
      <rPr>
        <sz val="11"/>
        <color theme="1"/>
        <rFont val="ＭＳ Ｐゴシック"/>
        <family val="3"/>
        <charset val="134"/>
        <scheme val="minor"/>
      </rPr>
      <t>负</t>
    </r>
    <r>
      <rPr>
        <sz val="11"/>
        <color theme="1"/>
        <rFont val="ＭＳ Ｐゴシック"/>
        <family val="3"/>
        <charset val="128"/>
        <scheme val="minor"/>
      </rPr>
      <t>大槐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</si>
  <si>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食用酒精</t>
    </r>
  </si>
  <si>
    <r>
      <t>上海智赫文化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</si>
  <si>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米酒; 白酒; 黄酒; 葡萄酒</t>
    </r>
  </si>
  <si>
    <r>
      <t>正</t>
    </r>
    <r>
      <rPr>
        <sz val="11"/>
        <color theme="1"/>
        <rFont val="ＭＳ Ｐゴシック"/>
        <family val="3"/>
        <charset val="134"/>
        <scheme val="minor"/>
      </rPr>
      <t>贤</t>
    </r>
    <r>
      <rPr>
        <sz val="11"/>
        <color theme="1"/>
        <rFont val="ＭＳ Ｐゴシック"/>
        <family val="3"/>
        <charset val="128"/>
        <scheme val="minor"/>
      </rPr>
      <t>德</t>
    </r>
  </si>
  <si>
    <r>
      <t>白酒; 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威士忌;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</t>
    </r>
  </si>
  <si>
    <t>潘圣园</t>
  </si>
  <si>
    <r>
      <t>吴江区震</t>
    </r>
    <r>
      <rPr>
        <sz val="11"/>
        <color theme="1"/>
        <rFont val="ＭＳ Ｐゴシック"/>
        <family val="3"/>
        <charset val="134"/>
        <scheme val="minor"/>
      </rPr>
      <t>泽镇</t>
    </r>
    <r>
      <rPr>
        <sz val="11"/>
        <color theme="1"/>
        <rFont val="ＭＳ Ｐゴシック"/>
        <family val="3"/>
        <charset val="128"/>
        <scheme val="minor"/>
      </rPr>
      <t>潘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酒厂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</si>
  <si>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苹果酒; 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高粱酒; 白酒; 米酒; 梨酒</t>
    </r>
  </si>
  <si>
    <r>
      <t>汇</t>
    </r>
    <r>
      <rPr>
        <sz val="11"/>
        <color theme="1"/>
        <rFont val="ＭＳ Ｐゴシック"/>
        <family val="3"/>
        <charset val="128"/>
        <scheme val="minor"/>
      </rPr>
      <t>丰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</si>
  <si>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</t>
    </r>
  </si>
  <si>
    <t>鑫北荒</t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</si>
  <si>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烈性干酒;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高粱酒;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甜酒; 白酒</t>
    </r>
  </si>
  <si>
    <t>尚拓普</t>
  </si>
  <si>
    <t>福州高新区九煜科技有限公司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</si>
  <si>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梨酒; 黄酒; 米酒</t>
    </r>
  </si>
  <si>
    <t>潘正立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</si>
  <si>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果酒; 米酒; 白酒; 黄酒;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</si>
  <si>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台州市香</t>
    </r>
    <r>
      <rPr>
        <sz val="11"/>
        <color theme="1"/>
        <rFont val="ＭＳ Ｐゴシック"/>
        <family val="3"/>
        <charset val="134"/>
        <scheme val="minor"/>
      </rPr>
      <t>闺</t>
    </r>
    <r>
      <rPr>
        <sz val="11"/>
        <color theme="1"/>
        <rFont val="ＭＳ Ｐゴシック"/>
        <family val="3"/>
        <charset val="128"/>
        <scheme val="minor"/>
      </rPr>
      <t>夫人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</si>
  <si>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米酒;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</si>
  <si>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郡宁</t>
  </si>
  <si>
    <t>四川明郡新材料有限公司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</si>
  <si>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</si>
  <si>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艾</t>
    </r>
    <r>
      <rPr>
        <sz val="11"/>
        <color theme="1"/>
        <rFont val="ＭＳ Ｐゴシック"/>
        <family val="3"/>
        <charset val="129"/>
        <scheme val="minor"/>
      </rPr>
      <t>藯</t>
    </r>
  </si>
  <si>
    <r>
      <t>养慕文化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</si>
  <si>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甜酒; 葡萄酒; 白酒; 清酒;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开胃酒; 米酒; 黄酒</t>
    </r>
  </si>
  <si>
    <r>
      <t>明</t>
    </r>
    <r>
      <rPr>
        <sz val="11"/>
        <color theme="1"/>
        <rFont val="ＭＳ Ｐゴシック"/>
        <family val="3"/>
        <charset val="134"/>
        <scheme val="minor"/>
      </rPr>
      <t>鉴</t>
    </r>
    <r>
      <rPr>
        <sz val="11"/>
        <color theme="1"/>
        <rFont val="ＭＳ Ｐゴシック"/>
        <family val="3"/>
        <charset val="128"/>
        <scheme val="minor"/>
      </rPr>
      <t>露雨</t>
    </r>
  </si>
  <si>
    <r>
      <t>北京法元悟道咨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</si>
  <si>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黄酒; 烈酒; 果酒;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食用酒精</t>
    </r>
  </si>
  <si>
    <r>
      <t>亿</t>
    </r>
    <r>
      <rPr>
        <sz val="11"/>
        <color theme="1"/>
        <rFont val="ＭＳ Ｐゴシック"/>
        <family val="3"/>
        <charset val="128"/>
        <scheme val="minor"/>
      </rPr>
      <t>科美猴王</t>
    </r>
  </si>
  <si>
    <r>
      <t>亿</t>
    </r>
    <r>
      <rPr>
        <sz val="11"/>
        <color theme="1"/>
        <rFont val="ＭＳ Ｐゴシック"/>
        <family val="3"/>
        <charset val="128"/>
        <scheme val="minor"/>
      </rPr>
      <t>科美猴王（海南）数字科技有限公司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</si>
  <si>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黄酒;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</si>
  <si>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银</t>
    </r>
    <r>
      <rPr>
        <sz val="11"/>
        <color theme="1"/>
        <rFont val="ＭＳ Ｐゴシック"/>
        <family val="3"/>
        <charset val="128"/>
        <scheme val="minor"/>
      </rPr>
      <t>泱</t>
    </r>
  </si>
  <si>
    <t>周家勇</t>
  </si>
  <si>
    <r>
      <t>清酒（日本米酒）;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开胃酒;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</si>
  <si>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与溪</t>
    </r>
    <r>
      <rPr>
        <sz val="11"/>
        <color theme="1"/>
        <rFont val="ＭＳ Ｐゴシック"/>
        <family val="3"/>
        <charset val="134"/>
        <scheme val="minor"/>
      </rPr>
      <t>邻</t>
    </r>
  </si>
  <si>
    <r>
      <t>宿迁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岸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作科技有限公司</t>
    </r>
  </si>
  <si>
    <r>
      <t xml:space="preserve">苹果酒; 草莓酒; 薄荷酒;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果酒; 高粱酒; 葡萄酒; 白酒; 米酒</t>
    </r>
  </si>
  <si>
    <t>八宝六棱井</t>
  </si>
  <si>
    <r>
      <t>孙</t>
    </r>
    <r>
      <rPr>
        <sz val="11"/>
        <color theme="1"/>
        <rFont val="ＭＳ Ｐゴシック"/>
        <family val="3"/>
        <charset val="128"/>
        <scheme val="minor"/>
      </rPr>
      <t>全文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</si>
  <si>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葡萄酒; 青稞酒;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汽酒; 白干酒（中国白酒）;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</si>
  <si>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匠百万</t>
  </si>
  <si>
    <t>姚双全</t>
  </si>
  <si>
    <r>
      <t>开胃酒;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果酒; 白酒</t>
    </r>
  </si>
  <si>
    <t>喜常寿</t>
  </si>
  <si>
    <r>
      <t>屠占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</si>
  <si>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</si>
  <si>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春美里</t>
  </si>
  <si>
    <r>
      <t>四川三宜数智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</si>
  <si>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含酒精的气泡水;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</t>
    </r>
  </si>
  <si>
    <r>
      <t>台阿</t>
    </r>
    <r>
      <rPr>
        <sz val="11"/>
        <color theme="1"/>
        <rFont val="ＭＳ Ｐゴシック"/>
        <family val="3"/>
        <charset val="134"/>
        <scheme val="minor"/>
      </rPr>
      <t>锅</t>
    </r>
  </si>
  <si>
    <t>威海金航鑫信息科技有限公司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</si>
  <si>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朗姆酒;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米酒;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</si>
  <si>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露雨明</t>
    </r>
    <r>
      <rPr>
        <sz val="11"/>
        <color theme="1"/>
        <rFont val="ＭＳ Ｐゴシック"/>
        <family val="3"/>
        <charset val="134"/>
        <scheme val="minor"/>
      </rPr>
      <t>鉴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</si>
  <si>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食用酒精; 果酒; 黄酒; 白酒; 米酒; 烈酒; 葡萄酒</t>
    </r>
  </si>
  <si>
    <r>
      <t>四川省天府粮</t>
    </r>
    <r>
      <rPr>
        <sz val="11"/>
        <color theme="1"/>
        <rFont val="ＭＳ Ｐゴシック"/>
        <family val="3"/>
        <charset val="134"/>
        <scheme val="minor"/>
      </rPr>
      <t>仓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</si>
  <si>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含酒精的气泡水;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</si>
  <si>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丹</t>
    </r>
    <r>
      <rPr>
        <sz val="11"/>
        <color theme="1"/>
        <rFont val="ＭＳ Ｐゴシック"/>
        <family val="3"/>
        <charset val="134"/>
        <scheme val="minor"/>
      </rPr>
      <t>凤县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</si>
  <si>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 xml:space="preserve">葡萄酒; 果酒（含酒精）;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白葡萄酒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</si>
  <si>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中喜</t>
    </r>
  </si>
  <si>
    <r>
      <t>吴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</si>
  <si>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清酒（日本米酒）; 米酒; 白酒; 梅酒;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</si>
  <si>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中匚</t>
  </si>
  <si>
    <r>
      <t>孙长</t>
    </r>
    <r>
      <rPr>
        <sz val="11"/>
        <color theme="1"/>
        <rFont val="ＭＳ Ｐゴシック"/>
        <family val="3"/>
        <charset val="128"/>
        <scheme val="minor"/>
      </rPr>
      <t>亮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</si>
  <si>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汽酒; 食用酒精; 高粱酒; 清酒; 白酒</t>
    </r>
  </si>
  <si>
    <r>
      <t>黑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潭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</si>
  <si>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薄荷酒;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葡萄酒; 黄酒</t>
    </r>
  </si>
  <si>
    <t>六席</t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</si>
  <si>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</si>
  <si>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r>
      <t>沧</t>
    </r>
    <r>
      <rPr>
        <sz val="11"/>
        <color theme="1"/>
        <rFont val="ＭＳ Ｐゴシック"/>
        <family val="3"/>
        <charset val="128"/>
        <scheme val="minor"/>
      </rPr>
      <t>江瑞</t>
    </r>
  </si>
  <si>
    <r>
      <t>大理云</t>
    </r>
    <r>
      <rPr>
        <sz val="11"/>
        <color theme="1"/>
        <rFont val="ＭＳ Ｐゴシック"/>
        <family val="3"/>
        <charset val="134"/>
        <scheme val="minor"/>
      </rPr>
      <t>龙县沧</t>
    </r>
    <r>
      <rPr>
        <sz val="11"/>
        <color theme="1"/>
        <rFont val="ＭＳ Ｐゴシック"/>
        <family val="3"/>
        <charset val="128"/>
        <scheme val="minor"/>
      </rPr>
      <t>江瑞酒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</si>
  <si>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青梅酒;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</t>
    </r>
  </si>
  <si>
    <r>
      <t>港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五街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</si>
  <si>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连东</t>
    </r>
    <r>
      <rPr>
        <sz val="11"/>
        <color theme="1"/>
        <rFont val="ＭＳ Ｐゴシック"/>
        <family val="3"/>
        <charset val="128"/>
        <scheme val="minor"/>
      </rPr>
      <t>港商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区开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建</t>
    </r>
    <r>
      <rPr>
        <sz val="11"/>
        <color theme="1"/>
        <rFont val="ＭＳ Ｐゴシック"/>
        <family val="3"/>
        <charset val="134"/>
        <scheme val="minor"/>
      </rPr>
      <t>设</t>
    </r>
    <r>
      <rPr>
        <sz val="11"/>
        <color theme="1"/>
        <rFont val="ＭＳ Ｐゴシック"/>
        <family val="3"/>
        <charset val="128"/>
        <scheme val="minor"/>
      </rPr>
      <t>管理集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</si>
  <si>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薄荷酒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</si>
</sst>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34"/>
      <scheme val="minor"/>
    </font>
    <font>
      <sz val="11"/>
      <color theme="1"/>
      <name val="ＭＳ Ｐゴシック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1" xfId="0" applyFill="1" applyBorder="1" applyAlignment="1">
      <alignment horizontal="center" vertical="top" wrapText="1"/>
    </xf>
    <xf numFmtId="49" fontId="0" fillId="2" borderId="1" xfId="0" applyNumberFormat="1" applyFill="1" applyBorder="1" applyAlignment="1">
      <alignment horizontal="center" vertical="top" wrapText="1"/>
    </xf>
    <xf numFmtId="177" fontId="0" fillId="2" borderId="1" xfId="0" applyNumberFormat="1" applyFill="1" applyBorder="1" applyAlignment="1">
      <alignment horizontal="center" vertical="top" wrapText="1"/>
    </xf>
    <xf numFmtId="176" fontId="0" fillId="2" borderId="1" xfId="0" applyNumberForma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vertical="top" wrapText="1"/>
    </xf>
    <xf numFmtId="177" fontId="0" fillId="0" borderId="0" xfId="0" applyNumberFormat="1" applyAlignment="1">
      <alignment vertical="top" wrapText="1"/>
    </xf>
    <xf numFmtId="176" fontId="0" fillId="0" borderId="0" xfId="0" applyNumberFormat="1" applyAlignment="1">
      <alignment vertical="top" wrapText="1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3" fillId="0" borderId="1" xfId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FB343-47C0-4CE0-8FAB-E7608847F386}">
  <dimension ref="A1:I2342"/>
  <sheetViews>
    <sheetView tabSelected="1" workbookViewId="0"/>
  </sheetViews>
  <sheetFormatPr defaultRowHeight="13.5" x14ac:dyDescent="0.15"/>
  <cols>
    <col min="1" max="1" width="9" style="5"/>
    <col min="2" max="2" width="9" style="6"/>
    <col min="3" max="3" width="9" style="7"/>
    <col min="4" max="4" width="11.625" style="8" customWidth="1"/>
    <col min="5" max="5" width="10.625" style="7" bestFit="1" customWidth="1"/>
    <col min="6" max="6" width="28.375" style="6" customWidth="1"/>
    <col min="7" max="7" width="31.375" style="6" customWidth="1"/>
    <col min="8" max="8" width="30.625" style="6" customWidth="1"/>
    <col min="9" max="9" width="11.625" style="8" bestFit="1" customWidth="1"/>
  </cols>
  <sheetData>
    <row r="1" spans="1:9" x14ac:dyDescent="0.15">
      <c r="A1" s="1" t="s">
        <v>8</v>
      </c>
      <c r="B1" s="2" t="s">
        <v>0</v>
      </c>
      <c r="C1" s="3" t="s">
        <v>1</v>
      </c>
      <c r="D1" s="4" t="s">
        <v>2</v>
      </c>
      <c r="E1" s="3" t="s">
        <v>3</v>
      </c>
      <c r="F1" s="2" t="s">
        <v>4</v>
      </c>
      <c r="G1" s="2" t="s">
        <v>5</v>
      </c>
      <c r="H1" s="2" t="s">
        <v>6</v>
      </c>
      <c r="I1" s="4" t="s">
        <v>7</v>
      </c>
    </row>
    <row r="2" spans="1:9" x14ac:dyDescent="0.15">
      <c r="A2" s="9">
        <v>1</v>
      </c>
      <c r="B2" s="9" t="s">
        <v>9</v>
      </c>
      <c r="C2" s="9">
        <v>1923</v>
      </c>
      <c r="D2" s="10">
        <v>45701</v>
      </c>
      <c r="E2" s="13" t="str">
        <f>+HYPERLINK("http://trademark.i-assist.jp/data/china/image_1923th/54062374.pdf","54062374")</f>
        <v>54062374</v>
      </c>
      <c r="F2" s="9" t="s">
        <v>53</v>
      </c>
      <c r="G2" s="9" t="s">
        <v>54</v>
      </c>
      <c r="H2" s="9" t="s">
        <v>55</v>
      </c>
      <c r="I2" s="10">
        <v>44260</v>
      </c>
    </row>
    <row r="3" spans="1:9" x14ac:dyDescent="0.15">
      <c r="A3" s="9">
        <v>2</v>
      </c>
      <c r="B3" s="9" t="s">
        <v>9</v>
      </c>
      <c r="C3" s="9">
        <v>1923</v>
      </c>
      <c r="D3" s="10">
        <v>45701</v>
      </c>
      <c r="E3" s="13" t="str">
        <f>+HYPERLINK("http://trademark.i-assist.jp/data/china/image_1923th/56966040.pdf","56966040")</f>
        <v>56966040</v>
      </c>
      <c r="F3" s="9" t="s">
        <v>56</v>
      </c>
      <c r="G3" s="9" t="s">
        <v>57</v>
      </c>
      <c r="H3" s="9" t="s">
        <v>58</v>
      </c>
      <c r="I3" s="10">
        <v>44364</v>
      </c>
    </row>
    <row r="4" spans="1:9" x14ac:dyDescent="0.15">
      <c r="A4" s="9">
        <v>3</v>
      </c>
      <c r="B4" s="9" t="s">
        <v>9</v>
      </c>
      <c r="C4" s="9">
        <v>1923</v>
      </c>
      <c r="D4" s="10">
        <v>45701</v>
      </c>
      <c r="E4" s="13" t="str">
        <f>+HYPERLINK("http://trademark.i-assist.jp/data/china/image_1923th/57492083.pdf","57492083")</f>
        <v>57492083</v>
      </c>
      <c r="F4" s="9" t="s">
        <v>59</v>
      </c>
      <c r="G4" s="11" t="s">
        <v>60</v>
      </c>
      <c r="H4" s="9" t="s">
        <v>61</v>
      </c>
      <c r="I4" s="10">
        <v>44383</v>
      </c>
    </row>
    <row r="5" spans="1:9" x14ac:dyDescent="0.15">
      <c r="A5" s="9">
        <v>4</v>
      </c>
      <c r="B5" s="9" t="s">
        <v>9</v>
      </c>
      <c r="C5" s="9">
        <v>1923</v>
      </c>
      <c r="D5" s="10">
        <v>45701</v>
      </c>
      <c r="E5" s="13" t="str">
        <f>+HYPERLINK("http://trademark.i-assist.jp/data/china/image_1923th/59340030.pdf","59340030")</f>
        <v>59340030</v>
      </c>
      <c r="F5" s="9" t="s">
        <v>62</v>
      </c>
      <c r="G5" s="11" t="s">
        <v>63</v>
      </c>
      <c r="H5" s="9" t="s">
        <v>64</v>
      </c>
      <c r="I5" s="10">
        <v>44457</v>
      </c>
    </row>
    <row r="6" spans="1:9" x14ac:dyDescent="0.15">
      <c r="A6" s="9">
        <v>5</v>
      </c>
      <c r="B6" s="9" t="s">
        <v>9</v>
      </c>
      <c r="C6" s="9">
        <v>1923</v>
      </c>
      <c r="D6" s="10">
        <v>45701</v>
      </c>
      <c r="E6" s="13" t="str">
        <f>+HYPERLINK("http://trademark.i-assist.jp/data/china/image_1923th/59495826.pdf","59495826")</f>
        <v>59495826</v>
      </c>
      <c r="F6" s="11" t="s">
        <v>65</v>
      </c>
      <c r="G6" s="11" t="s">
        <v>66</v>
      </c>
      <c r="H6" s="9" t="s">
        <v>67</v>
      </c>
      <c r="I6" s="10">
        <v>44465</v>
      </c>
    </row>
    <row r="7" spans="1:9" x14ac:dyDescent="0.15">
      <c r="A7" s="9">
        <v>6</v>
      </c>
      <c r="B7" s="9" t="s">
        <v>9</v>
      </c>
      <c r="C7" s="9">
        <v>1923</v>
      </c>
      <c r="D7" s="10">
        <v>45701</v>
      </c>
      <c r="E7" s="13" t="str">
        <f>+HYPERLINK("http://trademark.i-assist.jp/data/china/image_1923th/62352214.pdf","62352214")</f>
        <v>62352214</v>
      </c>
      <c r="F7" s="9" t="s">
        <v>68</v>
      </c>
      <c r="G7" s="9" t="s">
        <v>69</v>
      </c>
      <c r="H7" s="9" t="s">
        <v>70</v>
      </c>
      <c r="I7" s="10">
        <v>44585</v>
      </c>
    </row>
    <row r="8" spans="1:9" x14ac:dyDescent="0.15">
      <c r="A8" s="9">
        <v>7</v>
      </c>
      <c r="B8" s="9" t="s">
        <v>9</v>
      </c>
      <c r="C8" s="9">
        <v>1923</v>
      </c>
      <c r="D8" s="10">
        <v>45701</v>
      </c>
      <c r="E8" s="13" t="str">
        <f>+HYPERLINK("http://trademark.i-assist.jp/data/china/image_1923th/63448755.pdf","63448755")</f>
        <v>63448755</v>
      </c>
      <c r="F8" s="9" t="s">
        <v>71</v>
      </c>
      <c r="G8" s="11" t="s">
        <v>72</v>
      </c>
      <c r="H8" s="9" t="s">
        <v>73</v>
      </c>
      <c r="I8" s="10">
        <v>44642</v>
      </c>
    </row>
    <row r="9" spans="1:9" x14ac:dyDescent="0.15">
      <c r="A9" s="9">
        <v>8</v>
      </c>
      <c r="B9" s="9" t="s">
        <v>9</v>
      </c>
      <c r="C9" s="9">
        <v>1923</v>
      </c>
      <c r="D9" s="10">
        <v>45701</v>
      </c>
      <c r="E9" s="13" t="str">
        <f>+HYPERLINK("http://trademark.i-assist.jp/data/china/image_1923th/64226423.pdf","64226423")</f>
        <v>64226423</v>
      </c>
      <c r="F9" s="9" t="s">
        <v>74</v>
      </c>
      <c r="G9" s="11" t="s">
        <v>75</v>
      </c>
      <c r="H9" s="9" t="s">
        <v>76</v>
      </c>
      <c r="I9" s="10">
        <v>44676</v>
      </c>
    </row>
    <row r="10" spans="1:9" x14ac:dyDescent="0.15">
      <c r="A10" s="9">
        <v>9</v>
      </c>
      <c r="B10" s="9" t="s">
        <v>9</v>
      </c>
      <c r="C10" s="9">
        <v>1923</v>
      </c>
      <c r="D10" s="10">
        <v>45701</v>
      </c>
      <c r="E10" s="13" t="str">
        <f>+HYPERLINK("http://trademark.i-assist.jp/data/china/image_1923th/65214553.pdf","65214553")</f>
        <v>65214553</v>
      </c>
      <c r="F10" s="9" t="s">
        <v>77</v>
      </c>
      <c r="G10" s="11" t="s">
        <v>78</v>
      </c>
      <c r="H10" s="9" t="s">
        <v>79</v>
      </c>
      <c r="I10" s="10">
        <v>44722</v>
      </c>
    </row>
    <row r="11" spans="1:9" x14ac:dyDescent="0.15">
      <c r="A11" s="9">
        <v>10</v>
      </c>
      <c r="B11" s="9" t="s">
        <v>9</v>
      </c>
      <c r="C11" s="9">
        <v>1923</v>
      </c>
      <c r="D11" s="10">
        <v>45701</v>
      </c>
      <c r="E11" s="13" t="str">
        <f>+HYPERLINK("http://trademark.i-assist.jp/data/china/image_1923th/66247117.pdf","66247117")</f>
        <v>66247117</v>
      </c>
      <c r="F11" s="9" t="s">
        <v>15</v>
      </c>
      <c r="G11" s="9" t="s">
        <v>16</v>
      </c>
      <c r="H11" s="9" t="s">
        <v>80</v>
      </c>
      <c r="I11" s="10">
        <v>44770</v>
      </c>
    </row>
    <row r="12" spans="1:9" x14ac:dyDescent="0.15">
      <c r="A12" s="9">
        <v>11</v>
      </c>
      <c r="B12" s="9" t="s">
        <v>9</v>
      </c>
      <c r="C12" s="9">
        <v>1923</v>
      </c>
      <c r="D12" s="10">
        <v>45701</v>
      </c>
      <c r="E12" s="13" t="str">
        <f>+HYPERLINK("http://trademark.i-assist.jp/data/china/image_1923th/66266243.pdf","66266243")</f>
        <v>66266243</v>
      </c>
      <c r="F12" s="9" t="s">
        <v>81</v>
      </c>
      <c r="G12" s="9" t="s">
        <v>82</v>
      </c>
      <c r="H12" s="9" t="s">
        <v>83</v>
      </c>
      <c r="I12" s="10">
        <v>44771</v>
      </c>
    </row>
    <row r="13" spans="1:9" x14ac:dyDescent="0.15">
      <c r="A13" s="9">
        <v>12</v>
      </c>
      <c r="B13" s="9" t="s">
        <v>9</v>
      </c>
      <c r="C13" s="9">
        <v>1923</v>
      </c>
      <c r="D13" s="10">
        <v>45701</v>
      </c>
      <c r="E13" s="13" t="str">
        <f>+HYPERLINK("http://trademark.i-assist.jp/data/china/image_1923th/67457509.pdf","67457509")</f>
        <v>67457509</v>
      </c>
      <c r="F13" s="9" t="s">
        <v>84</v>
      </c>
      <c r="G13" s="9" t="s">
        <v>16</v>
      </c>
      <c r="H13" s="9" t="s">
        <v>80</v>
      </c>
      <c r="I13" s="10">
        <v>44831</v>
      </c>
    </row>
    <row r="14" spans="1:9" x14ac:dyDescent="0.15">
      <c r="A14" s="9">
        <v>13</v>
      </c>
      <c r="B14" s="9" t="s">
        <v>9</v>
      </c>
      <c r="C14" s="9">
        <v>1923</v>
      </c>
      <c r="D14" s="10">
        <v>45701</v>
      </c>
      <c r="E14" s="13" t="str">
        <f>+HYPERLINK("http://trademark.i-assist.jp/data/china/image_1923th/67459866.pdf","67459866")</f>
        <v>67459866</v>
      </c>
      <c r="F14" s="9" t="s">
        <v>85</v>
      </c>
      <c r="G14" s="9" t="s">
        <v>86</v>
      </c>
      <c r="H14" s="9" t="s">
        <v>87</v>
      </c>
      <c r="I14" s="10">
        <v>44831</v>
      </c>
    </row>
    <row r="15" spans="1:9" x14ac:dyDescent="0.15">
      <c r="A15" s="9">
        <v>14</v>
      </c>
      <c r="B15" s="9" t="s">
        <v>9</v>
      </c>
      <c r="C15" s="9">
        <v>1923</v>
      </c>
      <c r="D15" s="10">
        <v>45701</v>
      </c>
      <c r="E15" s="13" t="str">
        <f>+HYPERLINK("http://trademark.i-assist.jp/data/china/image_1923th/68710510.pdf","68710510")</f>
        <v>68710510</v>
      </c>
      <c r="F15" s="9" t="s">
        <v>88</v>
      </c>
      <c r="G15" s="11" t="s">
        <v>89</v>
      </c>
      <c r="H15" s="9" t="s">
        <v>90</v>
      </c>
      <c r="I15" s="10">
        <v>44900</v>
      </c>
    </row>
    <row r="16" spans="1:9" x14ac:dyDescent="0.15">
      <c r="A16" s="9">
        <v>15</v>
      </c>
      <c r="B16" s="9" t="s">
        <v>9</v>
      </c>
      <c r="C16" s="9">
        <v>1923</v>
      </c>
      <c r="D16" s="10">
        <v>45701</v>
      </c>
      <c r="E16" s="13" t="str">
        <f>+HYPERLINK("http://trademark.i-assist.jp/data/china/image_1923th/69876181.pdf","69876181")</f>
        <v>69876181</v>
      </c>
      <c r="F16" s="12" t="s">
        <v>91</v>
      </c>
      <c r="G16" s="9" t="s">
        <v>92</v>
      </c>
      <c r="H16" s="9" t="s">
        <v>93</v>
      </c>
      <c r="I16" s="10">
        <v>44986</v>
      </c>
    </row>
    <row r="17" spans="1:9" x14ac:dyDescent="0.15">
      <c r="A17" s="9">
        <v>16</v>
      </c>
      <c r="B17" s="9" t="s">
        <v>9</v>
      </c>
      <c r="C17" s="9">
        <v>1923</v>
      </c>
      <c r="D17" s="10">
        <v>45701</v>
      </c>
      <c r="E17" s="13" t="str">
        <f>+HYPERLINK("http://trademark.i-assist.jp/data/china/image_1923th/70099933.pdf","70099933")</f>
        <v>70099933</v>
      </c>
      <c r="F17" s="9" t="s">
        <v>94</v>
      </c>
      <c r="G17" s="11" t="s">
        <v>89</v>
      </c>
      <c r="H17" s="11" t="s">
        <v>95</v>
      </c>
      <c r="I17" s="10">
        <v>44995</v>
      </c>
    </row>
    <row r="18" spans="1:9" x14ac:dyDescent="0.15">
      <c r="A18" s="9">
        <v>17</v>
      </c>
      <c r="B18" s="9" t="s">
        <v>9</v>
      </c>
      <c r="C18" s="9">
        <v>1923</v>
      </c>
      <c r="D18" s="10">
        <v>45701</v>
      </c>
      <c r="E18" s="13" t="str">
        <f>+HYPERLINK("http://trademark.i-assist.jp/data/china/image_1923th/70659624.pdf","70659624")</f>
        <v>70659624</v>
      </c>
      <c r="F18" s="11" t="s">
        <v>96</v>
      </c>
      <c r="G18" s="11" t="s">
        <v>97</v>
      </c>
      <c r="H18" s="9" t="s">
        <v>98</v>
      </c>
      <c r="I18" s="10">
        <v>45019</v>
      </c>
    </row>
    <row r="19" spans="1:9" x14ac:dyDescent="0.15">
      <c r="A19" s="9">
        <v>18</v>
      </c>
      <c r="B19" s="9" t="s">
        <v>9</v>
      </c>
      <c r="C19" s="9">
        <v>1923</v>
      </c>
      <c r="D19" s="10">
        <v>45701</v>
      </c>
      <c r="E19" s="13" t="str">
        <f>+HYPERLINK("http://trademark.i-assist.jp/data/china/image_1923th/71734242.pdf","71734242")</f>
        <v>71734242</v>
      </c>
      <c r="F19" s="9" t="s">
        <v>99</v>
      </c>
      <c r="G19" s="9" t="s">
        <v>100</v>
      </c>
      <c r="H19" s="11" t="s">
        <v>101</v>
      </c>
      <c r="I19" s="10">
        <v>45069</v>
      </c>
    </row>
    <row r="20" spans="1:9" x14ac:dyDescent="0.15">
      <c r="A20" s="9">
        <v>19</v>
      </c>
      <c r="B20" s="9" t="s">
        <v>9</v>
      </c>
      <c r="C20" s="9">
        <v>1923</v>
      </c>
      <c r="D20" s="10">
        <v>45701</v>
      </c>
      <c r="E20" s="13" t="str">
        <f>+HYPERLINK("http://trademark.i-assist.jp/data/china/image_1923th/72123552.pdf","72123552")</f>
        <v>72123552</v>
      </c>
      <c r="F20" s="9" t="s">
        <v>102</v>
      </c>
      <c r="G20" s="11" t="s">
        <v>103</v>
      </c>
      <c r="H20" s="9" t="s">
        <v>104</v>
      </c>
      <c r="I20" s="10">
        <v>45086</v>
      </c>
    </row>
    <row r="21" spans="1:9" x14ac:dyDescent="0.15">
      <c r="A21" s="9">
        <v>20</v>
      </c>
      <c r="B21" s="9" t="s">
        <v>9</v>
      </c>
      <c r="C21" s="9">
        <v>1923</v>
      </c>
      <c r="D21" s="10">
        <v>45701</v>
      </c>
      <c r="E21" s="13" t="str">
        <f>+HYPERLINK("http://trademark.i-assist.jp/data/china/image_1923th/72286156.pdf","72286156")</f>
        <v>72286156</v>
      </c>
      <c r="F21" s="9" t="s">
        <v>105</v>
      </c>
      <c r="G21" s="9" t="s">
        <v>106</v>
      </c>
      <c r="H21" s="9" t="s">
        <v>107</v>
      </c>
      <c r="I21" s="10">
        <v>45093</v>
      </c>
    </row>
    <row r="22" spans="1:9" x14ac:dyDescent="0.15">
      <c r="A22" s="9">
        <v>21</v>
      </c>
      <c r="B22" s="9" t="s">
        <v>9</v>
      </c>
      <c r="C22" s="9">
        <v>1923</v>
      </c>
      <c r="D22" s="10">
        <v>45701</v>
      </c>
      <c r="E22" s="13" t="str">
        <f>+HYPERLINK("http://trademark.i-assist.jp/data/china/image_1923th/72310207.pdf","72310207")</f>
        <v>72310207</v>
      </c>
      <c r="F22" s="9" t="s">
        <v>108</v>
      </c>
      <c r="G22" s="11" t="s">
        <v>109</v>
      </c>
      <c r="H22" s="9" t="s">
        <v>110</v>
      </c>
      <c r="I22" s="10">
        <v>45096</v>
      </c>
    </row>
    <row r="23" spans="1:9" x14ac:dyDescent="0.15">
      <c r="A23" s="9">
        <v>22</v>
      </c>
      <c r="B23" s="9" t="s">
        <v>9</v>
      </c>
      <c r="C23" s="9">
        <v>1923</v>
      </c>
      <c r="D23" s="10">
        <v>45701</v>
      </c>
      <c r="E23" s="13" t="str">
        <f>+HYPERLINK("http://trademark.i-assist.jp/data/china/image_1923th/72735873.pdf","72735873")</f>
        <v>72735873</v>
      </c>
      <c r="F23" s="11" t="s">
        <v>111</v>
      </c>
      <c r="G23" s="9" t="s">
        <v>112</v>
      </c>
      <c r="H23" s="9" t="s">
        <v>113</v>
      </c>
      <c r="I23" s="10">
        <v>45117</v>
      </c>
    </row>
    <row r="24" spans="1:9" x14ac:dyDescent="0.15">
      <c r="A24" s="9">
        <v>23</v>
      </c>
      <c r="B24" s="9" t="s">
        <v>9</v>
      </c>
      <c r="C24" s="9">
        <v>1923</v>
      </c>
      <c r="D24" s="10">
        <v>45701</v>
      </c>
      <c r="E24" s="13" t="str">
        <f>+HYPERLINK("http://trademark.i-assist.jp/data/china/image_1923th/74508782.pdf","74508782")</f>
        <v>74508782</v>
      </c>
      <c r="F24" s="9" t="s">
        <v>114</v>
      </c>
      <c r="G24" s="11" t="s">
        <v>115</v>
      </c>
      <c r="H24" s="9" t="s">
        <v>116</v>
      </c>
      <c r="I24" s="10">
        <v>45210</v>
      </c>
    </row>
    <row r="25" spans="1:9" x14ac:dyDescent="0.15">
      <c r="A25" s="9">
        <v>24</v>
      </c>
      <c r="B25" s="9" t="s">
        <v>9</v>
      </c>
      <c r="C25" s="9">
        <v>1923</v>
      </c>
      <c r="D25" s="10">
        <v>45701</v>
      </c>
      <c r="E25" s="13" t="str">
        <f>+HYPERLINK("http://trademark.i-assist.jp/data/china/image_1923th/74688653.pdf","74688653")</f>
        <v>74688653</v>
      </c>
      <c r="F25" s="9" t="s">
        <v>117</v>
      </c>
      <c r="G25" s="9" t="s">
        <v>118</v>
      </c>
      <c r="H25" s="9" t="s">
        <v>119</v>
      </c>
      <c r="I25" s="10">
        <v>45219</v>
      </c>
    </row>
    <row r="26" spans="1:9" x14ac:dyDescent="0.15">
      <c r="A26" s="9">
        <v>25</v>
      </c>
      <c r="B26" s="9" t="s">
        <v>9</v>
      </c>
      <c r="C26" s="9">
        <v>1923</v>
      </c>
      <c r="D26" s="10">
        <v>45701</v>
      </c>
      <c r="E26" s="13" t="str">
        <f>+HYPERLINK("http://trademark.i-assist.jp/data/china/image_1923th/74742948.pdf","74742948")</f>
        <v>74742948</v>
      </c>
      <c r="F26" s="11" t="s">
        <v>120</v>
      </c>
      <c r="G26" s="9" t="s">
        <v>121</v>
      </c>
      <c r="H26" s="9" t="s">
        <v>122</v>
      </c>
      <c r="I26" s="10">
        <v>45223</v>
      </c>
    </row>
    <row r="27" spans="1:9" x14ac:dyDescent="0.15">
      <c r="A27" s="9">
        <v>26</v>
      </c>
      <c r="B27" s="9" t="s">
        <v>9</v>
      </c>
      <c r="C27" s="9">
        <v>1923</v>
      </c>
      <c r="D27" s="10">
        <v>45701</v>
      </c>
      <c r="E27" s="13" t="str">
        <f>+HYPERLINK("http://trademark.i-assist.jp/data/china/image_1923th/74770083.pdf","74770083")</f>
        <v>74770083</v>
      </c>
      <c r="F27" s="9" t="s">
        <v>123</v>
      </c>
      <c r="G27" s="9" t="s">
        <v>124</v>
      </c>
      <c r="H27" s="9" t="s">
        <v>125</v>
      </c>
      <c r="I27" s="10">
        <v>45224</v>
      </c>
    </row>
    <row r="28" spans="1:9" x14ac:dyDescent="0.15">
      <c r="A28" s="9">
        <v>27</v>
      </c>
      <c r="B28" s="9" t="s">
        <v>9</v>
      </c>
      <c r="C28" s="9">
        <v>1923</v>
      </c>
      <c r="D28" s="10">
        <v>45701</v>
      </c>
      <c r="E28" s="13" t="str">
        <f>+HYPERLINK("http://trademark.i-assist.jp/data/china/image_1923th/74805520.pdf","74805520")</f>
        <v>74805520</v>
      </c>
      <c r="F28" s="11" t="s">
        <v>126</v>
      </c>
      <c r="G28" s="11" t="s">
        <v>127</v>
      </c>
      <c r="H28" s="9" t="s">
        <v>11</v>
      </c>
      <c r="I28" s="10">
        <v>45225</v>
      </c>
    </row>
    <row r="29" spans="1:9" x14ac:dyDescent="0.15">
      <c r="A29" s="9">
        <v>28</v>
      </c>
      <c r="B29" s="9" t="s">
        <v>9</v>
      </c>
      <c r="C29" s="9">
        <v>1923</v>
      </c>
      <c r="D29" s="10">
        <v>45701</v>
      </c>
      <c r="E29" s="13" t="str">
        <f>+HYPERLINK("http://trademark.i-assist.jp/data/china/image_1923th/74886132.pdf","74886132")</f>
        <v>74886132</v>
      </c>
      <c r="F29" s="9" t="s">
        <v>128</v>
      </c>
      <c r="G29" s="9" t="s">
        <v>129</v>
      </c>
      <c r="H29" s="11" t="s">
        <v>130</v>
      </c>
      <c r="I29" s="10">
        <v>45230</v>
      </c>
    </row>
    <row r="30" spans="1:9" x14ac:dyDescent="0.15">
      <c r="A30" s="9">
        <v>29</v>
      </c>
      <c r="B30" s="9" t="s">
        <v>9</v>
      </c>
      <c r="C30" s="9">
        <v>1923</v>
      </c>
      <c r="D30" s="10">
        <v>45701</v>
      </c>
      <c r="E30" s="13" t="str">
        <f>+HYPERLINK("http://trademark.i-assist.jp/data/china/image_1923th/74893810.pdf","74893810")</f>
        <v>74893810</v>
      </c>
      <c r="F30" s="9" t="s">
        <v>131</v>
      </c>
      <c r="G30" s="9" t="s">
        <v>132</v>
      </c>
      <c r="H30" s="9" t="s">
        <v>133</v>
      </c>
      <c r="I30" s="10">
        <v>45230</v>
      </c>
    </row>
    <row r="31" spans="1:9" x14ac:dyDescent="0.15">
      <c r="A31" s="9">
        <v>30</v>
      </c>
      <c r="B31" s="9" t="s">
        <v>9</v>
      </c>
      <c r="C31" s="9">
        <v>1923</v>
      </c>
      <c r="D31" s="10">
        <v>45701</v>
      </c>
      <c r="E31" s="13" t="str">
        <f>+HYPERLINK("http://trademark.i-assist.jp/data/china/image_1923th/75083749.pdf","75083749")</f>
        <v>75083749</v>
      </c>
      <c r="F31" s="9" t="s">
        <v>134</v>
      </c>
      <c r="G31" s="9" t="s">
        <v>135</v>
      </c>
      <c r="H31" s="9" t="s">
        <v>136</v>
      </c>
      <c r="I31" s="10">
        <v>45239</v>
      </c>
    </row>
    <row r="32" spans="1:9" x14ac:dyDescent="0.15">
      <c r="A32" s="9">
        <v>31</v>
      </c>
      <c r="B32" s="9" t="s">
        <v>9</v>
      </c>
      <c r="C32" s="9">
        <v>1923</v>
      </c>
      <c r="D32" s="10">
        <v>45701</v>
      </c>
      <c r="E32" s="13" t="str">
        <f>+HYPERLINK("http://trademark.i-assist.jp/data/china/image_1923th/75118715.pdf","75118715")</f>
        <v>75118715</v>
      </c>
      <c r="F32" s="9" t="s">
        <v>137</v>
      </c>
      <c r="G32" s="11" t="s">
        <v>138</v>
      </c>
      <c r="H32" s="9" t="s">
        <v>139</v>
      </c>
      <c r="I32" s="10">
        <v>45243</v>
      </c>
    </row>
    <row r="33" spans="1:9" x14ac:dyDescent="0.15">
      <c r="A33" s="9">
        <v>32</v>
      </c>
      <c r="B33" s="9" t="s">
        <v>9</v>
      </c>
      <c r="C33" s="9">
        <v>1923</v>
      </c>
      <c r="D33" s="10">
        <v>45701</v>
      </c>
      <c r="E33" s="13" t="str">
        <f>+HYPERLINK("http://trademark.i-assist.jp/data/china/image_1923th/75137728.pdf","75137728")</f>
        <v>75137728</v>
      </c>
      <c r="F33" s="9" t="s">
        <v>140</v>
      </c>
      <c r="G33" s="11" t="s">
        <v>138</v>
      </c>
      <c r="H33" s="9" t="s">
        <v>141</v>
      </c>
      <c r="I33" s="10">
        <v>45243</v>
      </c>
    </row>
    <row r="34" spans="1:9" x14ac:dyDescent="0.15">
      <c r="A34" s="9">
        <v>33</v>
      </c>
      <c r="B34" s="9" t="s">
        <v>9</v>
      </c>
      <c r="C34" s="9">
        <v>1923</v>
      </c>
      <c r="D34" s="10">
        <v>45701</v>
      </c>
      <c r="E34" s="13" t="str">
        <f>+HYPERLINK("http://trademark.i-assist.jp/data/china/image_1923th/75170153.pdf","75170153")</f>
        <v>75170153</v>
      </c>
      <c r="F34" s="9" t="s">
        <v>142</v>
      </c>
      <c r="G34" s="9" t="s">
        <v>143</v>
      </c>
      <c r="H34" s="9" t="s">
        <v>144</v>
      </c>
      <c r="I34" s="10">
        <v>45244</v>
      </c>
    </row>
    <row r="35" spans="1:9" x14ac:dyDescent="0.15">
      <c r="A35" s="9">
        <v>34</v>
      </c>
      <c r="B35" s="9" t="s">
        <v>9</v>
      </c>
      <c r="C35" s="9">
        <v>1923</v>
      </c>
      <c r="D35" s="10">
        <v>45701</v>
      </c>
      <c r="E35" s="13" t="str">
        <f>+HYPERLINK("http://trademark.i-assist.jp/data/china/image_1923th/75444909.pdf","75444909")</f>
        <v>75444909</v>
      </c>
      <c r="F35" s="11" t="s">
        <v>145</v>
      </c>
      <c r="G35" s="11" t="s">
        <v>146</v>
      </c>
      <c r="H35" s="9" t="s">
        <v>147</v>
      </c>
      <c r="I35" s="10">
        <v>45258</v>
      </c>
    </row>
    <row r="36" spans="1:9" x14ac:dyDescent="0.15">
      <c r="A36" s="9">
        <v>35</v>
      </c>
      <c r="B36" s="9" t="s">
        <v>9</v>
      </c>
      <c r="C36" s="9">
        <v>1923</v>
      </c>
      <c r="D36" s="10">
        <v>45701</v>
      </c>
      <c r="E36" s="13" t="str">
        <f>+HYPERLINK("http://trademark.i-assist.jp/data/china/image_1923th/75450292.pdf","75450292")</f>
        <v>75450292</v>
      </c>
      <c r="F36" s="9" t="s">
        <v>148</v>
      </c>
      <c r="G36" s="11" t="s">
        <v>146</v>
      </c>
      <c r="H36" s="9" t="s">
        <v>149</v>
      </c>
      <c r="I36" s="10">
        <v>45258</v>
      </c>
    </row>
    <row r="37" spans="1:9" x14ac:dyDescent="0.15">
      <c r="A37" s="9">
        <v>36</v>
      </c>
      <c r="B37" s="9" t="s">
        <v>9</v>
      </c>
      <c r="C37" s="9">
        <v>1923</v>
      </c>
      <c r="D37" s="10">
        <v>45701</v>
      </c>
      <c r="E37" s="13" t="str">
        <f>+HYPERLINK("http://trademark.i-assist.jp/data/china/image_1923th/75478453.pdf","75478453")</f>
        <v>75478453</v>
      </c>
      <c r="F37" s="9" t="s">
        <v>150</v>
      </c>
      <c r="G37" s="9" t="s">
        <v>151</v>
      </c>
      <c r="H37" s="9" t="s">
        <v>152</v>
      </c>
      <c r="I37" s="10">
        <v>45259</v>
      </c>
    </row>
    <row r="38" spans="1:9" x14ac:dyDescent="0.15">
      <c r="A38" s="9">
        <v>37</v>
      </c>
      <c r="B38" s="9" t="s">
        <v>9</v>
      </c>
      <c r="C38" s="9">
        <v>1923</v>
      </c>
      <c r="D38" s="10">
        <v>45701</v>
      </c>
      <c r="E38" s="13" t="str">
        <f>+HYPERLINK("http://trademark.i-assist.jp/data/china/image_1923th/75594643.pdf","75594643")</f>
        <v>75594643</v>
      </c>
      <c r="F38" s="9" t="s">
        <v>153</v>
      </c>
      <c r="G38" s="11" t="s">
        <v>154</v>
      </c>
      <c r="H38" s="9" t="s">
        <v>155</v>
      </c>
      <c r="I38" s="10">
        <v>45265</v>
      </c>
    </row>
    <row r="39" spans="1:9" x14ac:dyDescent="0.15">
      <c r="A39" s="9">
        <v>38</v>
      </c>
      <c r="B39" s="9" t="s">
        <v>9</v>
      </c>
      <c r="C39" s="9">
        <v>1923</v>
      </c>
      <c r="D39" s="10">
        <v>45701</v>
      </c>
      <c r="E39" s="13" t="str">
        <f>+HYPERLINK("http://trademark.i-assist.jp/data/china/image_1923th/75768809.pdf","75768809")</f>
        <v>75768809</v>
      </c>
      <c r="F39" s="9" t="s">
        <v>156</v>
      </c>
      <c r="G39" s="9" t="s">
        <v>157</v>
      </c>
      <c r="H39" s="9" t="s">
        <v>158</v>
      </c>
      <c r="I39" s="10">
        <v>45273</v>
      </c>
    </row>
    <row r="40" spans="1:9" x14ac:dyDescent="0.15">
      <c r="A40" s="9">
        <v>39</v>
      </c>
      <c r="B40" s="9" t="s">
        <v>9</v>
      </c>
      <c r="C40" s="9">
        <v>1923</v>
      </c>
      <c r="D40" s="10">
        <v>45701</v>
      </c>
      <c r="E40" s="13" t="str">
        <f>+HYPERLINK("http://trademark.i-assist.jp/data/china/image_1923th/75811366.pdf","75811366")</f>
        <v>75811366</v>
      </c>
      <c r="F40" s="11" t="s">
        <v>159</v>
      </c>
      <c r="G40" s="9" t="s">
        <v>160</v>
      </c>
      <c r="H40" s="9" t="s">
        <v>161</v>
      </c>
      <c r="I40" s="10">
        <v>45275</v>
      </c>
    </row>
    <row r="41" spans="1:9" x14ac:dyDescent="0.15">
      <c r="A41" s="9">
        <v>40</v>
      </c>
      <c r="B41" s="9" t="s">
        <v>9</v>
      </c>
      <c r="C41" s="9">
        <v>1923</v>
      </c>
      <c r="D41" s="10">
        <v>45701</v>
      </c>
      <c r="E41" s="13" t="str">
        <f>+HYPERLINK("http://trademark.i-assist.jp/data/china/image_1923th/76008808.pdf","76008808")</f>
        <v>76008808</v>
      </c>
      <c r="F41" s="11" t="s">
        <v>126</v>
      </c>
      <c r="G41" s="9" t="s">
        <v>162</v>
      </c>
      <c r="H41" s="9" t="s">
        <v>163</v>
      </c>
      <c r="I41" s="10">
        <v>45285</v>
      </c>
    </row>
    <row r="42" spans="1:9" x14ac:dyDescent="0.15">
      <c r="A42" s="9">
        <v>41</v>
      </c>
      <c r="B42" s="9" t="s">
        <v>9</v>
      </c>
      <c r="C42" s="9">
        <v>1923</v>
      </c>
      <c r="D42" s="10">
        <v>45701</v>
      </c>
      <c r="E42" s="13" t="str">
        <f>+HYPERLINK("http://trademark.i-assist.jp/data/china/image_1923th/76032818.pdf","76032818")</f>
        <v>76032818</v>
      </c>
      <c r="F42" s="11" t="s">
        <v>164</v>
      </c>
      <c r="G42" s="11" t="s">
        <v>165</v>
      </c>
      <c r="H42" s="9" t="s">
        <v>166</v>
      </c>
      <c r="I42" s="10">
        <v>45286</v>
      </c>
    </row>
    <row r="43" spans="1:9" x14ac:dyDescent="0.15">
      <c r="A43" s="9">
        <v>42</v>
      </c>
      <c r="B43" s="9" t="s">
        <v>9</v>
      </c>
      <c r="C43" s="9">
        <v>1923</v>
      </c>
      <c r="D43" s="10">
        <v>45701</v>
      </c>
      <c r="E43" s="13" t="str">
        <f>+HYPERLINK("http://trademark.i-assist.jp/data/china/image_1923th/76049101.pdf","76049101")</f>
        <v>76049101</v>
      </c>
      <c r="F43" s="9" t="s">
        <v>167</v>
      </c>
      <c r="G43" s="9" t="s">
        <v>168</v>
      </c>
      <c r="H43" s="9" t="s">
        <v>169</v>
      </c>
      <c r="I43" s="10">
        <v>45287</v>
      </c>
    </row>
    <row r="44" spans="1:9" x14ac:dyDescent="0.15">
      <c r="A44" s="9">
        <v>43</v>
      </c>
      <c r="B44" s="9" t="s">
        <v>9</v>
      </c>
      <c r="C44" s="9">
        <v>1923</v>
      </c>
      <c r="D44" s="10">
        <v>45701</v>
      </c>
      <c r="E44" s="13" t="str">
        <f>+HYPERLINK("http://trademark.i-assist.jp/data/china/image_1923th/76173415.pdf","76173415")</f>
        <v>76173415</v>
      </c>
      <c r="F44" s="9" t="s">
        <v>170</v>
      </c>
      <c r="G44" s="9" t="s">
        <v>171</v>
      </c>
      <c r="H44" s="9" t="s">
        <v>172</v>
      </c>
      <c r="I44" s="10">
        <v>45294</v>
      </c>
    </row>
    <row r="45" spans="1:9" x14ac:dyDescent="0.15">
      <c r="A45" s="9">
        <v>44</v>
      </c>
      <c r="B45" s="9" t="s">
        <v>9</v>
      </c>
      <c r="C45" s="9">
        <v>1923</v>
      </c>
      <c r="D45" s="10">
        <v>45701</v>
      </c>
      <c r="E45" s="13" t="str">
        <f>+HYPERLINK("http://trademark.i-assist.jp/data/china/image_1923th/76366147.pdf","76366147")</f>
        <v>76366147</v>
      </c>
      <c r="F45" s="11" t="s">
        <v>173</v>
      </c>
      <c r="G45" s="11" t="s">
        <v>174</v>
      </c>
      <c r="H45" s="9" t="s">
        <v>175</v>
      </c>
      <c r="I45" s="10">
        <v>45303</v>
      </c>
    </row>
    <row r="46" spans="1:9" x14ac:dyDescent="0.15">
      <c r="A46" s="9">
        <v>45</v>
      </c>
      <c r="B46" s="9" t="s">
        <v>9</v>
      </c>
      <c r="C46" s="9">
        <v>1923</v>
      </c>
      <c r="D46" s="10">
        <v>45701</v>
      </c>
      <c r="E46" s="13" t="str">
        <f>+HYPERLINK("http://trademark.i-assist.jp/data/china/image_1923th/76381288.pdf","76381288")</f>
        <v>76381288</v>
      </c>
      <c r="F46" s="9" t="s">
        <v>176</v>
      </c>
      <c r="G46" s="9" t="s">
        <v>177</v>
      </c>
      <c r="H46" s="9" t="s">
        <v>178</v>
      </c>
      <c r="I46" s="10">
        <v>45306</v>
      </c>
    </row>
    <row r="47" spans="1:9" x14ac:dyDescent="0.15">
      <c r="A47" s="9">
        <v>46</v>
      </c>
      <c r="B47" s="9" t="s">
        <v>9</v>
      </c>
      <c r="C47" s="9">
        <v>1923</v>
      </c>
      <c r="D47" s="10">
        <v>45701</v>
      </c>
      <c r="E47" s="13" t="str">
        <f>+HYPERLINK("http://trademark.i-assist.jp/data/china/image_1923th/76416915.pdf","76416915")</f>
        <v>76416915</v>
      </c>
      <c r="F47" s="9" t="s">
        <v>179</v>
      </c>
      <c r="G47" s="9" t="s">
        <v>180</v>
      </c>
      <c r="H47" s="9" t="s">
        <v>181</v>
      </c>
      <c r="I47" s="10">
        <v>45307</v>
      </c>
    </row>
    <row r="48" spans="1:9" x14ac:dyDescent="0.15">
      <c r="A48" s="9">
        <v>47</v>
      </c>
      <c r="B48" s="9" t="s">
        <v>9</v>
      </c>
      <c r="C48" s="9">
        <v>1923</v>
      </c>
      <c r="D48" s="10">
        <v>45701</v>
      </c>
      <c r="E48" s="13" t="str">
        <f>+HYPERLINK("http://trademark.i-assist.jp/data/china/image_1923th/76481267.pdf","76481267")</f>
        <v>76481267</v>
      </c>
      <c r="F48" s="9" t="s">
        <v>182</v>
      </c>
      <c r="G48" s="9" t="s">
        <v>183</v>
      </c>
      <c r="H48" s="9" t="s">
        <v>184</v>
      </c>
      <c r="I48" s="10">
        <v>45310</v>
      </c>
    </row>
    <row r="49" spans="1:9" x14ac:dyDescent="0.15">
      <c r="A49" s="9">
        <v>48</v>
      </c>
      <c r="B49" s="9" t="s">
        <v>9</v>
      </c>
      <c r="C49" s="9">
        <v>1923</v>
      </c>
      <c r="D49" s="10">
        <v>45701</v>
      </c>
      <c r="E49" s="13" t="str">
        <f>+HYPERLINK("http://trademark.i-assist.jp/data/china/image_1923th/76567446.pdf","76567446")</f>
        <v>76567446</v>
      </c>
      <c r="F49" s="11" t="s">
        <v>185</v>
      </c>
      <c r="G49" s="11" t="s">
        <v>186</v>
      </c>
      <c r="H49" s="9" t="s">
        <v>187</v>
      </c>
      <c r="I49" s="10">
        <v>45314</v>
      </c>
    </row>
    <row r="50" spans="1:9" x14ac:dyDescent="0.15">
      <c r="A50" s="9">
        <v>49</v>
      </c>
      <c r="B50" s="9" t="s">
        <v>9</v>
      </c>
      <c r="C50" s="9">
        <v>1923</v>
      </c>
      <c r="D50" s="10">
        <v>45701</v>
      </c>
      <c r="E50" s="13" t="str">
        <f>+HYPERLINK("http://trademark.i-assist.jp/data/china/image_1923th/77162744.pdf","77162744")</f>
        <v>77162744</v>
      </c>
      <c r="F50" s="11" t="s">
        <v>188</v>
      </c>
      <c r="G50" s="9" t="s">
        <v>189</v>
      </c>
      <c r="H50" s="9" t="s">
        <v>190</v>
      </c>
      <c r="I50" s="10">
        <v>45358</v>
      </c>
    </row>
    <row r="51" spans="1:9" x14ac:dyDescent="0.15">
      <c r="A51" s="9">
        <v>50</v>
      </c>
      <c r="B51" s="9" t="s">
        <v>9</v>
      </c>
      <c r="C51" s="9">
        <v>1923</v>
      </c>
      <c r="D51" s="10">
        <v>45701</v>
      </c>
      <c r="E51" s="13" t="str">
        <f>+HYPERLINK("http://trademark.i-assist.jp/data/china/image_1923th/77187062.pdf","77187062")</f>
        <v>77187062</v>
      </c>
      <c r="F51" s="9" t="s">
        <v>191</v>
      </c>
      <c r="G51" s="9" t="s">
        <v>192</v>
      </c>
      <c r="H51" s="9" t="s">
        <v>193</v>
      </c>
      <c r="I51" s="10">
        <v>45359</v>
      </c>
    </row>
    <row r="52" spans="1:9" x14ac:dyDescent="0.15">
      <c r="A52" s="9">
        <v>51</v>
      </c>
      <c r="B52" s="9" t="s">
        <v>9</v>
      </c>
      <c r="C52" s="9">
        <v>1923</v>
      </c>
      <c r="D52" s="10">
        <v>45701</v>
      </c>
      <c r="E52" s="13" t="str">
        <f>+HYPERLINK("http://trademark.i-assist.jp/data/china/image_1923th/77422488.pdf","77422488")</f>
        <v>77422488</v>
      </c>
      <c r="F52" s="9" t="s">
        <v>194</v>
      </c>
      <c r="G52" s="9" t="s">
        <v>195</v>
      </c>
      <c r="H52" s="9" t="s">
        <v>196</v>
      </c>
      <c r="I52" s="10">
        <v>45371</v>
      </c>
    </row>
    <row r="53" spans="1:9" x14ac:dyDescent="0.15">
      <c r="A53" s="9">
        <v>52</v>
      </c>
      <c r="B53" s="9" t="s">
        <v>9</v>
      </c>
      <c r="C53" s="9">
        <v>1923</v>
      </c>
      <c r="D53" s="10">
        <v>45701</v>
      </c>
      <c r="E53" s="13" t="str">
        <f>+HYPERLINK("http://trademark.i-assist.jp/data/china/image_1923th/77431630.pdf","77431630")</f>
        <v>77431630</v>
      </c>
      <c r="F53" s="9" t="s">
        <v>197</v>
      </c>
      <c r="G53" s="9" t="s">
        <v>198</v>
      </c>
      <c r="H53" s="9" t="s">
        <v>199</v>
      </c>
      <c r="I53" s="10">
        <v>45371</v>
      </c>
    </row>
    <row r="54" spans="1:9" x14ac:dyDescent="0.15">
      <c r="A54" s="9">
        <v>53</v>
      </c>
      <c r="B54" s="9" t="s">
        <v>9</v>
      </c>
      <c r="C54" s="9">
        <v>1923</v>
      </c>
      <c r="D54" s="10">
        <v>45701</v>
      </c>
      <c r="E54" s="13" t="str">
        <f>+HYPERLINK("http://trademark.i-assist.jp/data/china/image_1923th/77485571.pdf","77485571")</f>
        <v>77485571</v>
      </c>
      <c r="F54" s="9" t="s">
        <v>200</v>
      </c>
      <c r="G54" s="11" t="s">
        <v>201</v>
      </c>
      <c r="H54" s="11" t="s">
        <v>202</v>
      </c>
      <c r="I54" s="10">
        <v>45376</v>
      </c>
    </row>
    <row r="55" spans="1:9" x14ac:dyDescent="0.15">
      <c r="A55" s="9">
        <v>54</v>
      </c>
      <c r="B55" s="9" t="s">
        <v>9</v>
      </c>
      <c r="C55" s="9">
        <v>1923</v>
      </c>
      <c r="D55" s="10">
        <v>45701</v>
      </c>
      <c r="E55" s="13" t="str">
        <f>+HYPERLINK("http://trademark.i-assist.jp/data/china/image_1923th/77492626.pdf","77492626")</f>
        <v>77492626</v>
      </c>
      <c r="F55" s="9" t="s">
        <v>203</v>
      </c>
      <c r="G55" s="9" t="s">
        <v>204</v>
      </c>
      <c r="H55" s="9" t="s">
        <v>205</v>
      </c>
      <c r="I55" s="10">
        <v>45376</v>
      </c>
    </row>
    <row r="56" spans="1:9" x14ac:dyDescent="0.15">
      <c r="A56" s="9">
        <v>55</v>
      </c>
      <c r="B56" s="9" t="s">
        <v>9</v>
      </c>
      <c r="C56" s="9">
        <v>1923</v>
      </c>
      <c r="D56" s="10">
        <v>45701</v>
      </c>
      <c r="E56" s="13" t="str">
        <f>+HYPERLINK("http://trademark.i-assist.jp/data/china/image_1923th/77498432.pdf","77498432")</f>
        <v>77498432</v>
      </c>
      <c r="F56" s="11" t="s">
        <v>126</v>
      </c>
      <c r="G56" s="9" t="s">
        <v>206</v>
      </c>
      <c r="H56" s="11" t="s">
        <v>207</v>
      </c>
      <c r="I56" s="10">
        <v>45376</v>
      </c>
    </row>
    <row r="57" spans="1:9" x14ac:dyDescent="0.15">
      <c r="A57" s="9">
        <v>56</v>
      </c>
      <c r="B57" s="9" t="s">
        <v>9</v>
      </c>
      <c r="C57" s="9">
        <v>1923</v>
      </c>
      <c r="D57" s="10">
        <v>45701</v>
      </c>
      <c r="E57" s="13" t="str">
        <f>+HYPERLINK("http://trademark.i-assist.jp/data/china/image_1923th/77499583.pdf","77499583")</f>
        <v>77499583</v>
      </c>
      <c r="F57" s="9" t="s">
        <v>208</v>
      </c>
      <c r="G57" s="9" t="s">
        <v>209</v>
      </c>
      <c r="H57" s="9" t="s">
        <v>210</v>
      </c>
      <c r="I57" s="10">
        <v>45376</v>
      </c>
    </row>
    <row r="58" spans="1:9" x14ac:dyDescent="0.15">
      <c r="A58" s="9">
        <v>57</v>
      </c>
      <c r="B58" s="9" t="s">
        <v>9</v>
      </c>
      <c r="C58" s="9">
        <v>1923</v>
      </c>
      <c r="D58" s="10">
        <v>45701</v>
      </c>
      <c r="E58" s="13" t="str">
        <f>+HYPERLINK("http://trademark.i-assist.jp/data/china/image_1923th/77505177.pdf","77505177")</f>
        <v>77505177</v>
      </c>
      <c r="F58" s="11" t="s">
        <v>211</v>
      </c>
      <c r="G58" s="11" t="s">
        <v>201</v>
      </c>
      <c r="H58" s="9" t="s">
        <v>212</v>
      </c>
      <c r="I58" s="10">
        <v>45376</v>
      </c>
    </row>
    <row r="59" spans="1:9" x14ac:dyDescent="0.15">
      <c r="A59" s="9">
        <v>58</v>
      </c>
      <c r="B59" s="9" t="s">
        <v>9</v>
      </c>
      <c r="C59" s="9">
        <v>1923</v>
      </c>
      <c r="D59" s="10">
        <v>45701</v>
      </c>
      <c r="E59" s="13" t="str">
        <f>+HYPERLINK("http://trademark.i-assist.jp/data/china/image_1923th/77599119.pdf","77599119")</f>
        <v>77599119</v>
      </c>
      <c r="F59" s="11" t="s">
        <v>213</v>
      </c>
      <c r="G59" s="9" t="s">
        <v>214</v>
      </c>
      <c r="H59" s="9" t="s">
        <v>215</v>
      </c>
      <c r="I59" s="10">
        <v>45379</v>
      </c>
    </row>
    <row r="60" spans="1:9" x14ac:dyDescent="0.15">
      <c r="A60" s="9">
        <v>59</v>
      </c>
      <c r="B60" s="9" t="s">
        <v>9</v>
      </c>
      <c r="C60" s="9">
        <v>1923</v>
      </c>
      <c r="D60" s="10">
        <v>45701</v>
      </c>
      <c r="E60" s="13" t="str">
        <f>+HYPERLINK("http://trademark.i-assist.jp/data/china/image_1923th/77732607.pdf","77732607")</f>
        <v>77732607</v>
      </c>
      <c r="F60" s="11" t="s">
        <v>126</v>
      </c>
      <c r="G60" s="11" t="s">
        <v>216</v>
      </c>
      <c r="H60" s="9" t="s">
        <v>217</v>
      </c>
      <c r="I60" s="10">
        <v>45385</v>
      </c>
    </row>
    <row r="61" spans="1:9" x14ac:dyDescent="0.15">
      <c r="A61" s="9">
        <v>60</v>
      </c>
      <c r="B61" s="9" t="s">
        <v>9</v>
      </c>
      <c r="C61" s="9">
        <v>1923</v>
      </c>
      <c r="D61" s="10">
        <v>45701</v>
      </c>
      <c r="E61" s="13" t="str">
        <f>+HYPERLINK("http://trademark.i-assist.jp/data/china/image_1923th/77822253.pdf","77822253")</f>
        <v>77822253</v>
      </c>
      <c r="F61" s="9" t="s">
        <v>218</v>
      </c>
      <c r="G61" s="9" t="s">
        <v>219</v>
      </c>
      <c r="H61" s="11" t="s">
        <v>220</v>
      </c>
      <c r="I61" s="10">
        <v>45390</v>
      </c>
    </row>
    <row r="62" spans="1:9" x14ac:dyDescent="0.15">
      <c r="A62" s="9">
        <v>61</v>
      </c>
      <c r="B62" s="9" t="s">
        <v>9</v>
      </c>
      <c r="C62" s="9">
        <v>1923</v>
      </c>
      <c r="D62" s="10">
        <v>45701</v>
      </c>
      <c r="E62" s="13" t="str">
        <f>+HYPERLINK("http://trademark.i-assist.jp/data/china/image_1923th/77842016.pdf","77842016")</f>
        <v>77842016</v>
      </c>
      <c r="F62" s="11" t="s">
        <v>126</v>
      </c>
      <c r="G62" s="9" t="s">
        <v>221</v>
      </c>
      <c r="H62" s="9" t="s">
        <v>222</v>
      </c>
      <c r="I62" s="10">
        <v>45391</v>
      </c>
    </row>
    <row r="63" spans="1:9" x14ac:dyDescent="0.15">
      <c r="A63" s="9">
        <v>62</v>
      </c>
      <c r="B63" s="9" t="s">
        <v>9</v>
      </c>
      <c r="C63" s="9">
        <v>1923</v>
      </c>
      <c r="D63" s="10">
        <v>45701</v>
      </c>
      <c r="E63" s="13" t="str">
        <f>+HYPERLINK("http://trademark.i-assist.jp/data/china/image_1923th/77944464.pdf","77944464")</f>
        <v>77944464</v>
      </c>
      <c r="F63" s="11" t="s">
        <v>126</v>
      </c>
      <c r="G63" s="9" t="s">
        <v>223</v>
      </c>
      <c r="H63" s="9" t="s">
        <v>224</v>
      </c>
      <c r="I63" s="10">
        <v>45394</v>
      </c>
    </row>
    <row r="64" spans="1:9" x14ac:dyDescent="0.15">
      <c r="A64" s="9">
        <v>63</v>
      </c>
      <c r="B64" s="9" t="s">
        <v>9</v>
      </c>
      <c r="C64" s="9">
        <v>1923</v>
      </c>
      <c r="D64" s="10">
        <v>45701</v>
      </c>
      <c r="E64" s="13" t="str">
        <f>+HYPERLINK("http://trademark.i-assist.jp/data/china/image_1923th/77957841.pdf","77957841")</f>
        <v>77957841</v>
      </c>
      <c r="F64" s="11" t="s">
        <v>225</v>
      </c>
      <c r="G64" s="9" t="s">
        <v>226</v>
      </c>
      <c r="H64" s="11" t="s">
        <v>227</v>
      </c>
      <c r="I64" s="10">
        <v>45396</v>
      </c>
    </row>
    <row r="65" spans="1:9" x14ac:dyDescent="0.15">
      <c r="A65" s="9">
        <v>64</v>
      </c>
      <c r="B65" s="9" t="s">
        <v>9</v>
      </c>
      <c r="C65" s="9">
        <v>1923</v>
      </c>
      <c r="D65" s="10">
        <v>45701</v>
      </c>
      <c r="E65" s="13" t="str">
        <f>+HYPERLINK("http://trademark.i-assist.jp/data/china/image_1923th/77965711.pdf","77965711")</f>
        <v>77965711</v>
      </c>
      <c r="F65" s="9" t="s">
        <v>228</v>
      </c>
      <c r="G65" s="11" t="s">
        <v>229</v>
      </c>
      <c r="H65" s="9" t="s">
        <v>230</v>
      </c>
      <c r="I65" s="10">
        <v>45397</v>
      </c>
    </row>
    <row r="66" spans="1:9" x14ac:dyDescent="0.15">
      <c r="A66" s="9">
        <v>65</v>
      </c>
      <c r="B66" s="9" t="s">
        <v>9</v>
      </c>
      <c r="C66" s="9">
        <v>1923</v>
      </c>
      <c r="D66" s="10">
        <v>45701</v>
      </c>
      <c r="E66" s="13" t="str">
        <f>+HYPERLINK("http://trademark.i-assist.jp/data/china/image_1923th/77996935.pdf","77996935")</f>
        <v>77996935</v>
      </c>
      <c r="F66" s="9" t="s">
        <v>231</v>
      </c>
      <c r="G66" s="11" t="s">
        <v>232</v>
      </c>
      <c r="H66" s="9" t="s">
        <v>233</v>
      </c>
      <c r="I66" s="10">
        <v>45398</v>
      </c>
    </row>
    <row r="67" spans="1:9" x14ac:dyDescent="0.15">
      <c r="A67" s="9">
        <v>66</v>
      </c>
      <c r="B67" s="9" t="s">
        <v>9</v>
      </c>
      <c r="C67" s="9">
        <v>1923</v>
      </c>
      <c r="D67" s="10">
        <v>45701</v>
      </c>
      <c r="E67" s="13" t="str">
        <f>+HYPERLINK("http://trademark.i-assist.jp/data/china/image_1923th/77998505.pdf","77998505")</f>
        <v>77998505</v>
      </c>
      <c r="F67" s="11" t="s">
        <v>126</v>
      </c>
      <c r="G67" s="9" t="s">
        <v>234</v>
      </c>
      <c r="H67" s="9" t="s">
        <v>235</v>
      </c>
      <c r="I67" s="10">
        <v>45398</v>
      </c>
    </row>
    <row r="68" spans="1:9" x14ac:dyDescent="0.15">
      <c r="A68" s="9">
        <v>67</v>
      </c>
      <c r="B68" s="9" t="s">
        <v>9</v>
      </c>
      <c r="C68" s="9">
        <v>1923</v>
      </c>
      <c r="D68" s="10">
        <v>45701</v>
      </c>
      <c r="E68" s="13" t="str">
        <f>+HYPERLINK("http://trademark.i-assist.jp/data/china/image_1923th/78014077.pdf","78014077")</f>
        <v>78014077</v>
      </c>
      <c r="F68" s="9" t="s">
        <v>236</v>
      </c>
      <c r="G68" s="11" t="s">
        <v>237</v>
      </c>
      <c r="H68" s="9" t="s">
        <v>238</v>
      </c>
      <c r="I68" s="10">
        <v>45398</v>
      </c>
    </row>
    <row r="69" spans="1:9" x14ac:dyDescent="0.15">
      <c r="A69" s="9">
        <v>68</v>
      </c>
      <c r="B69" s="9" t="s">
        <v>9</v>
      </c>
      <c r="C69" s="9">
        <v>1923</v>
      </c>
      <c r="D69" s="10">
        <v>45701</v>
      </c>
      <c r="E69" s="13" t="str">
        <f>+HYPERLINK("http://trademark.i-assist.jp/data/china/image_1923th/78035829.pdf","78035829")</f>
        <v>78035829</v>
      </c>
      <c r="F69" s="9" t="s">
        <v>239</v>
      </c>
      <c r="G69" s="9" t="s">
        <v>240</v>
      </c>
      <c r="H69" s="9" t="s">
        <v>241</v>
      </c>
      <c r="I69" s="10">
        <v>45399</v>
      </c>
    </row>
    <row r="70" spans="1:9" x14ac:dyDescent="0.15">
      <c r="A70" s="9">
        <v>69</v>
      </c>
      <c r="B70" s="9" t="s">
        <v>9</v>
      </c>
      <c r="C70" s="9">
        <v>1923</v>
      </c>
      <c r="D70" s="10">
        <v>45701</v>
      </c>
      <c r="E70" s="13" t="str">
        <f>+HYPERLINK("http://trademark.i-assist.jp/data/china/image_1923th/78060638.pdf","78060638")</f>
        <v>78060638</v>
      </c>
      <c r="F70" s="9" t="s">
        <v>242</v>
      </c>
      <c r="G70" s="9" t="s">
        <v>243</v>
      </c>
      <c r="H70" s="9" t="s">
        <v>244</v>
      </c>
      <c r="I70" s="10">
        <v>45400</v>
      </c>
    </row>
    <row r="71" spans="1:9" x14ac:dyDescent="0.15">
      <c r="A71" s="9">
        <v>70</v>
      </c>
      <c r="B71" s="9" t="s">
        <v>9</v>
      </c>
      <c r="C71" s="9">
        <v>1923</v>
      </c>
      <c r="D71" s="10">
        <v>45701</v>
      </c>
      <c r="E71" s="13" t="str">
        <f>+HYPERLINK("http://trademark.i-assist.jp/data/china/image_1923th/78065125.pdf","78065125")</f>
        <v>78065125</v>
      </c>
      <c r="F71" s="9" t="s">
        <v>245</v>
      </c>
      <c r="G71" s="9" t="s">
        <v>246</v>
      </c>
      <c r="H71" s="9" t="s">
        <v>247</v>
      </c>
      <c r="I71" s="10">
        <v>45400</v>
      </c>
    </row>
    <row r="72" spans="1:9" x14ac:dyDescent="0.15">
      <c r="A72" s="9">
        <v>71</v>
      </c>
      <c r="B72" s="9" t="s">
        <v>9</v>
      </c>
      <c r="C72" s="9">
        <v>1923</v>
      </c>
      <c r="D72" s="10">
        <v>45701</v>
      </c>
      <c r="E72" s="13" t="str">
        <f>+HYPERLINK("http://trademark.i-assist.jp/data/china/image_1923th/79052190.pdf","79052190")</f>
        <v>79052190</v>
      </c>
      <c r="F72" s="9" t="s">
        <v>248</v>
      </c>
      <c r="G72" s="9" t="s">
        <v>249</v>
      </c>
      <c r="H72" s="11" t="s">
        <v>250</v>
      </c>
      <c r="I72" s="10">
        <v>45448</v>
      </c>
    </row>
    <row r="73" spans="1:9" x14ac:dyDescent="0.15">
      <c r="A73" s="9">
        <v>72</v>
      </c>
      <c r="B73" s="9" t="s">
        <v>9</v>
      </c>
      <c r="C73" s="9">
        <v>1923</v>
      </c>
      <c r="D73" s="10">
        <v>45701</v>
      </c>
      <c r="E73" s="13" t="str">
        <f>+HYPERLINK("http://trademark.i-assist.jp/data/china/image_1923th/79405643.pdf","79405643")</f>
        <v>79405643</v>
      </c>
      <c r="F73" s="9" t="s">
        <v>251</v>
      </c>
      <c r="G73" s="9" t="s">
        <v>252</v>
      </c>
      <c r="H73" s="9" t="s">
        <v>253</v>
      </c>
      <c r="I73" s="10">
        <v>45467</v>
      </c>
    </row>
    <row r="74" spans="1:9" x14ac:dyDescent="0.15">
      <c r="A74" s="9">
        <v>73</v>
      </c>
      <c r="B74" s="9" t="s">
        <v>9</v>
      </c>
      <c r="C74" s="9">
        <v>1923</v>
      </c>
      <c r="D74" s="10">
        <v>45701</v>
      </c>
      <c r="E74" s="13" t="str">
        <f>+HYPERLINK("http://trademark.i-assist.jp/data/china/image_1923th/79649941.pdf","79649941")</f>
        <v>79649941</v>
      </c>
      <c r="F74" s="9" t="s">
        <v>254</v>
      </c>
      <c r="G74" s="9" t="s">
        <v>255</v>
      </c>
      <c r="H74" s="9" t="s">
        <v>256</v>
      </c>
      <c r="I74" s="10">
        <v>45479</v>
      </c>
    </row>
    <row r="75" spans="1:9" x14ac:dyDescent="0.15">
      <c r="A75" s="9">
        <v>74</v>
      </c>
      <c r="B75" s="9" t="s">
        <v>9</v>
      </c>
      <c r="C75" s="9">
        <v>1923</v>
      </c>
      <c r="D75" s="10">
        <v>45701</v>
      </c>
      <c r="E75" s="13" t="str">
        <f>+HYPERLINK("http://trademark.i-assist.jp/data/china/image_1923th/79658278.pdf","79658278")</f>
        <v>79658278</v>
      </c>
      <c r="F75" s="11" t="s">
        <v>126</v>
      </c>
      <c r="G75" s="9" t="s">
        <v>257</v>
      </c>
      <c r="H75" s="9" t="s">
        <v>258</v>
      </c>
      <c r="I75" s="10">
        <v>45481</v>
      </c>
    </row>
    <row r="76" spans="1:9" x14ac:dyDescent="0.15">
      <c r="A76" s="9">
        <v>75</v>
      </c>
      <c r="B76" s="9" t="s">
        <v>9</v>
      </c>
      <c r="C76" s="9">
        <v>1923</v>
      </c>
      <c r="D76" s="10">
        <v>45701</v>
      </c>
      <c r="E76" s="13" t="str">
        <f>+HYPERLINK("http://trademark.i-assist.jp/data/china/image_1923th/79670039.pdf","79670039")</f>
        <v>79670039</v>
      </c>
      <c r="F76" s="9" t="s">
        <v>259</v>
      </c>
      <c r="G76" s="9" t="s">
        <v>260</v>
      </c>
      <c r="H76" s="9" t="s">
        <v>261</v>
      </c>
      <c r="I76" s="10">
        <v>45481</v>
      </c>
    </row>
    <row r="77" spans="1:9" x14ac:dyDescent="0.15">
      <c r="A77" s="9">
        <v>76</v>
      </c>
      <c r="B77" s="9" t="s">
        <v>9</v>
      </c>
      <c r="C77" s="9">
        <v>1923</v>
      </c>
      <c r="D77" s="10">
        <v>45701</v>
      </c>
      <c r="E77" s="13" t="str">
        <f>+HYPERLINK("http://trademark.i-assist.jp/data/china/image_1923th/79776226.pdf","79776226")</f>
        <v>79776226</v>
      </c>
      <c r="F77" s="9" t="s">
        <v>262</v>
      </c>
      <c r="G77" s="9" t="s">
        <v>263</v>
      </c>
      <c r="H77" s="9" t="s">
        <v>264</v>
      </c>
      <c r="I77" s="10">
        <v>45486</v>
      </c>
    </row>
    <row r="78" spans="1:9" x14ac:dyDescent="0.15">
      <c r="A78" s="9">
        <v>77</v>
      </c>
      <c r="B78" s="9" t="s">
        <v>9</v>
      </c>
      <c r="C78" s="9">
        <v>1923</v>
      </c>
      <c r="D78" s="10">
        <v>45701</v>
      </c>
      <c r="E78" s="13" t="str">
        <f>+HYPERLINK("http://trademark.i-assist.jp/data/china/image_1923th/79798455.pdf","79798455")</f>
        <v>79798455</v>
      </c>
      <c r="F78" s="9" t="s">
        <v>265</v>
      </c>
      <c r="G78" s="9" t="s">
        <v>266</v>
      </c>
      <c r="H78" s="9" t="s">
        <v>267</v>
      </c>
      <c r="I78" s="10">
        <v>45488</v>
      </c>
    </row>
    <row r="79" spans="1:9" x14ac:dyDescent="0.15">
      <c r="A79" s="9">
        <v>78</v>
      </c>
      <c r="B79" s="9" t="s">
        <v>9</v>
      </c>
      <c r="C79" s="9">
        <v>1923</v>
      </c>
      <c r="D79" s="10">
        <v>45701</v>
      </c>
      <c r="E79" s="13" t="str">
        <f>+HYPERLINK("http://trademark.i-assist.jp/data/china/image_1923th/79911178.pdf","79911178")</f>
        <v>79911178</v>
      </c>
      <c r="F79" s="9" t="s">
        <v>268</v>
      </c>
      <c r="G79" s="9" t="s">
        <v>269</v>
      </c>
      <c r="H79" s="9" t="s">
        <v>270</v>
      </c>
      <c r="I79" s="10">
        <v>45494</v>
      </c>
    </row>
    <row r="80" spans="1:9" x14ac:dyDescent="0.15">
      <c r="A80" s="9">
        <v>79</v>
      </c>
      <c r="B80" s="9" t="s">
        <v>9</v>
      </c>
      <c r="C80" s="9">
        <v>1923</v>
      </c>
      <c r="D80" s="10">
        <v>45701</v>
      </c>
      <c r="E80" s="13" t="str">
        <f>+HYPERLINK("http://trademark.i-assist.jp/data/china/image_1923th/79911600.pdf","79911600")</f>
        <v>79911600</v>
      </c>
      <c r="F80" s="9" t="s">
        <v>271</v>
      </c>
      <c r="G80" s="9" t="s">
        <v>269</v>
      </c>
      <c r="H80" s="9" t="s">
        <v>272</v>
      </c>
      <c r="I80" s="10">
        <v>45494</v>
      </c>
    </row>
    <row r="81" spans="1:9" x14ac:dyDescent="0.15">
      <c r="A81" s="9">
        <v>80</v>
      </c>
      <c r="B81" s="9" t="s">
        <v>9</v>
      </c>
      <c r="C81" s="9">
        <v>1923</v>
      </c>
      <c r="D81" s="10">
        <v>45701</v>
      </c>
      <c r="E81" s="13" t="str">
        <f>+HYPERLINK("http://trademark.i-assist.jp/data/china/image_1923th/79913496.pdf","79913496")</f>
        <v>79913496</v>
      </c>
      <c r="F81" s="9" t="s">
        <v>273</v>
      </c>
      <c r="G81" s="9" t="s">
        <v>274</v>
      </c>
      <c r="H81" s="9" t="s">
        <v>275</v>
      </c>
      <c r="I81" s="10">
        <v>45495</v>
      </c>
    </row>
    <row r="82" spans="1:9" x14ac:dyDescent="0.15">
      <c r="A82" s="9">
        <v>81</v>
      </c>
      <c r="B82" s="9" t="s">
        <v>9</v>
      </c>
      <c r="C82" s="9">
        <v>1923</v>
      </c>
      <c r="D82" s="10">
        <v>45701</v>
      </c>
      <c r="E82" s="13" t="str">
        <f>+HYPERLINK("http://trademark.i-assist.jp/data/china/image_1923th/79913504.pdf","79913504")</f>
        <v>79913504</v>
      </c>
      <c r="F82" s="11" t="s">
        <v>276</v>
      </c>
      <c r="G82" s="9" t="s">
        <v>274</v>
      </c>
      <c r="H82" s="9" t="s">
        <v>277</v>
      </c>
      <c r="I82" s="10">
        <v>45495</v>
      </c>
    </row>
    <row r="83" spans="1:9" x14ac:dyDescent="0.15">
      <c r="A83" s="9">
        <v>82</v>
      </c>
      <c r="B83" s="9" t="s">
        <v>9</v>
      </c>
      <c r="C83" s="9">
        <v>1923</v>
      </c>
      <c r="D83" s="10">
        <v>45701</v>
      </c>
      <c r="E83" s="13" t="str">
        <f>+HYPERLINK("http://trademark.i-assist.jp/data/china/image_1923th/79913518.pdf","79913518")</f>
        <v>79913518</v>
      </c>
      <c r="F83" s="9" t="s">
        <v>278</v>
      </c>
      <c r="G83" s="9" t="s">
        <v>274</v>
      </c>
      <c r="H83" s="9" t="s">
        <v>279</v>
      </c>
      <c r="I83" s="10">
        <v>45495</v>
      </c>
    </row>
    <row r="84" spans="1:9" x14ac:dyDescent="0.15">
      <c r="A84" s="9">
        <v>83</v>
      </c>
      <c r="B84" s="9" t="s">
        <v>9</v>
      </c>
      <c r="C84" s="9">
        <v>1923</v>
      </c>
      <c r="D84" s="10">
        <v>45701</v>
      </c>
      <c r="E84" s="13" t="str">
        <f>+HYPERLINK("http://trademark.i-assist.jp/data/china/image_1923th/79916305.pdf","79916305")</f>
        <v>79916305</v>
      </c>
      <c r="F84" s="9" t="s">
        <v>280</v>
      </c>
      <c r="G84" s="9" t="s">
        <v>274</v>
      </c>
      <c r="H84" s="9" t="s">
        <v>281</v>
      </c>
      <c r="I84" s="10">
        <v>45495</v>
      </c>
    </row>
    <row r="85" spans="1:9" x14ac:dyDescent="0.15">
      <c r="A85" s="9">
        <v>84</v>
      </c>
      <c r="B85" s="9" t="s">
        <v>9</v>
      </c>
      <c r="C85" s="9">
        <v>1923</v>
      </c>
      <c r="D85" s="10">
        <v>45701</v>
      </c>
      <c r="E85" s="13" t="str">
        <f>+HYPERLINK("http://trademark.i-assist.jp/data/china/image_1923th/79918947.pdf","79918947")</f>
        <v>79918947</v>
      </c>
      <c r="F85" s="9" t="s">
        <v>282</v>
      </c>
      <c r="G85" s="9" t="s">
        <v>274</v>
      </c>
      <c r="H85" s="9" t="s">
        <v>283</v>
      </c>
      <c r="I85" s="10">
        <v>45495</v>
      </c>
    </row>
    <row r="86" spans="1:9" x14ac:dyDescent="0.15">
      <c r="A86" s="9">
        <v>85</v>
      </c>
      <c r="B86" s="9" t="s">
        <v>9</v>
      </c>
      <c r="C86" s="9">
        <v>1923</v>
      </c>
      <c r="D86" s="10">
        <v>45701</v>
      </c>
      <c r="E86" s="13" t="str">
        <f>+HYPERLINK("http://trademark.i-assist.jp/data/china/image_1923th/79919712.pdf","79919712")</f>
        <v>79919712</v>
      </c>
      <c r="F86" s="9" t="s">
        <v>284</v>
      </c>
      <c r="G86" s="9" t="s">
        <v>274</v>
      </c>
      <c r="H86" s="9" t="s">
        <v>285</v>
      </c>
      <c r="I86" s="10">
        <v>45495</v>
      </c>
    </row>
    <row r="87" spans="1:9" x14ac:dyDescent="0.15">
      <c r="A87" s="9">
        <v>86</v>
      </c>
      <c r="B87" s="9" t="s">
        <v>9</v>
      </c>
      <c r="C87" s="9">
        <v>1923</v>
      </c>
      <c r="D87" s="10">
        <v>45701</v>
      </c>
      <c r="E87" s="13" t="str">
        <f>+HYPERLINK("http://trademark.i-assist.jp/data/china/image_1923th/79926558.pdf","79926558")</f>
        <v>79926558</v>
      </c>
      <c r="F87" s="9" t="s">
        <v>286</v>
      </c>
      <c r="G87" s="9" t="s">
        <v>274</v>
      </c>
      <c r="H87" s="11" t="s">
        <v>287</v>
      </c>
      <c r="I87" s="10">
        <v>45495</v>
      </c>
    </row>
    <row r="88" spans="1:9" x14ac:dyDescent="0.15">
      <c r="A88" s="9">
        <v>87</v>
      </c>
      <c r="B88" s="9" t="s">
        <v>9</v>
      </c>
      <c r="C88" s="9">
        <v>1923</v>
      </c>
      <c r="D88" s="10">
        <v>45701</v>
      </c>
      <c r="E88" s="13" t="str">
        <f>+HYPERLINK("http://trademark.i-assist.jp/data/china/image_1923th/79929425.pdf","79929425")</f>
        <v>79929425</v>
      </c>
      <c r="F88" s="9" t="s">
        <v>288</v>
      </c>
      <c r="G88" s="9" t="s">
        <v>274</v>
      </c>
      <c r="H88" s="9" t="s">
        <v>289</v>
      </c>
      <c r="I88" s="10">
        <v>45495</v>
      </c>
    </row>
    <row r="89" spans="1:9" x14ac:dyDescent="0.15">
      <c r="A89" s="9">
        <v>88</v>
      </c>
      <c r="B89" s="9" t="s">
        <v>9</v>
      </c>
      <c r="C89" s="9">
        <v>1923</v>
      </c>
      <c r="D89" s="10">
        <v>45701</v>
      </c>
      <c r="E89" s="13" t="str">
        <f>+HYPERLINK("http://trademark.i-assist.jp/data/china/image_1923th/79930996.pdf","79930996")</f>
        <v>79930996</v>
      </c>
      <c r="F89" s="9" t="s">
        <v>290</v>
      </c>
      <c r="G89" s="9" t="s">
        <v>274</v>
      </c>
      <c r="H89" s="9" t="s">
        <v>291</v>
      </c>
      <c r="I89" s="10">
        <v>45495</v>
      </c>
    </row>
    <row r="90" spans="1:9" x14ac:dyDescent="0.15">
      <c r="A90" s="9">
        <v>89</v>
      </c>
      <c r="B90" s="9" t="s">
        <v>9</v>
      </c>
      <c r="C90" s="9">
        <v>1923</v>
      </c>
      <c r="D90" s="10">
        <v>45701</v>
      </c>
      <c r="E90" s="13" t="str">
        <f>+HYPERLINK("http://trademark.i-assist.jp/data/china/image_1923th/79934984.pdf","79934984")</f>
        <v>79934984</v>
      </c>
      <c r="F90" s="9" t="s">
        <v>292</v>
      </c>
      <c r="G90" s="9" t="s">
        <v>274</v>
      </c>
      <c r="H90" s="11" t="s">
        <v>293</v>
      </c>
      <c r="I90" s="10">
        <v>45495</v>
      </c>
    </row>
    <row r="91" spans="1:9" x14ac:dyDescent="0.15">
      <c r="A91" s="9">
        <v>90</v>
      </c>
      <c r="B91" s="9" t="s">
        <v>9</v>
      </c>
      <c r="C91" s="9">
        <v>1923</v>
      </c>
      <c r="D91" s="10">
        <v>45701</v>
      </c>
      <c r="E91" s="13" t="str">
        <f>+HYPERLINK("http://trademark.i-assist.jp/data/china/image_1923th/79936388.pdf","79936388")</f>
        <v>79936388</v>
      </c>
      <c r="F91" s="9" t="s">
        <v>294</v>
      </c>
      <c r="G91" s="9" t="s">
        <v>274</v>
      </c>
      <c r="H91" s="11" t="s">
        <v>295</v>
      </c>
      <c r="I91" s="10">
        <v>45495</v>
      </c>
    </row>
    <row r="92" spans="1:9" x14ac:dyDescent="0.15">
      <c r="A92" s="9">
        <v>91</v>
      </c>
      <c r="B92" s="9" t="s">
        <v>9</v>
      </c>
      <c r="C92" s="9">
        <v>1923</v>
      </c>
      <c r="D92" s="10">
        <v>45701</v>
      </c>
      <c r="E92" s="13" t="str">
        <f>+HYPERLINK("http://trademark.i-assist.jp/data/china/image_1923th/79936409.pdf","79936409")</f>
        <v>79936409</v>
      </c>
      <c r="F92" s="9" t="s">
        <v>296</v>
      </c>
      <c r="G92" s="9" t="s">
        <v>274</v>
      </c>
      <c r="H92" s="9" t="s">
        <v>297</v>
      </c>
      <c r="I92" s="10">
        <v>45495</v>
      </c>
    </row>
    <row r="93" spans="1:9" x14ac:dyDescent="0.15">
      <c r="A93" s="9">
        <v>92</v>
      </c>
      <c r="B93" s="9" t="s">
        <v>9</v>
      </c>
      <c r="C93" s="9">
        <v>1923</v>
      </c>
      <c r="D93" s="10">
        <v>45701</v>
      </c>
      <c r="E93" s="13" t="str">
        <f>+HYPERLINK("http://trademark.i-assist.jp/data/china/image_1923th/79937395.pdf","79937395")</f>
        <v>79937395</v>
      </c>
      <c r="F93" s="9" t="s">
        <v>298</v>
      </c>
      <c r="G93" s="9" t="s">
        <v>274</v>
      </c>
      <c r="H93" s="11" t="s">
        <v>299</v>
      </c>
      <c r="I93" s="10">
        <v>45495</v>
      </c>
    </row>
    <row r="94" spans="1:9" x14ac:dyDescent="0.15">
      <c r="A94" s="9">
        <v>93</v>
      </c>
      <c r="B94" s="9" t="s">
        <v>9</v>
      </c>
      <c r="C94" s="9">
        <v>1923</v>
      </c>
      <c r="D94" s="10">
        <v>45701</v>
      </c>
      <c r="E94" s="13" t="str">
        <f>+HYPERLINK("http://trademark.i-assist.jp/data/china/image_1923th/79965586.pdf","79965586")</f>
        <v>79965586</v>
      </c>
      <c r="F94" s="9" t="s">
        <v>300</v>
      </c>
      <c r="G94" s="9" t="s">
        <v>301</v>
      </c>
      <c r="H94" s="9" t="s">
        <v>302</v>
      </c>
      <c r="I94" s="10">
        <v>45497</v>
      </c>
    </row>
    <row r="95" spans="1:9" x14ac:dyDescent="0.15">
      <c r="A95" s="9">
        <v>94</v>
      </c>
      <c r="B95" s="9" t="s">
        <v>9</v>
      </c>
      <c r="C95" s="9">
        <v>1923</v>
      </c>
      <c r="D95" s="10">
        <v>45701</v>
      </c>
      <c r="E95" s="13" t="str">
        <f>+HYPERLINK("http://trademark.i-assist.jp/data/china/image_1923th/80086394.pdf","80086394")</f>
        <v>80086394</v>
      </c>
      <c r="F95" s="9" t="s">
        <v>303</v>
      </c>
      <c r="G95" s="9" t="s">
        <v>304</v>
      </c>
      <c r="H95" s="9" t="s">
        <v>305</v>
      </c>
      <c r="I95" s="10">
        <v>45503</v>
      </c>
    </row>
    <row r="96" spans="1:9" x14ac:dyDescent="0.15">
      <c r="A96" s="9">
        <v>95</v>
      </c>
      <c r="B96" s="9" t="s">
        <v>9</v>
      </c>
      <c r="C96" s="9">
        <v>1923</v>
      </c>
      <c r="D96" s="10">
        <v>45701</v>
      </c>
      <c r="E96" s="13" t="str">
        <f>+HYPERLINK("http://trademark.i-assist.jp/data/china/image_1923th/80101973.pdf","80101973")</f>
        <v>80101973</v>
      </c>
      <c r="F96" s="11" t="s">
        <v>126</v>
      </c>
      <c r="G96" s="9" t="s">
        <v>306</v>
      </c>
      <c r="H96" s="9" t="s">
        <v>307</v>
      </c>
      <c r="I96" s="10">
        <v>45504</v>
      </c>
    </row>
    <row r="97" spans="1:9" x14ac:dyDescent="0.15">
      <c r="A97" s="9">
        <v>96</v>
      </c>
      <c r="B97" s="9" t="s">
        <v>9</v>
      </c>
      <c r="C97" s="9">
        <v>1923</v>
      </c>
      <c r="D97" s="10">
        <v>45701</v>
      </c>
      <c r="E97" s="13" t="str">
        <f>+HYPERLINK("http://trademark.i-assist.jp/data/china/image_1923th/80223276.pdf","80223276")</f>
        <v>80223276</v>
      </c>
      <c r="F97" s="11" t="s">
        <v>308</v>
      </c>
      <c r="G97" s="9" t="s">
        <v>309</v>
      </c>
      <c r="H97" s="9" t="s">
        <v>310</v>
      </c>
      <c r="I97" s="10">
        <v>45511</v>
      </c>
    </row>
    <row r="98" spans="1:9" x14ac:dyDescent="0.15">
      <c r="A98" s="9">
        <v>97</v>
      </c>
      <c r="B98" s="9" t="s">
        <v>9</v>
      </c>
      <c r="C98" s="9">
        <v>1923</v>
      </c>
      <c r="D98" s="10">
        <v>45701</v>
      </c>
      <c r="E98" s="13" t="str">
        <f>+HYPERLINK("http://trademark.i-assist.jp/data/china/image_1923th/80237311.pdf","80237311")</f>
        <v>80237311</v>
      </c>
      <c r="F98" s="9" t="s">
        <v>311</v>
      </c>
      <c r="G98" s="9" t="s">
        <v>312</v>
      </c>
      <c r="H98" s="9" t="s">
        <v>313</v>
      </c>
      <c r="I98" s="10">
        <v>45511</v>
      </c>
    </row>
    <row r="99" spans="1:9" x14ac:dyDescent="0.15">
      <c r="A99" s="9">
        <v>98</v>
      </c>
      <c r="B99" s="9" t="s">
        <v>9</v>
      </c>
      <c r="C99" s="9">
        <v>1923</v>
      </c>
      <c r="D99" s="10">
        <v>45701</v>
      </c>
      <c r="E99" s="13" t="str">
        <f>+HYPERLINK("http://trademark.i-assist.jp/data/china/image_1923th/80263209.pdf","80263209")</f>
        <v>80263209</v>
      </c>
      <c r="F99" s="9" t="s">
        <v>314</v>
      </c>
      <c r="G99" s="9" t="s">
        <v>315</v>
      </c>
      <c r="H99" s="9" t="s">
        <v>316</v>
      </c>
      <c r="I99" s="10">
        <v>45512</v>
      </c>
    </row>
    <row r="100" spans="1:9" x14ac:dyDescent="0.15">
      <c r="A100" s="9">
        <v>99</v>
      </c>
      <c r="B100" s="9" t="s">
        <v>9</v>
      </c>
      <c r="C100" s="9">
        <v>1923</v>
      </c>
      <c r="D100" s="10">
        <v>45701</v>
      </c>
      <c r="E100" s="13" t="str">
        <f>+HYPERLINK("http://trademark.i-assist.jp/data/china/image_1923th/80293386.pdf","80293386")</f>
        <v>80293386</v>
      </c>
      <c r="F100" s="9" t="s">
        <v>317</v>
      </c>
      <c r="G100" s="9" t="s">
        <v>318</v>
      </c>
      <c r="H100" s="9" t="s">
        <v>319</v>
      </c>
      <c r="I100" s="10">
        <v>45514</v>
      </c>
    </row>
    <row r="101" spans="1:9" x14ac:dyDescent="0.15">
      <c r="A101" s="9">
        <v>100</v>
      </c>
      <c r="B101" s="9" t="s">
        <v>9</v>
      </c>
      <c r="C101" s="9">
        <v>1923</v>
      </c>
      <c r="D101" s="10">
        <v>45701</v>
      </c>
      <c r="E101" s="13" t="str">
        <f>+HYPERLINK("http://trademark.i-assist.jp/data/china/image_1923th/80298156.pdf","80298156")</f>
        <v>80298156</v>
      </c>
      <c r="F101" s="9" t="s">
        <v>320</v>
      </c>
      <c r="G101" s="9" t="s">
        <v>321</v>
      </c>
      <c r="H101" s="9" t="s">
        <v>322</v>
      </c>
      <c r="I101" s="10">
        <v>45515</v>
      </c>
    </row>
    <row r="102" spans="1:9" x14ac:dyDescent="0.15">
      <c r="A102" s="9">
        <v>101</v>
      </c>
      <c r="B102" s="9" t="s">
        <v>9</v>
      </c>
      <c r="C102" s="9">
        <v>1923</v>
      </c>
      <c r="D102" s="10">
        <v>45701</v>
      </c>
      <c r="E102" s="13" t="str">
        <f>+HYPERLINK("http://trademark.i-assist.jp/data/china/image_1923th/80339333.pdf","80339333")</f>
        <v>80339333</v>
      </c>
      <c r="F102" s="9" t="s">
        <v>323</v>
      </c>
      <c r="G102" s="9" t="s">
        <v>324</v>
      </c>
      <c r="H102" s="9" t="s">
        <v>325</v>
      </c>
      <c r="I102" s="10">
        <v>45517</v>
      </c>
    </row>
    <row r="103" spans="1:9" x14ac:dyDescent="0.15">
      <c r="A103" s="9">
        <v>102</v>
      </c>
      <c r="B103" s="9" t="s">
        <v>9</v>
      </c>
      <c r="C103" s="9">
        <v>1923</v>
      </c>
      <c r="D103" s="10">
        <v>45701</v>
      </c>
      <c r="E103" s="13" t="str">
        <f>+HYPERLINK("http://trademark.i-assist.jp/data/china/image_1923th/80342713.pdf","80342713")</f>
        <v>80342713</v>
      </c>
      <c r="F103" s="11" t="s">
        <v>326</v>
      </c>
      <c r="G103" s="11" t="s">
        <v>327</v>
      </c>
      <c r="H103" s="9" t="s">
        <v>328</v>
      </c>
      <c r="I103" s="10">
        <v>45517</v>
      </c>
    </row>
    <row r="104" spans="1:9" x14ac:dyDescent="0.15">
      <c r="A104" s="9">
        <v>103</v>
      </c>
      <c r="B104" s="9" t="s">
        <v>9</v>
      </c>
      <c r="C104" s="9">
        <v>1923</v>
      </c>
      <c r="D104" s="10">
        <v>45701</v>
      </c>
      <c r="E104" s="13" t="str">
        <f>+HYPERLINK("http://trademark.i-assist.jp/data/china/image_1923th/80362735.pdf","80362735")</f>
        <v>80362735</v>
      </c>
      <c r="F104" s="11" t="s">
        <v>126</v>
      </c>
      <c r="G104" s="9" t="s">
        <v>329</v>
      </c>
      <c r="H104" s="9" t="s">
        <v>330</v>
      </c>
      <c r="I104" s="10">
        <v>45518</v>
      </c>
    </row>
    <row r="105" spans="1:9" x14ac:dyDescent="0.15">
      <c r="A105" s="9">
        <v>104</v>
      </c>
      <c r="B105" s="9" t="s">
        <v>9</v>
      </c>
      <c r="C105" s="9">
        <v>1923</v>
      </c>
      <c r="D105" s="10">
        <v>45701</v>
      </c>
      <c r="E105" s="13" t="str">
        <f>+HYPERLINK("http://trademark.i-assist.jp/data/china/image_1923th/80398093.pdf","80398093")</f>
        <v>80398093</v>
      </c>
      <c r="F105" s="9" t="s">
        <v>331</v>
      </c>
      <c r="G105" s="11" t="s">
        <v>332</v>
      </c>
      <c r="H105" s="9" t="s">
        <v>333</v>
      </c>
      <c r="I105" s="10">
        <v>45520</v>
      </c>
    </row>
    <row r="106" spans="1:9" x14ac:dyDescent="0.15">
      <c r="A106" s="9">
        <v>105</v>
      </c>
      <c r="B106" s="9" t="s">
        <v>9</v>
      </c>
      <c r="C106" s="9">
        <v>1923</v>
      </c>
      <c r="D106" s="10">
        <v>45701</v>
      </c>
      <c r="E106" s="13" t="str">
        <f>+HYPERLINK("http://trademark.i-assist.jp/data/china/image_1923th/80400821.pdf","80400821")</f>
        <v>80400821</v>
      </c>
      <c r="F106" s="9" t="s">
        <v>334</v>
      </c>
      <c r="G106" s="9" t="s">
        <v>335</v>
      </c>
      <c r="H106" s="9" t="s">
        <v>336</v>
      </c>
      <c r="I106" s="10">
        <v>45520</v>
      </c>
    </row>
    <row r="107" spans="1:9" x14ac:dyDescent="0.15">
      <c r="A107" s="9">
        <v>106</v>
      </c>
      <c r="B107" s="9" t="s">
        <v>9</v>
      </c>
      <c r="C107" s="9">
        <v>1923</v>
      </c>
      <c r="D107" s="10">
        <v>45701</v>
      </c>
      <c r="E107" s="13" t="str">
        <f>+HYPERLINK("http://trademark.i-assist.jp/data/china/image_1923th/80417152.pdf","80417152")</f>
        <v>80417152</v>
      </c>
      <c r="F107" s="9" t="s">
        <v>337</v>
      </c>
      <c r="G107" s="9" t="s">
        <v>338</v>
      </c>
      <c r="H107" s="11" t="s">
        <v>339</v>
      </c>
      <c r="I107" s="10">
        <v>45520</v>
      </c>
    </row>
    <row r="108" spans="1:9" x14ac:dyDescent="0.15">
      <c r="A108" s="9">
        <v>107</v>
      </c>
      <c r="B108" s="9" t="s">
        <v>9</v>
      </c>
      <c r="C108" s="9">
        <v>1923</v>
      </c>
      <c r="D108" s="10">
        <v>45701</v>
      </c>
      <c r="E108" s="13" t="str">
        <f>+HYPERLINK("http://trademark.i-assist.jp/data/china/image_1923th/80418460.pdf","80418460")</f>
        <v>80418460</v>
      </c>
      <c r="F108" s="9" t="s">
        <v>340</v>
      </c>
      <c r="G108" s="11" t="s">
        <v>341</v>
      </c>
      <c r="H108" s="9" t="s">
        <v>342</v>
      </c>
      <c r="I108" s="10">
        <v>45521</v>
      </c>
    </row>
    <row r="109" spans="1:9" x14ac:dyDescent="0.15">
      <c r="A109" s="9">
        <v>108</v>
      </c>
      <c r="B109" s="9" t="s">
        <v>9</v>
      </c>
      <c r="C109" s="9">
        <v>1923</v>
      </c>
      <c r="D109" s="10">
        <v>45701</v>
      </c>
      <c r="E109" s="13" t="str">
        <f>+HYPERLINK("http://trademark.i-assist.jp/data/china/image_1923th/80444385.pdf","80444385")</f>
        <v>80444385</v>
      </c>
      <c r="F109" s="11" t="s">
        <v>343</v>
      </c>
      <c r="G109" s="9" t="s">
        <v>344</v>
      </c>
      <c r="H109" s="9" t="s">
        <v>345</v>
      </c>
      <c r="I109" s="10">
        <v>45523</v>
      </c>
    </row>
    <row r="110" spans="1:9" x14ac:dyDescent="0.15">
      <c r="A110" s="9">
        <v>109</v>
      </c>
      <c r="B110" s="9" t="s">
        <v>9</v>
      </c>
      <c r="C110" s="9">
        <v>1923</v>
      </c>
      <c r="D110" s="10">
        <v>45701</v>
      </c>
      <c r="E110" s="13" t="str">
        <f>+HYPERLINK("http://trademark.i-assist.jp/data/china/image_1923th/80462133.pdf","80462133")</f>
        <v>80462133</v>
      </c>
      <c r="F110" s="9" t="s">
        <v>346</v>
      </c>
      <c r="G110" s="9" t="s">
        <v>347</v>
      </c>
      <c r="H110" s="9" t="s">
        <v>348</v>
      </c>
      <c r="I110" s="10">
        <v>45524</v>
      </c>
    </row>
    <row r="111" spans="1:9" x14ac:dyDescent="0.15">
      <c r="A111" s="9">
        <v>110</v>
      </c>
      <c r="B111" s="9" t="s">
        <v>9</v>
      </c>
      <c r="C111" s="9">
        <v>1923</v>
      </c>
      <c r="D111" s="10">
        <v>45701</v>
      </c>
      <c r="E111" s="13" t="str">
        <f>+HYPERLINK("http://trademark.i-assist.jp/data/china/image_1923th/80472295.pdf","80472295")</f>
        <v>80472295</v>
      </c>
      <c r="F111" s="11" t="s">
        <v>349</v>
      </c>
      <c r="G111" s="9" t="s">
        <v>350</v>
      </c>
      <c r="H111" s="9" t="s">
        <v>351</v>
      </c>
      <c r="I111" s="10">
        <v>45524</v>
      </c>
    </row>
    <row r="112" spans="1:9" x14ac:dyDescent="0.15">
      <c r="A112" s="9">
        <v>111</v>
      </c>
      <c r="B112" s="9" t="s">
        <v>9</v>
      </c>
      <c r="C112" s="9">
        <v>1923</v>
      </c>
      <c r="D112" s="10">
        <v>45701</v>
      </c>
      <c r="E112" s="13" t="str">
        <f>+HYPERLINK("http://trademark.i-assist.jp/data/china/image_1923th/80511603.pdf","80511603")</f>
        <v>80511603</v>
      </c>
      <c r="F112" s="9" t="s">
        <v>352</v>
      </c>
      <c r="G112" s="9" t="s">
        <v>353</v>
      </c>
      <c r="H112" s="9" t="s">
        <v>354</v>
      </c>
      <c r="I112" s="10">
        <v>45526</v>
      </c>
    </row>
    <row r="113" spans="1:9" x14ac:dyDescent="0.15">
      <c r="A113" s="9">
        <v>112</v>
      </c>
      <c r="B113" s="9" t="s">
        <v>9</v>
      </c>
      <c r="C113" s="9">
        <v>1923</v>
      </c>
      <c r="D113" s="10">
        <v>45701</v>
      </c>
      <c r="E113" s="13" t="str">
        <f>+HYPERLINK("http://trademark.i-assist.jp/data/china/image_1923th/80520143.pdf","80520143")</f>
        <v>80520143</v>
      </c>
      <c r="F113" s="9" t="s">
        <v>355</v>
      </c>
      <c r="G113" s="11" t="s">
        <v>356</v>
      </c>
      <c r="H113" s="9" t="s">
        <v>357</v>
      </c>
      <c r="I113" s="10">
        <v>45526</v>
      </c>
    </row>
    <row r="114" spans="1:9" x14ac:dyDescent="0.15">
      <c r="A114" s="9">
        <v>113</v>
      </c>
      <c r="B114" s="9" t="s">
        <v>9</v>
      </c>
      <c r="C114" s="9">
        <v>1923</v>
      </c>
      <c r="D114" s="10">
        <v>45701</v>
      </c>
      <c r="E114" s="13" t="str">
        <f>+HYPERLINK("http://trademark.i-assist.jp/data/china/image_1923th/80524196.pdf","80524196")</f>
        <v>80524196</v>
      </c>
      <c r="F114" s="9" t="s">
        <v>358</v>
      </c>
      <c r="G114" s="11" t="s">
        <v>359</v>
      </c>
      <c r="H114" s="9" t="s">
        <v>360</v>
      </c>
      <c r="I114" s="10">
        <v>45527</v>
      </c>
    </row>
    <row r="115" spans="1:9" x14ac:dyDescent="0.15">
      <c r="A115" s="9">
        <v>114</v>
      </c>
      <c r="B115" s="9" t="s">
        <v>9</v>
      </c>
      <c r="C115" s="9">
        <v>1923</v>
      </c>
      <c r="D115" s="10">
        <v>45701</v>
      </c>
      <c r="E115" s="13" t="str">
        <f>+HYPERLINK("http://trademark.i-assist.jp/data/china/image_1923th/80537985.pdf","80537985")</f>
        <v>80537985</v>
      </c>
      <c r="F115" s="9" t="s">
        <v>361</v>
      </c>
      <c r="G115" s="11" t="s">
        <v>362</v>
      </c>
      <c r="H115" s="9" t="s">
        <v>363</v>
      </c>
      <c r="I115" s="10">
        <v>45527</v>
      </c>
    </row>
    <row r="116" spans="1:9" x14ac:dyDescent="0.15">
      <c r="A116" s="9">
        <v>115</v>
      </c>
      <c r="B116" s="9" t="s">
        <v>9</v>
      </c>
      <c r="C116" s="9">
        <v>1923</v>
      </c>
      <c r="D116" s="10">
        <v>45701</v>
      </c>
      <c r="E116" s="13" t="str">
        <f>+HYPERLINK("http://trademark.i-assist.jp/data/china/image_1923th/80557502.pdf","80557502")</f>
        <v>80557502</v>
      </c>
      <c r="F116" s="11" t="s">
        <v>364</v>
      </c>
      <c r="G116" s="9" t="s">
        <v>365</v>
      </c>
      <c r="H116" s="9" t="s">
        <v>366</v>
      </c>
      <c r="I116" s="10">
        <v>45530</v>
      </c>
    </row>
    <row r="117" spans="1:9" x14ac:dyDescent="0.15">
      <c r="A117" s="9">
        <v>116</v>
      </c>
      <c r="B117" s="9" t="s">
        <v>9</v>
      </c>
      <c r="C117" s="9">
        <v>1923</v>
      </c>
      <c r="D117" s="10">
        <v>45701</v>
      </c>
      <c r="E117" s="13" t="str">
        <f>+HYPERLINK("http://trademark.i-assist.jp/data/china/image_1923th/80577830.pdf","80577830")</f>
        <v>80577830</v>
      </c>
      <c r="F117" s="11" t="s">
        <v>367</v>
      </c>
      <c r="G117" s="9" t="s">
        <v>368</v>
      </c>
      <c r="H117" s="9" t="s">
        <v>369</v>
      </c>
      <c r="I117" s="10">
        <v>45530</v>
      </c>
    </row>
    <row r="118" spans="1:9" x14ac:dyDescent="0.15">
      <c r="A118" s="9">
        <v>117</v>
      </c>
      <c r="B118" s="9" t="s">
        <v>9</v>
      </c>
      <c r="C118" s="9">
        <v>1923</v>
      </c>
      <c r="D118" s="10">
        <v>45701</v>
      </c>
      <c r="E118" s="13" t="str">
        <f>+HYPERLINK("http://trademark.i-assist.jp/data/china/image_1923th/80583548.pdf","80583548")</f>
        <v>80583548</v>
      </c>
      <c r="F118" s="9" t="s">
        <v>370</v>
      </c>
      <c r="G118" s="9" t="s">
        <v>371</v>
      </c>
      <c r="H118" s="9" t="s">
        <v>372</v>
      </c>
      <c r="I118" s="10">
        <v>45531</v>
      </c>
    </row>
    <row r="119" spans="1:9" x14ac:dyDescent="0.15">
      <c r="A119" s="9">
        <v>118</v>
      </c>
      <c r="B119" s="9" t="s">
        <v>9</v>
      </c>
      <c r="C119" s="9">
        <v>1923</v>
      </c>
      <c r="D119" s="10">
        <v>45701</v>
      </c>
      <c r="E119" s="13" t="str">
        <f>+HYPERLINK("http://trademark.i-assist.jp/data/china/image_1923th/80590289.pdf","80590289")</f>
        <v>80590289</v>
      </c>
      <c r="F119" s="11" t="s">
        <v>373</v>
      </c>
      <c r="G119" s="9" t="s">
        <v>374</v>
      </c>
      <c r="H119" s="9" t="s">
        <v>375</v>
      </c>
      <c r="I119" s="10">
        <v>45531</v>
      </c>
    </row>
    <row r="120" spans="1:9" x14ac:dyDescent="0.15">
      <c r="A120" s="9">
        <v>119</v>
      </c>
      <c r="B120" s="9" t="s">
        <v>9</v>
      </c>
      <c r="C120" s="9">
        <v>1923</v>
      </c>
      <c r="D120" s="10">
        <v>45701</v>
      </c>
      <c r="E120" s="13" t="str">
        <f>+HYPERLINK("http://trademark.i-assist.jp/data/china/image_1923th/80650029.pdf","80650029")</f>
        <v>80650029</v>
      </c>
      <c r="F120" s="9" t="s">
        <v>376</v>
      </c>
      <c r="G120" s="9" t="s">
        <v>377</v>
      </c>
      <c r="H120" s="9" t="s">
        <v>378</v>
      </c>
      <c r="I120" s="10">
        <v>45534</v>
      </c>
    </row>
    <row r="121" spans="1:9" x14ac:dyDescent="0.15">
      <c r="A121" s="9">
        <v>120</v>
      </c>
      <c r="B121" s="9" t="s">
        <v>9</v>
      </c>
      <c r="C121" s="9">
        <v>1923</v>
      </c>
      <c r="D121" s="10">
        <v>45701</v>
      </c>
      <c r="E121" s="13" t="str">
        <f>+HYPERLINK("http://trademark.i-assist.jp/data/china/image_1923th/80663859.pdf","80663859")</f>
        <v>80663859</v>
      </c>
      <c r="F121" s="9" t="s">
        <v>379</v>
      </c>
      <c r="G121" s="9" t="s">
        <v>380</v>
      </c>
      <c r="H121" s="9" t="s">
        <v>381</v>
      </c>
      <c r="I121" s="10">
        <v>45534</v>
      </c>
    </row>
    <row r="122" spans="1:9" x14ac:dyDescent="0.15">
      <c r="A122" s="9">
        <v>121</v>
      </c>
      <c r="B122" s="9" t="s">
        <v>9</v>
      </c>
      <c r="C122" s="9">
        <v>1923</v>
      </c>
      <c r="D122" s="10">
        <v>45701</v>
      </c>
      <c r="E122" s="13" t="str">
        <f>+HYPERLINK("http://trademark.i-assist.jp/data/china/image_1923th/80667526.pdf","80667526")</f>
        <v>80667526</v>
      </c>
      <c r="F122" s="9" t="s">
        <v>382</v>
      </c>
      <c r="G122" s="9" t="s">
        <v>383</v>
      </c>
      <c r="H122" s="9" t="s">
        <v>384</v>
      </c>
      <c r="I122" s="10">
        <v>45534</v>
      </c>
    </row>
    <row r="123" spans="1:9" x14ac:dyDescent="0.15">
      <c r="A123" s="9">
        <v>122</v>
      </c>
      <c r="B123" s="9" t="s">
        <v>9</v>
      </c>
      <c r="C123" s="9">
        <v>1923</v>
      </c>
      <c r="D123" s="10">
        <v>45701</v>
      </c>
      <c r="E123" s="13" t="str">
        <f>+HYPERLINK("http://trademark.i-assist.jp/data/china/image_1923th/80670963.pdf","80670963")</f>
        <v>80670963</v>
      </c>
      <c r="F123" s="9" t="s">
        <v>385</v>
      </c>
      <c r="G123" s="9" t="s">
        <v>386</v>
      </c>
      <c r="H123" s="9" t="s">
        <v>387</v>
      </c>
      <c r="I123" s="10">
        <v>45534</v>
      </c>
    </row>
    <row r="124" spans="1:9" x14ac:dyDescent="0.15">
      <c r="A124" s="9">
        <v>123</v>
      </c>
      <c r="B124" s="9" t="s">
        <v>9</v>
      </c>
      <c r="C124" s="9">
        <v>1923</v>
      </c>
      <c r="D124" s="10">
        <v>45701</v>
      </c>
      <c r="E124" s="13" t="str">
        <f>+HYPERLINK("http://trademark.i-assist.jp/data/china/image_1923th/80685367.pdf","80685367")</f>
        <v>80685367</v>
      </c>
      <c r="F124" s="11" t="s">
        <v>388</v>
      </c>
      <c r="G124" s="9" t="s">
        <v>389</v>
      </c>
      <c r="H124" s="9" t="s">
        <v>390</v>
      </c>
      <c r="I124" s="10">
        <v>45537</v>
      </c>
    </row>
    <row r="125" spans="1:9" x14ac:dyDescent="0.15">
      <c r="A125" s="9">
        <v>124</v>
      </c>
      <c r="B125" s="9" t="s">
        <v>9</v>
      </c>
      <c r="C125" s="9">
        <v>1923</v>
      </c>
      <c r="D125" s="10">
        <v>45701</v>
      </c>
      <c r="E125" s="13" t="str">
        <f>+HYPERLINK("http://trademark.i-assist.jp/data/china/image_1923th/80685889.pdf","80685889")</f>
        <v>80685889</v>
      </c>
      <c r="F125" s="11" t="s">
        <v>126</v>
      </c>
      <c r="G125" s="9" t="s">
        <v>391</v>
      </c>
      <c r="H125" s="9" t="s">
        <v>392</v>
      </c>
      <c r="I125" s="10">
        <v>45537</v>
      </c>
    </row>
    <row r="126" spans="1:9" x14ac:dyDescent="0.15">
      <c r="A126" s="9">
        <v>125</v>
      </c>
      <c r="B126" s="9" t="s">
        <v>9</v>
      </c>
      <c r="C126" s="9">
        <v>1923</v>
      </c>
      <c r="D126" s="10">
        <v>45701</v>
      </c>
      <c r="E126" s="13" t="str">
        <f>+HYPERLINK("http://trademark.i-assist.jp/data/china/image_1923th/80688924.pdf","80688924")</f>
        <v>80688924</v>
      </c>
      <c r="F126" s="9" t="s">
        <v>393</v>
      </c>
      <c r="G126" s="9" t="s">
        <v>394</v>
      </c>
      <c r="H126" s="9" t="s">
        <v>395</v>
      </c>
      <c r="I126" s="10">
        <v>45537</v>
      </c>
    </row>
    <row r="127" spans="1:9" x14ac:dyDescent="0.15">
      <c r="A127" s="9">
        <v>126</v>
      </c>
      <c r="B127" s="9" t="s">
        <v>9</v>
      </c>
      <c r="C127" s="9">
        <v>1923</v>
      </c>
      <c r="D127" s="10">
        <v>45701</v>
      </c>
      <c r="E127" s="13" t="str">
        <f>+HYPERLINK("http://trademark.i-assist.jp/data/china/image_1923th/80689328.pdf","80689328")</f>
        <v>80689328</v>
      </c>
      <c r="F127" s="9" t="s">
        <v>396</v>
      </c>
      <c r="G127" s="9" t="s">
        <v>397</v>
      </c>
      <c r="H127" s="9" t="s">
        <v>398</v>
      </c>
      <c r="I127" s="10">
        <v>45537</v>
      </c>
    </row>
    <row r="128" spans="1:9" x14ac:dyDescent="0.15">
      <c r="A128" s="9">
        <v>127</v>
      </c>
      <c r="B128" s="9" t="s">
        <v>9</v>
      </c>
      <c r="C128" s="9">
        <v>1923</v>
      </c>
      <c r="D128" s="10">
        <v>45701</v>
      </c>
      <c r="E128" s="13" t="str">
        <f>+HYPERLINK("http://trademark.i-assist.jp/data/china/image_1923th/80691014.pdf","80691014")</f>
        <v>80691014</v>
      </c>
      <c r="F128" s="9" t="s">
        <v>399</v>
      </c>
      <c r="G128" s="9" t="s">
        <v>400</v>
      </c>
      <c r="H128" s="11" t="s">
        <v>401</v>
      </c>
      <c r="I128" s="10">
        <v>45537</v>
      </c>
    </row>
    <row r="129" spans="1:9" x14ac:dyDescent="0.15">
      <c r="A129" s="9">
        <v>128</v>
      </c>
      <c r="B129" s="9" t="s">
        <v>9</v>
      </c>
      <c r="C129" s="9">
        <v>1923</v>
      </c>
      <c r="D129" s="10">
        <v>45701</v>
      </c>
      <c r="E129" s="13" t="str">
        <f>+HYPERLINK("http://trademark.i-assist.jp/data/china/image_1923th/80733386.pdf","80733386")</f>
        <v>80733386</v>
      </c>
      <c r="F129" s="9" t="s">
        <v>402</v>
      </c>
      <c r="G129" s="11" t="s">
        <v>403</v>
      </c>
      <c r="H129" s="9" t="s">
        <v>404</v>
      </c>
      <c r="I129" s="10">
        <v>45539</v>
      </c>
    </row>
    <row r="130" spans="1:9" x14ac:dyDescent="0.15">
      <c r="A130" s="9">
        <v>129</v>
      </c>
      <c r="B130" s="9" t="s">
        <v>9</v>
      </c>
      <c r="C130" s="9">
        <v>1923</v>
      </c>
      <c r="D130" s="10">
        <v>45701</v>
      </c>
      <c r="E130" s="13" t="str">
        <f>+HYPERLINK("http://trademark.i-assist.jp/data/china/image_1923th/80749027.pdf","80749027")</f>
        <v>80749027</v>
      </c>
      <c r="F130" s="9" t="s">
        <v>405</v>
      </c>
      <c r="G130" s="9" t="s">
        <v>406</v>
      </c>
      <c r="H130" s="9" t="s">
        <v>407</v>
      </c>
      <c r="I130" s="10">
        <v>45539</v>
      </c>
    </row>
    <row r="131" spans="1:9" x14ac:dyDescent="0.15">
      <c r="A131" s="9">
        <v>130</v>
      </c>
      <c r="B131" s="9" t="s">
        <v>9</v>
      </c>
      <c r="C131" s="9">
        <v>1923</v>
      </c>
      <c r="D131" s="10">
        <v>45701</v>
      </c>
      <c r="E131" s="13" t="str">
        <f>+HYPERLINK("http://trademark.i-assist.jp/data/china/image_1923th/80757079.pdf","80757079")</f>
        <v>80757079</v>
      </c>
      <c r="F131" s="11" t="s">
        <v>126</v>
      </c>
      <c r="G131" s="9" t="s">
        <v>408</v>
      </c>
      <c r="H131" s="9" t="s">
        <v>409</v>
      </c>
      <c r="I131" s="10">
        <v>45540</v>
      </c>
    </row>
    <row r="132" spans="1:9" x14ac:dyDescent="0.15">
      <c r="A132" s="9">
        <v>131</v>
      </c>
      <c r="B132" s="9" t="s">
        <v>9</v>
      </c>
      <c r="C132" s="9">
        <v>1923</v>
      </c>
      <c r="D132" s="10">
        <v>45701</v>
      </c>
      <c r="E132" s="13" t="str">
        <f>+HYPERLINK("http://trademark.i-assist.jp/data/china/image_1923th/80770587.pdf","80770587")</f>
        <v>80770587</v>
      </c>
      <c r="F132" s="9" t="s">
        <v>410</v>
      </c>
      <c r="G132" s="9" t="s">
        <v>24</v>
      </c>
      <c r="H132" s="9" t="s">
        <v>411</v>
      </c>
      <c r="I132" s="10">
        <v>45540</v>
      </c>
    </row>
    <row r="133" spans="1:9" x14ac:dyDescent="0.15">
      <c r="A133" s="9">
        <v>132</v>
      </c>
      <c r="B133" s="9" t="s">
        <v>9</v>
      </c>
      <c r="C133" s="9">
        <v>1923</v>
      </c>
      <c r="D133" s="10">
        <v>45701</v>
      </c>
      <c r="E133" s="13" t="str">
        <f>+HYPERLINK("http://trademark.i-assist.jp/data/china/image_1923th/80779123.pdf","80779123")</f>
        <v>80779123</v>
      </c>
      <c r="F133" s="11" t="s">
        <v>126</v>
      </c>
      <c r="G133" s="9" t="s">
        <v>412</v>
      </c>
      <c r="H133" s="9" t="s">
        <v>413</v>
      </c>
      <c r="I133" s="10">
        <v>45541</v>
      </c>
    </row>
    <row r="134" spans="1:9" x14ac:dyDescent="0.15">
      <c r="A134" s="9">
        <v>133</v>
      </c>
      <c r="B134" s="9" t="s">
        <v>9</v>
      </c>
      <c r="C134" s="9">
        <v>1923</v>
      </c>
      <c r="D134" s="10">
        <v>45701</v>
      </c>
      <c r="E134" s="13" t="str">
        <f>+HYPERLINK("http://trademark.i-assist.jp/data/china/image_1923th/80781092.pdf","80781092")</f>
        <v>80781092</v>
      </c>
      <c r="F134" s="9" t="s">
        <v>414</v>
      </c>
      <c r="G134" s="9" t="s">
        <v>415</v>
      </c>
      <c r="H134" s="9" t="s">
        <v>416</v>
      </c>
      <c r="I134" s="10">
        <v>45541</v>
      </c>
    </row>
    <row r="135" spans="1:9" x14ac:dyDescent="0.15">
      <c r="A135" s="9">
        <v>134</v>
      </c>
      <c r="B135" s="9" t="s">
        <v>9</v>
      </c>
      <c r="C135" s="9">
        <v>1923</v>
      </c>
      <c r="D135" s="10">
        <v>45701</v>
      </c>
      <c r="E135" s="13" t="str">
        <f>+HYPERLINK("http://trademark.i-assist.jp/data/china/image_1923th/80787073.pdf","80787073")</f>
        <v>80787073</v>
      </c>
      <c r="F135" s="9" t="s">
        <v>417</v>
      </c>
      <c r="G135" s="11" t="s">
        <v>418</v>
      </c>
      <c r="H135" s="9" t="s">
        <v>419</v>
      </c>
      <c r="I135" s="10">
        <v>45541</v>
      </c>
    </row>
    <row r="136" spans="1:9" x14ac:dyDescent="0.15">
      <c r="A136" s="9">
        <v>135</v>
      </c>
      <c r="B136" s="9" t="s">
        <v>9</v>
      </c>
      <c r="C136" s="9">
        <v>1923</v>
      </c>
      <c r="D136" s="10">
        <v>45701</v>
      </c>
      <c r="E136" s="13" t="str">
        <f>+HYPERLINK("http://trademark.i-assist.jp/data/china/image_1923th/80802750.pdf","80802750")</f>
        <v>80802750</v>
      </c>
      <c r="F136" s="9" t="s">
        <v>420</v>
      </c>
      <c r="G136" s="11" t="s">
        <v>421</v>
      </c>
      <c r="H136" s="9" t="s">
        <v>422</v>
      </c>
      <c r="I136" s="10">
        <v>45542</v>
      </c>
    </row>
    <row r="137" spans="1:9" x14ac:dyDescent="0.15">
      <c r="A137" s="9">
        <v>136</v>
      </c>
      <c r="B137" s="9" t="s">
        <v>9</v>
      </c>
      <c r="C137" s="9">
        <v>1923</v>
      </c>
      <c r="D137" s="10">
        <v>45701</v>
      </c>
      <c r="E137" s="13" t="str">
        <f>+HYPERLINK("http://trademark.i-assist.jp/data/china/image_1923th/80806081.pdf","80806081")</f>
        <v>80806081</v>
      </c>
      <c r="F137" s="9" t="s">
        <v>423</v>
      </c>
      <c r="G137" s="9" t="s">
        <v>424</v>
      </c>
      <c r="H137" s="9" t="s">
        <v>425</v>
      </c>
      <c r="I137" s="10">
        <v>45542</v>
      </c>
    </row>
    <row r="138" spans="1:9" x14ac:dyDescent="0.15">
      <c r="A138" s="9">
        <v>137</v>
      </c>
      <c r="B138" s="9" t="s">
        <v>9</v>
      </c>
      <c r="C138" s="9">
        <v>1923</v>
      </c>
      <c r="D138" s="10">
        <v>45701</v>
      </c>
      <c r="E138" s="13" t="str">
        <f>+HYPERLINK("http://trademark.i-assist.jp/data/china/image_1923th/80809341.pdf","80809341")</f>
        <v>80809341</v>
      </c>
      <c r="F138" s="9" t="s">
        <v>426</v>
      </c>
      <c r="G138" s="9" t="s">
        <v>427</v>
      </c>
      <c r="H138" s="9" t="s">
        <v>428</v>
      </c>
      <c r="I138" s="10">
        <v>45544</v>
      </c>
    </row>
    <row r="139" spans="1:9" x14ac:dyDescent="0.15">
      <c r="A139" s="9">
        <v>138</v>
      </c>
      <c r="B139" s="9" t="s">
        <v>9</v>
      </c>
      <c r="C139" s="9">
        <v>1923</v>
      </c>
      <c r="D139" s="10">
        <v>45701</v>
      </c>
      <c r="E139" s="13" t="str">
        <f>+HYPERLINK("http://trademark.i-assist.jp/data/china/image_1923th/80815050.pdf","80815050")</f>
        <v>80815050</v>
      </c>
      <c r="F139" s="11" t="s">
        <v>429</v>
      </c>
      <c r="G139" s="9" t="s">
        <v>430</v>
      </c>
      <c r="H139" s="9" t="s">
        <v>431</v>
      </c>
      <c r="I139" s="10">
        <v>45544</v>
      </c>
    </row>
    <row r="140" spans="1:9" x14ac:dyDescent="0.15">
      <c r="A140" s="9">
        <v>139</v>
      </c>
      <c r="B140" s="9" t="s">
        <v>9</v>
      </c>
      <c r="C140" s="9">
        <v>1923</v>
      </c>
      <c r="D140" s="10">
        <v>45701</v>
      </c>
      <c r="E140" s="13" t="str">
        <f>+HYPERLINK("http://trademark.i-assist.jp/data/china/image_1923th/80818015.pdf","80818015")</f>
        <v>80818015</v>
      </c>
      <c r="F140" s="12" t="s">
        <v>432</v>
      </c>
      <c r="G140" s="9" t="s">
        <v>433</v>
      </c>
      <c r="H140" s="9" t="s">
        <v>434</v>
      </c>
      <c r="I140" s="10">
        <v>45544</v>
      </c>
    </row>
    <row r="141" spans="1:9" x14ac:dyDescent="0.15">
      <c r="A141" s="9">
        <v>140</v>
      </c>
      <c r="B141" s="9" t="s">
        <v>9</v>
      </c>
      <c r="C141" s="9">
        <v>1923</v>
      </c>
      <c r="D141" s="10">
        <v>45701</v>
      </c>
      <c r="E141" s="13" t="str">
        <f>+HYPERLINK("http://trademark.i-assist.jp/data/china/image_1923th/80822877.pdf","80822877")</f>
        <v>80822877</v>
      </c>
      <c r="F141" s="11" t="s">
        <v>435</v>
      </c>
      <c r="G141" s="9" t="s">
        <v>436</v>
      </c>
      <c r="H141" s="9" t="s">
        <v>437</v>
      </c>
      <c r="I141" s="10">
        <v>45544</v>
      </c>
    </row>
    <row r="142" spans="1:9" x14ac:dyDescent="0.15">
      <c r="A142" s="9">
        <v>141</v>
      </c>
      <c r="B142" s="9" t="s">
        <v>9</v>
      </c>
      <c r="C142" s="9">
        <v>1923</v>
      </c>
      <c r="D142" s="10">
        <v>45701</v>
      </c>
      <c r="E142" s="13" t="str">
        <f>+HYPERLINK("http://trademark.i-assist.jp/data/china/image_1923th/80824878.pdf","80824878")</f>
        <v>80824878</v>
      </c>
      <c r="F142" s="12" t="s">
        <v>432</v>
      </c>
      <c r="G142" s="9" t="s">
        <v>433</v>
      </c>
      <c r="H142" s="9" t="s">
        <v>438</v>
      </c>
      <c r="I142" s="10">
        <v>45544</v>
      </c>
    </row>
    <row r="143" spans="1:9" x14ac:dyDescent="0.15">
      <c r="A143" s="9">
        <v>142</v>
      </c>
      <c r="B143" s="9" t="s">
        <v>9</v>
      </c>
      <c r="C143" s="9">
        <v>1923</v>
      </c>
      <c r="D143" s="10">
        <v>45701</v>
      </c>
      <c r="E143" s="13" t="str">
        <f>+HYPERLINK("http://trademark.i-assist.jp/data/china/image_1923th/80835095.pdf","80835095")</f>
        <v>80835095</v>
      </c>
      <c r="F143" s="9" t="s">
        <v>439</v>
      </c>
      <c r="G143" s="9" t="s">
        <v>440</v>
      </c>
      <c r="H143" s="11" t="s">
        <v>441</v>
      </c>
      <c r="I143" s="10">
        <v>45545</v>
      </c>
    </row>
    <row r="144" spans="1:9" x14ac:dyDescent="0.15">
      <c r="A144" s="9">
        <v>143</v>
      </c>
      <c r="B144" s="9" t="s">
        <v>9</v>
      </c>
      <c r="C144" s="9">
        <v>1923</v>
      </c>
      <c r="D144" s="10">
        <v>45701</v>
      </c>
      <c r="E144" s="13" t="str">
        <f>+HYPERLINK("http://trademark.i-assist.jp/data/china/image_1923th/80835824.pdf","80835824")</f>
        <v>80835824</v>
      </c>
      <c r="F144" s="9" t="s">
        <v>442</v>
      </c>
      <c r="G144" s="9" t="s">
        <v>443</v>
      </c>
      <c r="H144" s="9" t="s">
        <v>444</v>
      </c>
      <c r="I144" s="10">
        <v>45545</v>
      </c>
    </row>
    <row r="145" spans="1:9" x14ac:dyDescent="0.15">
      <c r="A145" s="9">
        <v>144</v>
      </c>
      <c r="B145" s="9" t="s">
        <v>9</v>
      </c>
      <c r="C145" s="9">
        <v>1923</v>
      </c>
      <c r="D145" s="10">
        <v>45701</v>
      </c>
      <c r="E145" s="13" t="str">
        <f>+HYPERLINK("http://trademark.i-assist.jp/data/china/image_1923th/80837296.pdf","80837296")</f>
        <v>80837296</v>
      </c>
      <c r="F145" s="9" t="s">
        <v>445</v>
      </c>
      <c r="G145" s="9" t="s">
        <v>446</v>
      </c>
      <c r="H145" s="9" t="s">
        <v>447</v>
      </c>
      <c r="I145" s="10">
        <v>45545</v>
      </c>
    </row>
    <row r="146" spans="1:9" x14ac:dyDescent="0.15">
      <c r="A146" s="9">
        <v>145</v>
      </c>
      <c r="B146" s="9" t="s">
        <v>9</v>
      </c>
      <c r="C146" s="9">
        <v>1923</v>
      </c>
      <c r="D146" s="10">
        <v>45701</v>
      </c>
      <c r="E146" s="13" t="str">
        <f>+HYPERLINK("http://trademark.i-assist.jp/data/china/image_1923th/80840789.pdf","80840789")</f>
        <v>80840789</v>
      </c>
      <c r="F146" s="11" t="s">
        <v>448</v>
      </c>
      <c r="G146" s="9" t="s">
        <v>449</v>
      </c>
      <c r="H146" s="11" t="s">
        <v>450</v>
      </c>
      <c r="I146" s="10">
        <v>45545</v>
      </c>
    </row>
    <row r="147" spans="1:9" x14ac:dyDescent="0.15">
      <c r="A147" s="9">
        <v>146</v>
      </c>
      <c r="B147" s="9" t="s">
        <v>9</v>
      </c>
      <c r="C147" s="9">
        <v>1923</v>
      </c>
      <c r="D147" s="10">
        <v>45701</v>
      </c>
      <c r="E147" s="13" t="str">
        <f>+HYPERLINK("http://trademark.i-assist.jp/data/china/image_1923th/80858093.pdf","80858093")</f>
        <v>80858093</v>
      </c>
      <c r="F147" s="9" t="s">
        <v>451</v>
      </c>
      <c r="G147" s="9" t="s">
        <v>452</v>
      </c>
      <c r="H147" s="9" t="s">
        <v>453</v>
      </c>
      <c r="I147" s="10">
        <v>45546</v>
      </c>
    </row>
    <row r="148" spans="1:9" x14ac:dyDescent="0.15">
      <c r="A148" s="9">
        <v>147</v>
      </c>
      <c r="B148" s="9" t="s">
        <v>9</v>
      </c>
      <c r="C148" s="9">
        <v>1923</v>
      </c>
      <c r="D148" s="10">
        <v>45701</v>
      </c>
      <c r="E148" s="13" t="str">
        <f>+HYPERLINK("http://trademark.i-assist.jp/data/china/image_1923th/80866360.pdf","80866360")</f>
        <v>80866360</v>
      </c>
      <c r="F148" s="9" t="s">
        <v>454</v>
      </c>
      <c r="G148" s="9" t="s">
        <v>452</v>
      </c>
      <c r="H148" s="11" t="s">
        <v>455</v>
      </c>
      <c r="I148" s="10">
        <v>45546</v>
      </c>
    </row>
    <row r="149" spans="1:9" x14ac:dyDescent="0.15">
      <c r="A149" s="9">
        <v>148</v>
      </c>
      <c r="B149" s="9" t="s">
        <v>9</v>
      </c>
      <c r="C149" s="9">
        <v>1923</v>
      </c>
      <c r="D149" s="10">
        <v>45701</v>
      </c>
      <c r="E149" s="13" t="str">
        <f>+HYPERLINK("http://trademark.i-assist.jp/data/china/image_1923th/80866371.pdf","80866371")</f>
        <v>80866371</v>
      </c>
      <c r="F149" s="9" t="s">
        <v>456</v>
      </c>
      <c r="G149" s="9" t="s">
        <v>452</v>
      </c>
      <c r="H149" s="9" t="s">
        <v>457</v>
      </c>
      <c r="I149" s="10">
        <v>45546</v>
      </c>
    </row>
    <row r="150" spans="1:9" x14ac:dyDescent="0.15">
      <c r="A150" s="9">
        <v>149</v>
      </c>
      <c r="B150" s="9" t="s">
        <v>9</v>
      </c>
      <c r="C150" s="9">
        <v>1923</v>
      </c>
      <c r="D150" s="10">
        <v>45701</v>
      </c>
      <c r="E150" s="13" t="str">
        <f>+HYPERLINK("http://trademark.i-assist.jp/data/china/image_1923th/80866990.pdf","80866990")</f>
        <v>80866990</v>
      </c>
      <c r="F150" s="9" t="s">
        <v>458</v>
      </c>
      <c r="G150" s="9" t="s">
        <v>459</v>
      </c>
      <c r="H150" s="11" t="s">
        <v>460</v>
      </c>
      <c r="I150" s="10">
        <v>45546</v>
      </c>
    </row>
    <row r="151" spans="1:9" x14ac:dyDescent="0.15">
      <c r="A151" s="9">
        <v>150</v>
      </c>
      <c r="B151" s="9" t="s">
        <v>9</v>
      </c>
      <c r="C151" s="9">
        <v>1923</v>
      </c>
      <c r="D151" s="10">
        <v>45701</v>
      </c>
      <c r="E151" s="13" t="str">
        <f>+HYPERLINK("http://trademark.i-assist.jp/data/china/image_1923th/80867568.pdf","80867568")</f>
        <v>80867568</v>
      </c>
      <c r="F151" s="9" t="s">
        <v>461</v>
      </c>
      <c r="G151" s="9" t="s">
        <v>462</v>
      </c>
      <c r="H151" s="9" t="s">
        <v>463</v>
      </c>
      <c r="I151" s="10">
        <v>45546</v>
      </c>
    </row>
    <row r="152" spans="1:9" x14ac:dyDescent="0.15">
      <c r="A152" s="9">
        <v>151</v>
      </c>
      <c r="B152" s="9" t="s">
        <v>9</v>
      </c>
      <c r="C152" s="9">
        <v>1923</v>
      </c>
      <c r="D152" s="10">
        <v>45701</v>
      </c>
      <c r="E152" s="13" t="str">
        <f>+HYPERLINK("http://trademark.i-assist.jp/data/china/image_1923th/80870275.pdf","80870275")</f>
        <v>80870275</v>
      </c>
      <c r="F152" s="9" t="s">
        <v>464</v>
      </c>
      <c r="G152" s="11" t="s">
        <v>465</v>
      </c>
      <c r="H152" s="9" t="s">
        <v>466</v>
      </c>
      <c r="I152" s="10">
        <v>45546</v>
      </c>
    </row>
    <row r="153" spans="1:9" x14ac:dyDescent="0.15">
      <c r="A153" s="9">
        <v>152</v>
      </c>
      <c r="B153" s="9" t="s">
        <v>9</v>
      </c>
      <c r="C153" s="9">
        <v>1923</v>
      </c>
      <c r="D153" s="10">
        <v>45701</v>
      </c>
      <c r="E153" s="13" t="str">
        <f>+HYPERLINK("http://trademark.i-assist.jp/data/china/image_1923th/80877642.pdf","80877642")</f>
        <v>80877642</v>
      </c>
      <c r="F153" s="11" t="s">
        <v>467</v>
      </c>
      <c r="G153" s="9" t="s">
        <v>468</v>
      </c>
      <c r="H153" s="9" t="s">
        <v>469</v>
      </c>
      <c r="I153" s="10">
        <v>45547</v>
      </c>
    </row>
    <row r="154" spans="1:9" x14ac:dyDescent="0.15">
      <c r="A154" s="9">
        <v>153</v>
      </c>
      <c r="B154" s="9" t="s">
        <v>9</v>
      </c>
      <c r="C154" s="9">
        <v>1923</v>
      </c>
      <c r="D154" s="10">
        <v>45701</v>
      </c>
      <c r="E154" s="13" t="str">
        <f>+HYPERLINK("http://trademark.i-assist.jp/data/china/image_1923th/80883970.pdf","80883970")</f>
        <v>80883970</v>
      </c>
      <c r="F154" s="11" t="s">
        <v>470</v>
      </c>
      <c r="G154" s="9" t="s">
        <v>471</v>
      </c>
      <c r="H154" s="9" t="s">
        <v>472</v>
      </c>
      <c r="I154" s="10">
        <v>45547</v>
      </c>
    </row>
    <row r="155" spans="1:9" x14ac:dyDescent="0.15">
      <c r="A155" s="9">
        <v>154</v>
      </c>
      <c r="B155" s="9" t="s">
        <v>9</v>
      </c>
      <c r="C155" s="9">
        <v>1923</v>
      </c>
      <c r="D155" s="10">
        <v>45701</v>
      </c>
      <c r="E155" s="13" t="str">
        <f>+HYPERLINK("http://trademark.i-assist.jp/data/china/image_1923th/80890399.pdf","80890399")</f>
        <v>80890399</v>
      </c>
      <c r="F155" s="9" t="s">
        <v>473</v>
      </c>
      <c r="G155" s="9" t="s">
        <v>82</v>
      </c>
      <c r="H155" s="9" t="s">
        <v>474</v>
      </c>
      <c r="I155" s="10">
        <v>45547</v>
      </c>
    </row>
    <row r="156" spans="1:9" x14ac:dyDescent="0.15">
      <c r="A156" s="9">
        <v>155</v>
      </c>
      <c r="B156" s="9" t="s">
        <v>9</v>
      </c>
      <c r="C156" s="9">
        <v>1923</v>
      </c>
      <c r="D156" s="10">
        <v>45701</v>
      </c>
      <c r="E156" s="13" t="str">
        <f>+HYPERLINK("http://trademark.i-assist.jp/data/china/image_1923th/80891963.pdf","80891963")</f>
        <v>80891963</v>
      </c>
      <c r="F156" s="11" t="s">
        <v>467</v>
      </c>
      <c r="G156" s="9" t="s">
        <v>468</v>
      </c>
      <c r="H156" s="9" t="s">
        <v>475</v>
      </c>
      <c r="I156" s="10">
        <v>45547</v>
      </c>
    </row>
    <row r="157" spans="1:9" x14ac:dyDescent="0.15">
      <c r="A157" s="9">
        <v>156</v>
      </c>
      <c r="B157" s="9" t="s">
        <v>9</v>
      </c>
      <c r="C157" s="9">
        <v>1923</v>
      </c>
      <c r="D157" s="10">
        <v>45701</v>
      </c>
      <c r="E157" s="13" t="str">
        <f>+HYPERLINK("http://trademark.i-assist.jp/data/china/image_1923th/80892115.pdf","80892115")</f>
        <v>80892115</v>
      </c>
      <c r="F157" s="9" t="s">
        <v>476</v>
      </c>
      <c r="G157" s="9" t="s">
        <v>477</v>
      </c>
      <c r="H157" s="9" t="s">
        <v>478</v>
      </c>
      <c r="I157" s="10">
        <v>45547</v>
      </c>
    </row>
    <row r="158" spans="1:9" x14ac:dyDescent="0.15">
      <c r="A158" s="9">
        <v>157</v>
      </c>
      <c r="B158" s="9" t="s">
        <v>9</v>
      </c>
      <c r="C158" s="9">
        <v>1923</v>
      </c>
      <c r="D158" s="10">
        <v>45701</v>
      </c>
      <c r="E158" s="13" t="str">
        <f>+HYPERLINK("http://trademark.i-assist.jp/data/china/image_1923th/80911697.pdf","80911697")</f>
        <v>80911697</v>
      </c>
      <c r="F158" s="11" t="s">
        <v>479</v>
      </c>
      <c r="G158" s="9" t="s">
        <v>226</v>
      </c>
      <c r="H158" s="11" t="s">
        <v>480</v>
      </c>
      <c r="I158" s="10">
        <v>45548</v>
      </c>
    </row>
    <row r="159" spans="1:9" x14ac:dyDescent="0.15">
      <c r="A159" s="9">
        <v>158</v>
      </c>
      <c r="B159" s="9" t="s">
        <v>9</v>
      </c>
      <c r="C159" s="9">
        <v>1923</v>
      </c>
      <c r="D159" s="10">
        <v>45701</v>
      </c>
      <c r="E159" s="13" t="str">
        <f>+HYPERLINK("http://trademark.i-assist.jp/data/china/image_1923th/80927075.pdf","80927075")</f>
        <v>80927075</v>
      </c>
      <c r="F159" s="9" t="s">
        <v>481</v>
      </c>
      <c r="G159" s="9" t="s">
        <v>482</v>
      </c>
      <c r="H159" s="9" t="s">
        <v>483</v>
      </c>
      <c r="I159" s="10">
        <v>45549</v>
      </c>
    </row>
    <row r="160" spans="1:9" x14ac:dyDescent="0.15">
      <c r="A160" s="9">
        <v>159</v>
      </c>
      <c r="B160" s="9" t="s">
        <v>9</v>
      </c>
      <c r="C160" s="9">
        <v>1923</v>
      </c>
      <c r="D160" s="10">
        <v>45701</v>
      </c>
      <c r="E160" s="13" t="str">
        <f>+HYPERLINK("http://trademark.i-assist.jp/data/china/image_1923th/80933360.pdf","80933360")</f>
        <v>80933360</v>
      </c>
      <c r="F160" s="11" t="s">
        <v>484</v>
      </c>
      <c r="G160" s="9" t="s">
        <v>485</v>
      </c>
      <c r="H160" s="9" t="s">
        <v>486</v>
      </c>
      <c r="I160" s="10">
        <v>45549</v>
      </c>
    </row>
    <row r="161" spans="1:9" x14ac:dyDescent="0.15">
      <c r="A161" s="9">
        <v>160</v>
      </c>
      <c r="B161" s="9" t="s">
        <v>9</v>
      </c>
      <c r="C161" s="9">
        <v>1923</v>
      </c>
      <c r="D161" s="10">
        <v>45701</v>
      </c>
      <c r="E161" s="13" t="str">
        <f>+HYPERLINK("http://trademark.i-assist.jp/data/china/image_1923th/80943688.pdf","80943688")</f>
        <v>80943688</v>
      </c>
      <c r="F161" s="9" t="s">
        <v>487</v>
      </c>
      <c r="G161" s="9" t="s">
        <v>482</v>
      </c>
      <c r="H161" s="9" t="s">
        <v>488</v>
      </c>
      <c r="I161" s="10">
        <v>45549</v>
      </c>
    </row>
    <row r="162" spans="1:9" x14ac:dyDescent="0.15">
      <c r="A162" s="9">
        <v>161</v>
      </c>
      <c r="B162" s="9" t="s">
        <v>9</v>
      </c>
      <c r="C162" s="9">
        <v>1923</v>
      </c>
      <c r="D162" s="10">
        <v>45701</v>
      </c>
      <c r="E162" s="13" t="str">
        <f>+HYPERLINK("http://trademark.i-assist.jp/data/china/image_1923th/80943697.pdf","80943697")</f>
        <v>80943697</v>
      </c>
      <c r="F162" s="9" t="s">
        <v>489</v>
      </c>
      <c r="G162" s="9" t="s">
        <v>482</v>
      </c>
      <c r="H162" s="9" t="s">
        <v>490</v>
      </c>
      <c r="I162" s="10">
        <v>45549</v>
      </c>
    </row>
    <row r="163" spans="1:9" x14ac:dyDescent="0.15">
      <c r="A163" s="9">
        <v>162</v>
      </c>
      <c r="B163" s="9" t="s">
        <v>9</v>
      </c>
      <c r="C163" s="9">
        <v>1923</v>
      </c>
      <c r="D163" s="10">
        <v>45701</v>
      </c>
      <c r="E163" s="13" t="str">
        <f>+HYPERLINK("http://trademark.i-assist.jp/data/china/image_1923th/80946615.pdf","80946615")</f>
        <v>80946615</v>
      </c>
      <c r="F163" s="9" t="s">
        <v>491</v>
      </c>
      <c r="G163" s="11" t="s">
        <v>492</v>
      </c>
      <c r="H163" s="9" t="s">
        <v>493</v>
      </c>
      <c r="I163" s="10">
        <v>45549</v>
      </c>
    </row>
    <row r="164" spans="1:9" x14ac:dyDescent="0.15">
      <c r="A164" s="9">
        <v>163</v>
      </c>
      <c r="B164" s="9" t="s">
        <v>9</v>
      </c>
      <c r="C164" s="9">
        <v>1923</v>
      </c>
      <c r="D164" s="10">
        <v>45701</v>
      </c>
      <c r="E164" s="13" t="str">
        <f>+HYPERLINK("http://trademark.i-assist.jp/data/china/image_1923th/80964262.pdf","80964262")</f>
        <v>80964262</v>
      </c>
      <c r="F164" s="9" t="s">
        <v>494</v>
      </c>
      <c r="G164" s="9" t="s">
        <v>495</v>
      </c>
      <c r="H164" s="9" t="s">
        <v>496</v>
      </c>
      <c r="I164" s="10">
        <v>45553</v>
      </c>
    </row>
    <row r="165" spans="1:9" x14ac:dyDescent="0.15">
      <c r="A165" s="9">
        <v>164</v>
      </c>
      <c r="B165" s="9" t="s">
        <v>9</v>
      </c>
      <c r="C165" s="9">
        <v>1923</v>
      </c>
      <c r="D165" s="10">
        <v>45701</v>
      </c>
      <c r="E165" s="13" t="str">
        <f>+HYPERLINK("http://trademark.i-assist.jp/data/china/image_1923th/80968036.pdf","80968036")</f>
        <v>80968036</v>
      </c>
      <c r="F165" s="9" t="s">
        <v>497</v>
      </c>
      <c r="G165" s="9" t="s">
        <v>498</v>
      </c>
      <c r="H165" s="9" t="s">
        <v>499</v>
      </c>
      <c r="I165" s="10">
        <v>45553</v>
      </c>
    </row>
    <row r="166" spans="1:9" x14ac:dyDescent="0.15">
      <c r="A166" s="9">
        <v>165</v>
      </c>
      <c r="B166" s="9" t="s">
        <v>9</v>
      </c>
      <c r="C166" s="9">
        <v>1923</v>
      </c>
      <c r="D166" s="10">
        <v>45701</v>
      </c>
      <c r="E166" s="13" t="str">
        <f>+HYPERLINK("http://trademark.i-assist.jp/data/china/image_1923th/80996450.pdf","80996450")</f>
        <v>80996450</v>
      </c>
      <c r="F166" s="9" t="s">
        <v>500</v>
      </c>
      <c r="G166" s="9" t="s">
        <v>501</v>
      </c>
      <c r="H166" s="9" t="s">
        <v>502</v>
      </c>
      <c r="I166" s="10">
        <v>45554</v>
      </c>
    </row>
    <row r="167" spans="1:9" x14ac:dyDescent="0.15">
      <c r="A167" s="9">
        <v>166</v>
      </c>
      <c r="B167" s="9" t="s">
        <v>9</v>
      </c>
      <c r="C167" s="9">
        <v>1923</v>
      </c>
      <c r="D167" s="10">
        <v>45701</v>
      </c>
      <c r="E167" s="13" t="str">
        <f>+HYPERLINK("http://trademark.i-assist.jp/data/china/image_1923th/80998292.pdf","80998292")</f>
        <v>80998292</v>
      </c>
      <c r="F167" s="9" t="s">
        <v>503</v>
      </c>
      <c r="G167" s="9" t="s">
        <v>504</v>
      </c>
      <c r="H167" s="9" t="s">
        <v>505</v>
      </c>
      <c r="I167" s="10">
        <v>45554</v>
      </c>
    </row>
    <row r="168" spans="1:9" x14ac:dyDescent="0.15">
      <c r="A168" s="9">
        <v>167</v>
      </c>
      <c r="B168" s="9" t="s">
        <v>9</v>
      </c>
      <c r="C168" s="9">
        <v>1923</v>
      </c>
      <c r="D168" s="10">
        <v>45701</v>
      </c>
      <c r="E168" s="13" t="str">
        <f>+HYPERLINK("http://trademark.i-assist.jp/data/china/image_1923th/81031775.pdf","81031775")</f>
        <v>81031775</v>
      </c>
      <c r="F168" s="9" t="s">
        <v>506</v>
      </c>
      <c r="G168" s="9" t="s">
        <v>507</v>
      </c>
      <c r="H168" s="9" t="s">
        <v>508</v>
      </c>
      <c r="I168" s="10">
        <v>45555</v>
      </c>
    </row>
    <row r="169" spans="1:9" x14ac:dyDescent="0.15">
      <c r="A169" s="9">
        <v>168</v>
      </c>
      <c r="B169" s="9" t="s">
        <v>9</v>
      </c>
      <c r="C169" s="9">
        <v>1923</v>
      </c>
      <c r="D169" s="10">
        <v>45701</v>
      </c>
      <c r="E169" s="13" t="str">
        <f>+HYPERLINK("http://trademark.i-assist.jp/data/china/image_1923th/81040025.pdf","81040025")</f>
        <v>81040025</v>
      </c>
      <c r="F169" s="11" t="s">
        <v>509</v>
      </c>
      <c r="G169" s="9" t="s">
        <v>510</v>
      </c>
      <c r="H169" s="9" t="s">
        <v>381</v>
      </c>
      <c r="I169" s="10">
        <v>45557</v>
      </c>
    </row>
    <row r="170" spans="1:9" x14ac:dyDescent="0.15">
      <c r="A170" s="9">
        <v>169</v>
      </c>
      <c r="B170" s="9" t="s">
        <v>9</v>
      </c>
      <c r="C170" s="9">
        <v>1923</v>
      </c>
      <c r="D170" s="10">
        <v>45701</v>
      </c>
      <c r="E170" s="13" t="str">
        <f>+HYPERLINK("http://trademark.i-assist.jp/data/china/image_1923th/81046924.pdf","81046924")</f>
        <v>81046924</v>
      </c>
      <c r="F170" s="11" t="s">
        <v>511</v>
      </c>
      <c r="G170" s="9" t="s">
        <v>512</v>
      </c>
      <c r="H170" s="11" t="s">
        <v>513</v>
      </c>
      <c r="I170" s="10">
        <v>45558</v>
      </c>
    </row>
    <row r="171" spans="1:9" x14ac:dyDescent="0.15">
      <c r="A171" s="9">
        <v>170</v>
      </c>
      <c r="B171" s="9" t="s">
        <v>9</v>
      </c>
      <c r="C171" s="9">
        <v>1923</v>
      </c>
      <c r="D171" s="10">
        <v>45701</v>
      </c>
      <c r="E171" s="13" t="str">
        <f>+HYPERLINK("http://trademark.i-assist.jp/data/china/image_1923th/81068479.pdf","81068479")</f>
        <v>81068479</v>
      </c>
      <c r="F171" s="11" t="s">
        <v>126</v>
      </c>
      <c r="G171" s="9" t="s">
        <v>514</v>
      </c>
      <c r="H171" s="9" t="s">
        <v>515</v>
      </c>
      <c r="I171" s="10">
        <v>45558</v>
      </c>
    </row>
    <row r="172" spans="1:9" x14ac:dyDescent="0.15">
      <c r="A172" s="9">
        <v>171</v>
      </c>
      <c r="B172" s="9" t="s">
        <v>9</v>
      </c>
      <c r="C172" s="9">
        <v>1923</v>
      </c>
      <c r="D172" s="10">
        <v>45701</v>
      </c>
      <c r="E172" s="13" t="str">
        <f>+HYPERLINK("http://trademark.i-assist.jp/data/china/image_1923th/81073399.pdf","81073399")</f>
        <v>81073399</v>
      </c>
      <c r="F172" s="11" t="s">
        <v>516</v>
      </c>
      <c r="G172" s="9" t="s">
        <v>517</v>
      </c>
      <c r="H172" s="9" t="s">
        <v>518</v>
      </c>
      <c r="I172" s="10">
        <v>45559</v>
      </c>
    </row>
    <row r="173" spans="1:9" x14ac:dyDescent="0.15">
      <c r="A173" s="9">
        <v>172</v>
      </c>
      <c r="B173" s="9" t="s">
        <v>9</v>
      </c>
      <c r="C173" s="9">
        <v>1923</v>
      </c>
      <c r="D173" s="10">
        <v>45701</v>
      </c>
      <c r="E173" s="13" t="str">
        <f>+HYPERLINK("http://trademark.i-assist.jp/data/china/image_1923th/81082313.pdf","81082313")</f>
        <v>81082313</v>
      </c>
      <c r="F173" s="9" t="s">
        <v>519</v>
      </c>
      <c r="G173" s="9" t="s">
        <v>520</v>
      </c>
      <c r="H173" s="9" t="s">
        <v>521</v>
      </c>
      <c r="I173" s="10">
        <v>45559</v>
      </c>
    </row>
    <row r="174" spans="1:9" x14ac:dyDescent="0.15">
      <c r="A174" s="9">
        <v>173</v>
      </c>
      <c r="B174" s="9" t="s">
        <v>9</v>
      </c>
      <c r="C174" s="9">
        <v>1923</v>
      </c>
      <c r="D174" s="10">
        <v>45701</v>
      </c>
      <c r="E174" s="13" t="str">
        <f>+HYPERLINK("http://trademark.i-assist.jp/data/china/image_1923th/81085055.pdf","81085055")</f>
        <v>81085055</v>
      </c>
      <c r="F174" s="9" t="s">
        <v>522</v>
      </c>
      <c r="G174" s="9" t="s">
        <v>523</v>
      </c>
      <c r="H174" s="9" t="s">
        <v>524</v>
      </c>
      <c r="I174" s="10">
        <v>45559</v>
      </c>
    </row>
    <row r="175" spans="1:9" x14ac:dyDescent="0.15">
      <c r="A175" s="9">
        <v>174</v>
      </c>
      <c r="B175" s="9" t="s">
        <v>9</v>
      </c>
      <c r="C175" s="9">
        <v>1923</v>
      </c>
      <c r="D175" s="10">
        <v>45701</v>
      </c>
      <c r="E175" s="13" t="str">
        <f>+HYPERLINK("http://trademark.i-assist.jp/data/china/image_1923th/81088082.pdf","81088082")</f>
        <v>81088082</v>
      </c>
      <c r="F175" s="9" t="s">
        <v>525</v>
      </c>
      <c r="G175" s="9" t="s">
        <v>520</v>
      </c>
      <c r="H175" s="9" t="s">
        <v>526</v>
      </c>
      <c r="I175" s="10">
        <v>45559</v>
      </c>
    </row>
    <row r="176" spans="1:9" x14ac:dyDescent="0.15">
      <c r="A176" s="9">
        <v>175</v>
      </c>
      <c r="B176" s="9" t="s">
        <v>9</v>
      </c>
      <c r="C176" s="9">
        <v>1923</v>
      </c>
      <c r="D176" s="10">
        <v>45701</v>
      </c>
      <c r="E176" s="13" t="str">
        <f>+HYPERLINK("http://trademark.i-assist.jp/data/china/image_1923th/81104970A.pdf","81104970A")</f>
        <v>81104970A</v>
      </c>
      <c r="F176" s="11" t="s">
        <v>527</v>
      </c>
      <c r="G176" s="9" t="s">
        <v>528</v>
      </c>
      <c r="H176" s="9" t="s">
        <v>529</v>
      </c>
      <c r="I176" s="10">
        <v>45560</v>
      </c>
    </row>
    <row r="177" spans="1:9" x14ac:dyDescent="0.15">
      <c r="A177" s="9">
        <v>176</v>
      </c>
      <c r="B177" s="9" t="s">
        <v>9</v>
      </c>
      <c r="C177" s="9">
        <v>1923</v>
      </c>
      <c r="D177" s="10">
        <v>45701</v>
      </c>
      <c r="E177" s="13" t="str">
        <f>+HYPERLINK("http://trademark.i-assist.jp/data/china/image_1923th/81126058.pdf","81126058")</f>
        <v>81126058</v>
      </c>
      <c r="F177" s="9" t="s">
        <v>530</v>
      </c>
      <c r="G177" s="9" t="s">
        <v>531</v>
      </c>
      <c r="H177" s="11" t="s">
        <v>532</v>
      </c>
      <c r="I177" s="10">
        <v>45561</v>
      </c>
    </row>
    <row r="178" spans="1:9" x14ac:dyDescent="0.15">
      <c r="A178" s="9">
        <v>177</v>
      </c>
      <c r="B178" s="9" t="s">
        <v>9</v>
      </c>
      <c r="C178" s="9">
        <v>1923</v>
      </c>
      <c r="D178" s="10">
        <v>45701</v>
      </c>
      <c r="E178" s="13" t="str">
        <f>+HYPERLINK("http://trademark.i-assist.jp/data/china/image_1923th/81138981.pdf","81138981")</f>
        <v>81138981</v>
      </c>
      <c r="F178" s="9" t="s">
        <v>533</v>
      </c>
      <c r="G178" s="9" t="s">
        <v>18</v>
      </c>
      <c r="H178" s="9" t="s">
        <v>534</v>
      </c>
      <c r="I178" s="10">
        <v>45561</v>
      </c>
    </row>
    <row r="179" spans="1:9" x14ac:dyDescent="0.15">
      <c r="A179" s="9">
        <v>178</v>
      </c>
      <c r="B179" s="9" t="s">
        <v>9</v>
      </c>
      <c r="C179" s="9">
        <v>1923</v>
      </c>
      <c r="D179" s="10">
        <v>45701</v>
      </c>
      <c r="E179" s="13" t="str">
        <f>+HYPERLINK("http://trademark.i-assist.jp/data/china/image_1923th/81144427.pdf","81144427")</f>
        <v>81144427</v>
      </c>
      <c r="F179" s="9" t="s">
        <v>535</v>
      </c>
      <c r="G179" s="9" t="s">
        <v>536</v>
      </c>
      <c r="H179" s="9" t="s">
        <v>537</v>
      </c>
      <c r="I179" s="10">
        <v>45562</v>
      </c>
    </row>
    <row r="180" spans="1:9" x14ac:dyDescent="0.15">
      <c r="A180" s="9">
        <v>179</v>
      </c>
      <c r="B180" s="9" t="s">
        <v>9</v>
      </c>
      <c r="C180" s="9">
        <v>1923</v>
      </c>
      <c r="D180" s="10">
        <v>45701</v>
      </c>
      <c r="E180" s="13" t="str">
        <f>+HYPERLINK("http://trademark.i-assist.jp/data/china/image_1923th/81170812.pdf","81170812")</f>
        <v>81170812</v>
      </c>
      <c r="F180" s="9" t="s">
        <v>538</v>
      </c>
      <c r="G180" s="9" t="s">
        <v>539</v>
      </c>
      <c r="H180" s="9" t="s">
        <v>540</v>
      </c>
      <c r="I180" s="10">
        <v>45563</v>
      </c>
    </row>
    <row r="181" spans="1:9" x14ac:dyDescent="0.15">
      <c r="A181" s="9">
        <v>180</v>
      </c>
      <c r="B181" s="9" t="s">
        <v>9</v>
      </c>
      <c r="C181" s="9">
        <v>1923</v>
      </c>
      <c r="D181" s="10">
        <v>45701</v>
      </c>
      <c r="E181" s="13" t="str">
        <f>+HYPERLINK("http://trademark.i-assist.jp/data/china/image_1923th/81187952.pdf","81187952")</f>
        <v>81187952</v>
      </c>
      <c r="F181" s="9" t="s">
        <v>541</v>
      </c>
      <c r="G181" s="11" t="s">
        <v>542</v>
      </c>
      <c r="H181" s="9" t="s">
        <v>543</v>
      </c>
      <c r="I181" s="10">
        <v>45564</v>
      </c>
    </row>
    <row r="182" spans="1:9" x14ac:dyDescent="0.15">
      <c r="A182" s="9">
        <v>181</v>
      </c>
      <c r="B182" s="9" t="s">
        <v>9</v>
      </c>
      <c r="C182" s="9">
        <v>1923</v>
      </c>
      <c r="D182" s="10">
        <v>45701</v>
      </c>
      <c r="E182" s="13" t="str">
        <f>+HYPERLINK("http://trademark.i-assist.jp/data/china/image_1923th/81191150.pdf","81191150")</f>
        <v>81191150</v>
      </c>
      <c r="F182" s="9" t="s">
        <v>544</v>
      </c>
      <c r="G182" s="9" t="s">
        <v>545</v>
      </c>
      <c r="H182" s="9" t="s">
        <v>546</v>
      </c>
      <c r="I182" s="10">
        <v>45564</v>
      </c>
    </row>
    <row r="183" spans="1:9" x14ac:dyDescent="0.15">
      <c r="A183" s="9">
        <v>182</v>
      </c>
      <c r="B183" s="9" t="s">
        <v>9</v>
      </c>
      <c r="C183" s="9">
        <v>1923</v>
      </c>
      <c r="D183" s="10">
        <v>45701</v>
      </c>
      <c r="E183" s="13" t="str">
        <f>+HYPERLINK("http://trademark.i-assist.jp/data/china/image_1923th/81197604.pdf","81197604")</f>
        <v>81197604</v>
      </c>
      <c r="F183" s="11" t="s">
        <v>126</v>
      </c>
      <c r="G183" s="9" t="s">
        <v>547</v>
      </c>
      <c r="H183" s="9" t="s">
        <v>548</v>
      </c>
      <c r="I183" s="10">
        <v>45564</v>
      </c>
    </row>
    <row r="184" spans="1:9" x14ac:dyDescent="0.15">
      <c r="A184" s="9">
        <v>183</v>
      </c>
      <c r="B184" s="9" t="s">
        <v>9</v>
      </c>
      <c r="C184" s="9">
        <v>1923</v>
      </c>
      <c r="D184" s="10">
        <v>45701</v>
      </c>
      <c r="E184" s="13" t="str">
        <f>+HYPERLINK("http://trademark.i-assist.jp/data/china/image_1923th/81200578.pdf","81200578")</f>
        <v>81200578</v>
      </c>
      <c r="F184" s="11" t="s">
        <v>126</v>
      </c>
      <c r="G184" s="9" t="s">
        <v>547</v>
      </c>
      <c r="H184" s="9" t="s">
        <v>549</v>
      </c>
      <c r="I184" s="10">
        <v>45564</v>
      </c>
    </row>
    <row r="185" spans="1:9" x14ac:dyDescent="0.15">
      <c r="A185" s="9">
        <v>184</v>
      </c>
      <c r="B185" s="9" t="s">
        <v>9</v>
      </c>
      <c r="C185" s="9">
        <v>1923</v>
      </c>
      <c r="D185" s="10">
        <v>45701</v>
      </c>
      <c r="E185" s="13" t="str">
        <f>+HYPERLINK("http://trademark.i-assist.jp/data/china/image_1923th/81205566.pdf","81205566")</f>
        <v>81205566</v>
      </c>
      <c r="F185" s="9" t="s">
        <v>550</v>
      </c>
      <c r="G185" s="11" t="s">
        <v>551</v>
      </c>
      <c r="H185" s="9" t="s">
        <v>552</v>
      </c>
      <c r="I185" s="10">
        <v>45565</v>
      </c>
    </row>
    <row r="186" spans="1:9" x14ac:dyDescent="0.15">
      <c r="A186" s="9">
        <v>185</v>
      </c>
      <c r="B186" s="9" t="s">
        <v>9</v>
      </c>
      <c r="C186" s="9">
        <v>1923</v>
      </c>
      <c r="D186" s="10">
        <v>45701</v>
      </c>
      <c r="E186" s="13" t="str">
        <f>+HYPERLINK("http://trademark.i-assist.jp/data/china/image_1923th/81222322.pdf","81222322")</f>
        <v>81222322</v>
      </c>
      <c r="F186" s="9" t="s">
        <v>553</v>
      </c>
      <c r="G186" s="9" t="s">
        <v>554</v>
      </c>
      <c r="H186" s="9" t="s">
        <v>555</v>
      </c>
      <c r="I186" s="10">
        <v>45565</v>
      </c>
    </row>
    <row r="187" spans="1:9" x14ac:dyDescent="0.15">
      <c r="A187" s="9">
        <v>186</v>
      </c>
      <c r="B187" s="9" t="s">
        <v>9</v>
      </c>
      <c r="C187" s="9">
        <v>1923</v>
      </c>
      <c r="D187" s="10">
        <v>45701</v>
      </c>
      <c r="E187" s="13" t="str">
        <f>+HYPERLINK("http://trademark.i-assist.jp/data/china/image_1923th/81223314.pdf","81223314")</f>
        <v>81223314</v>
      </c>
      <c r="F187" s="9" t="s">
        <v>556</v>
      </c>
      <c r="G187" s="9" t="s">
        <v>557</v>
      </c>
      <c r="H187" s="9" t="s">
        <v>558</v>
      </c>
      <c r="I187" s="10">
        <v>45565</v>
      </c>
    </row>
    <row r="188" spans="1:9" x14ac:dyDescent="0.15">
      <c r="A188" s="9">
        <v>187</v>
      </c>
      <c r="B188" s="9" t="s">
        <v>9</v>
      </c>
      <c r="C188" s="9">
        <v>1923</v>
      </c>
      <c r="D188" s="10">
        <v>45701</v>
      </c>
      <c r="E188" s="13" t="str">
        <f>+HYPERLINK("http://trademark.i-assist.jp/data/china/image_1923th/81224189.pdf","81224189")</f>
        <v>81224189</v>
      </c>
      <c r="F188" s="9" t="s">
        <v>559</v>
      </c>
      <c r="G188" s="9" t="s">
        <v>560</v>
      </c>
      <c r="H188" s="9" t="s">
        <v>561</v>
      </c>
      <c r="I188" s="10">
        <v>45565</v>
      </c>
    </row>
    <row r="189" spans="1:9" x14ac:dyDescent="0.15">
      <c r="A189" s="9">
        <v>188</v>
      </c>
      <c r="B189" s="9" t="s">
        <v>9</v>
      </c>
      <c r="C189" s="9">
        <v>1923</v>
      </c>
      <c r="D189" s="10">
        <v>45701</v>
      </c>
      <c r="E189" s="13" t="str">
        <f>+HYPERLINK("http://trademark.i-assist.jp/data/china/image_1923th/81246250.pdf","81246250")</f>
        <v>81246250</v>
      </c>
      <c r="F189" s="11" t="s">
        <v>562</v>
      </c>
      <c r="G189" s="9" t="s">
        <v>563</v>
      </c>
      <c r="H189" s="9" t="s">
        <v>564</v>
      </c>
      <c r="I189" s="10">
        <v>45573</v>
      </c>
    </row>
    <row r="190" spans="1:9" x14ac:dyDescent="0.15">
      <c r="A190" s="9">
        <v>189</v>
      </c>
      <c r="B190" s="9" t="s">
        <v>9</v>
      </c>
      <c r="C190" s="9">
        <v>1923</v>
      </c>
      <c r="D190" s="10">
        <v>45701</v>
      </c>
      <c r="E190" s="13" t="str">
        <f>+HYPERLINK("http://trademark.i-assist.jp/data/china/image_1923th/81274103.pdf","81274103")</f>
        <v>81274103</v>
      </c>
      <c r="F190" s="9" t="s">
        <v>565</v>
      </c>
      <c r="G190" s="9" t="s">
        <v>566</v>
      </c>
      <c r="H190" s="9" t="s">
        <v>567</v>
      </c>
      <c r="I190" s="10">
        <v>45574</v>
      </c>
    </row>
    <row r="191" spans="1:9" x14ac:dyDescent="0.15">
      <c r="A191" s="9">
        <v>190</v>
      </c>
      <c r="B191" s="9" t="s">
        <v>9</v>
      </c>
      <c r="C191" s="9">
        <v>1923</v>
      </c>
      <c r="D191" s="10">
        <v>45701</v>
      </c>
      <c r="E191" s="13" t="str">
        <f>+HYPERLINK("http://trademark.i-assist.jp/data/china/image_1923th/81276928.pdf","81276928")</f>
        <v>81276928</v>
      </c>
      <c r="F191" s="9" t="s">
        <v>568</v>
      </c>
      <c r="G191" s="11" t="s">
        <v>569</v>
      </c>
      <c r="H191" s="11" t="s">
        <v>570</v>
      </c>
      <c r="I191" s="10">
        <v>45574</v>
      </c>
    </row>
    <row r="192" spans="1:9" x14ac:dyDescent="0.15">
      <c r="A192" s="9">
        <v>191</v>
      </c>
      <c r="B192" s="9" t="s">
        <v>9</v>
      </c>
      <c r="C192" s="9">
        <v>1923</v>
      </c>
      <c r="D192" s="10">
        <v>45701</v>
      </c>
      <c r="E192" s="13" t="str">
        <f>+HYPERLINK("http://trademark.i-assist.jp/data/china/image_1923th/81283766.pdf","81283766")</f>
        <v>81283766</v>
      </c>
      <c r="F192" s="9" t="s">
        <v>571</v>
      </c>
      <c r="G192" s="9" t="s">
        <v>572</v>
      </c>
      <c r="H192" s="9" t="s">
        <v>573</v>
      </c>
      <c r="I192" s="10">
        <v>45574</v>
      </c>
    </row>
    <row r="193" spans="1:9" x14ac:dyDescent="0.15">
      <c r="A193" s="9">
        <v>192</v>
      </c>
      <c r="B193" s="9" t="s">
        <v>9</v>
      </c>
      <c r="C193" s="9">
        <v>1923</v>
      </c>
      <c r="D193" s="10">
        <v>45701</v>
      </c>
      <c r="E193" s="13" t="str">
        <f>+HYPERLINK("http://trademark.i-assist.jp/data/china/image_1923th/81293022.pdf","81293022")</f>
        <v>81293022</v>
      </c>
      <c r="F193" s="9" t="s">
        <v>574</v>
      </c>
      <c r="G193" s="11" t="s">
        <v>575</v>
      </c>
      <c r="H193" s="9" t="s">
        <v>576</v>
      </c>
      <c r="I193" s="10">
        <v>45575</v>
      </c>
    </row>
    <row r="194" spans="1:9" x14ac:dyDescent="0.15">
      <c r="A194" s="9">
        <v>193</v>
      </c>
      <c r="B194" s="9" t="s">
        <v>9</v>
      </c>
      <c r="C194" s="9">
        <v>1923</v>
      </c>
      <c r="D194" s="10">
        <v>45701</v>
      </c>
      <c r="E194" s="13" t="str">
        <f>+HYPERLINK("http://trademark.i-assist.jp/data/china/image_1923th/81294693.pdf","81294693")</f>
        <v>81294693</v>
      </c>
      <c r="F194" s="9" t="s">
        <v>577</v>
      </c>
      <c r="G194" s="9" t="s">
        <v>578</v>
      </c>
      <c r="H194" s="9" t="s">
        <v>579</v>
      </c>
      <c r="I194" s="10">
        <v>45575</v>
      </c>
    </row>
    <row r="195" spans="1:9" x14ac:dyDescent="0.15">
      <c r="A195" s="9">
        <v>194</v>
      </c>
      <c r="B195" s="9" t="s">
        <v>9</v>
      </c>
      <c r="C195" s="9">
        <v>1923</v>
      </c>
      <c r="D195" s="10">
        <v>45701</v>
      </c>
      <c r="E195" s="13" t="str">
        <f>+HYPERLINK("http://trademark.i-assist.jp/data/china/image_1923th/81309384.pdf","81309384")</f>
        <v>81309384</v>
      </c>
      <c r="F195" s="9" t="s">
        <v>580</v>
      </c>
      <c r="G195" s="9" t="s">
        <v>581</v>
      </c>
      <c r="H195" s="9" t="s">
        <v>582</v>
      </c>
      <c r="I195" s="10">
        <v>45575</v>
      </c>
    </row>
    <row r="196" spans="1:9" x14ac:dyDescent="0.15">
      <c r="A196" s="9">
        <v>195</v>
      </c>
      <c r="B196" s="9" t="s">
        <v>9</v>
      </c>
      <c r="C196" s="9">
        <v>1923</v>
      </c>
      <c r="D196" s="10">
        <v>45701</v>
      </c>
      <c r="E196" s="13" t="str">
        <f>+HYPERLINK("http://trademark.i-assist.jp/data/china/image_1923th/81312006.pdf","81312006")</f>
        <v>81312006</v>
      </c>
      <c r="F196" s="9" t="s">
        <v>583</v>
      </c>
      <c r="G196" s="9" t="s">
        <v>584</v>
      </c>
      <c r="H196" s="9" t="s">
        <v>585</v>
      </c>
      <c r="I196" s="10">
        <v>45576</v>
      </c>
    </row>
    <row r="197" spans="1:9" x14ac:dyDescent="0.15">
      <c r="A197" s="9">
        <v>196</v>
      </c>
      <c r="B197" s="9" t="s">
        <v>9</v>
      </c>
      <c r="C197" s="9">
        <v>1923</v>
      </c>
      <c r="D197" s="10">
        <v>45701</v>
      </c>
      <c r="E197" s="13" t="str">
        <f>+HYPERLINK("http://trademark.i-assist.jp/data/china/image_1923th/81318265.pdf","81318265")</f>
        <v>81318265</v>
      </c>
      <c r="F197" s="9" t="s">
        <v>586</v>
      </c>
      <c r="G197" s="9" t="s">
        <v>301</v>
      </c>
      <c r="H197" s="9" t="s">
        <v>587</v>
      </c>
      <c r="I197" s="10">
        <v>45576</v>
      </c>
    </row>
    <row r="198" spans="1:9" x14ac:dyDescent="0.15">
      <c r="A198" s="9">
        <v>197</v>
      </c>
      <c r="B198" s="9" t="s">
        <v>9</v>
      </c>
      <c r="C198" s="9">
        <v>1923</v>
      </c>
      <c r="D198" s="10">
        <v>45701</v>
      </c>
      <c r="E198" s="13" t="str">
        <f>+HYPERLINK("http://trademark.i-assist.jp/data/china/image_1923th/81318374.pdf","81318374")</f>
        <v>81318374</v>
      </c>
      <c r="F198" s="9" t="s">
        <v>588</v>
      </c>
      <c r="G198" s="11" t="s">
        <v>589</v>
      </c>
      <c r="H198" s="9" t="s">
        <v>590</v>
      </c>
      <c r="I198" s="10">
        <v>45576</v>
      </c>
    </row>
    <row r="199" spans="1:9" x14ac:dyDescent="0.15">
      <c r="A199" s="9">
        <v>198</v>
      </c>
      <c r="B199" s="9" t="s">
        <v>9</v>
      </c>
      <c r="C199" s="9">
        <v>1923</v>
      </c>
      <c r="D199" s="10">
        <v>45701</v>
      </c>
      <c r="E199" s="13" t="str">
        <f>+HYPERLINK("http://trademark.i-assist.jp/data/china/image_1923th/81319971.pdf","81319971")</f>
        <v>81319971</v>
      </c>
      <c r="F199" s="9" t="s">
        <v>591</v>
      </c>
      <c r="G199" s="9" t="s">
        <v>592</v>
      </c>
      <c r="H199" s="9" t="s">
        <v>593</v>
      </c>
      <c r="I199" s="10">
        <v>45576</v>
      </c>
    </row>
    <row r="200" spans="1:9" x14ac:dyDescent="0.15">
      <c r="A200" s="9">
        <v>199</v>
      </c>
      <c r="B200" s="9" t="s">
        <v>9</v>
      </c>
      <c r="C200" s="9">
        <v>1923</v>
      </c>
      <c r="D200" s="10">
        <v>45701</v>
      </c>
      <c r="E200" s="13" t="str">
        <f>+HYPERLINK("http://trademark.i-assist.jp/data/china/image_1923th/81339599.pdf","81339599")</f>
        <v>81339599</v>
      </c>
      <c r="F200" s="9" t="s">
        <v>594</v>
      </c>
      <c r="G200" s="9" t="s">
        <v>595</v>
      </c>
      <c r="H200" s="9" t="s">
        <v>596</v>
      </c>
      <c r="I200" s="10">
        <v>45577</v>
      </c>
    </row>
    <row r="201" spans="1:9" x14ac:dyDescent="0.15">
      <c r="A201" s="9">
        <v>200</v>
      </c>
      <c r="B201" s="9" t="s">
        <v>9</v>
      </c>
      <c r="C201" s="9">
        <v>1923</v>
      </c>
      <c r="D201" s="10">
        <v>45701</v>
      </c>
      <c r="E201" s="13" t="str">
        <f>+HYPERLINK("http://trademark.i-assist.jp/data/china/image_1923th/81340451.pdf","81340451")</f>
        <v>81340451</v>
      </c>
      <c r="F201" s="11" t="s">
        <v>597</v>
      </c>
      <c r="G201" s="9" t="s">
        <v>598</v>
      </c>
      <c r="H201" s="11" t="s">
        <v>599</v>
      </c>
      <c r="I201" s="10">
        <v>45577</v>
      </c>
    </row>
    <row r="202" spans="1:9" x14ac:dyDescent="0.15">
      <c r="A202" s="9">
        <v>201</v>
      </c>
      <c r="B202" s="9" t="s">
        <v>9</v>
      </c>
      <c r="C202" s="9">
        <v>1923</v>
      </c>
      <c r="D202" s="10">
        <v>45701</v>
      </c>
      <c r="E202" s="13" t="str">
        <f>+HYPERLINK("http://trademark.i-assist.jp/data/china/image_1923th/81340846.pdf","81340846")</f>
        <v>81340846</v>
      </c>
      <c r="F202" s="9" t="s">
        <v>600</v>
      </c>
      <c r="G202" s="9" t="s">
        <v>601</v>
      </c>
      <c r="H202" s="9" t="s">
        <v>602</v>
      </c>
      <c r="I202" s="10">
        <v>45577</v>
      </c>
    </row>
    <row r="203" spans="1:9" x14ac:dyDescent="0.15">
      <c r="A203" s="9">
        <v>202</v>
      </c>
      <c r="B203" s="9" t="s">
        <v>9</v>
      </c>
      <c r="C203" s="9">
        <v>1923</v>
      </c>
      <c r="D203" s="10">
        <v>45701</v>
      </c>
      <c r="E203" s="13" t="str">
        <f>+HYPERLINK("http://trademark.i-assist.jp/data/china/image_1923th/81341595.pdf","81341595")</f>
        <v>81341595</v>
      </c>
      <c r="F203" s="9" t="s">
        <v>603</v>
      </c>
      <c r="G203" s="9" t="s">
        <v>604</v>
      </c>
      <c r="H203" s="11" t="s">
        <v>605</v>
      </c>
      <c r="I203" s="10">
        <v>45577</v>
      </c>
    </row>
    <row r="204" spans="1:9" x14ac:dyDescent="0.15">
      <c r="A204" s="9">
        <v>203</v>
      </c>
      <c r="B204" s="9" t="s">
        <v>9</v>
      </c>
      <c r="C204" s="9">
        <v>1923</v>
      </c>
      <c r="D204" s="10">
        <v>45701</v>
      </c>
      <c r="E204" s="13" t="str">
        <f>+HYPERLINK("http://trademark.i-assist.jp/data/china/image_1923th/81341786.pdf","81341786")</f>
        <v>81341786</v>
      </c>
      <c r="F204" s="9" t="s">
        <v>606</v>
      </c>
      <c r="G204" s="9" t="s">
        <v>595</v>
      </c>
      <c r="H204" s="9" t="s">
        <v>607</v>
      </c>
      <c r="I204" s="10">
        <v>45577</v>
      </c>
    </row>
    <row r="205" spans="1:9" x14ac:dyDescent="0.15">
      <c r="A205" s="9">
        <v>204</v>
      </c>
      <c r="B205" s="9" t="s">
        <v>9</v>
      </c>
      <c r="C205" s="9">
        <v>1923</v>
      </c>
      <c r="D205" s="10">
        <v>45701</v>
      </c>
      <c r="E205" s="13" t="str">
        <f>+HYPERLINK("http://trademark.i-assist.jp/data/china/image_1923th/81344914.pdf","81344914")</f>
        <v>81344914</v>
      </c>
      <c r="F205" s="9" t="s">
        <v>608</v>
      </c>
      <c r="G205" s="9" t="s">
        <v>609</v>
      </c>
      <c r="H205" s="9" t="s">
        <v>610</v>
      </c>
      <c r="I205" s="10">
        <v>45577</v>
      </c>
    </row>
    <row r="206" spans="1:9" x14ac:dyDescent="0.15">
      <c r="A206" s="9">
        <v>205</v>
      </c>
      <c r="B206" s="9" t="s">
        <v>9</v>
      </c>
      <c r="C206" s="9">
        <v>1923</v>
      </c>
      <c r="D206" s="10">
        <v>45701</v>
      </c>
      <c r="E206" s="13" t="str">
        <f>+HYPERLINK("http://trademark.i-assist.jp/data/china/image_1923th/81346936.pdf","81346936")</f>
        <v>81346936</v>
      </c>
      <c r="F206" s="11" t="s">
        <v>611</v>
      </c>
      <c r="G206" s="9" t="s">
        <v>612</v>
      </c>
      <c r="H206" s="9" t="s">
        <v>613</v>
      </c>
      <c r="I206" s="10">
        <v>45577</v>
      </c>
    </row>
    <row r="207" spans="1:9" x14ac:dyDescent="0.15">
      <c r="A207" s="9">
        <v>206</v>
      </c>
      <c r="B207" s="9" t="s">
        <v>9</v>
      </c>
      <c r="C207" s="9">
        <v>1923</v>
      </c>
      <c r="D207" s="10">
        <v>45701</v>
      </c>
      <c r="E207" s="13" t="str">
        <f>+HYPERLINK("http://trademark.i-assist.jp/data/china/image_1923th/81351648.pdf","81351648")</f>
        <v>81351648</v>
      </c>
      <c r="F207" s="11" t="s">
        <v>126</v>
      </c>
      <c r="G207" s="9" t="s">
        <v>614</v>
      </c>
      <c r="H207" s="9" t="s">
        <v>615</v>
      </c>
      <c r="I207" s="10">
        <v>45577</v>
      </c>
    </row>
    <row r="208" spans="1:9" x14ac:dyDescent="0.15">
      <c r="A208" s="9">
        <v>207</v>
      </c>
      <c r="B208" s="9" t="s">
        <v>9</v>
      </c>
      <c r="C208" s="9">
        <v>1923</v>
      </c>
      <c r="D208" s="10">
        <v>45701</v>
      </c>
      <c r="E208" s="13" t="str">
        <f>+HYPERLINK("http://trademark.i-assist.jp/data/china/image_1923th/81354203.pdf","81354203")</f>
        <v>81354203</v>
      </c>
      <c r="F208" s="11" t="s">
        <v>616</v>
      </c>
      <c r="G208" s="11" t="s">
        <v>617</v>
      </c>
      <c r="H208" s="9" t="s">
        <v>618</v>
      </c>
      <c r="I208" s="10">
        <v>45577</v>
      </c>
    </row>
    <row r="209" spans="1:9" x14ac:dyDescent="0.15">
      <c r="A209" s="9">
        <v>208</v>
      </c>
      <c r="B209" s="9" t="s">
        <v>9</v>
      </c>
      <c r="C209" s="9">
        <v>1923</v>
      </c>
      <c r="D209" s="10">
        <v>45701</v>
      </c>
      <c r="E209" s="13" t="str">
        <f>+HYPERLINK("http://trademark.i-assist.jp/data/china/image_1923th/81356986.pdf","81356986")</f>
        <v>81356986</v>
      </c>
      <c r="F209" s="9" t="s">
        <v>619</v>
      </c>
      <c r="G209" s="11" t="s">
        <v>620</v>
      </c>
      <c r="H209" s="9" t="s">
        <v>621</v>
      </c>
      <c r="I209" s="10">
        <v>45578</v>
      </c>
    </row>
    <row r="210" spans="1:9" x14ac:dyDescent="0.15">
      <c r="A210" s="9">
        <v>209</v>
      </c>
      <c r="B210" s="9" t="s">
        <v>9</v>
      </c>
      <c r="C210" s="9">
        <v>1923</v>
      </c>
      <c r="D210" s="10">
        <v>45701</v>
      </c>
      <c r="E210" s="13" t="str">
        <f>+HYPERLINK("http://trademark.i-assist.jp/data/china/image_1923th/81361348.pdf","81361348")</f>
        <v>81361348</v>
      </c>
      <c r="F210" s="9" t="s">
        <v>622</v>
      </c>
      <c r="G210" s="9" t="s">
        <v>623</v>
      </c>
      <c r="H210" s="9" t="s">
        <v>624</v>
      </c>
      <c r="I210" s="10">
        <v>45579</v>
      </c>
    </row>
    <row r="211" spans="1:9" x14ac:dyDescent="0.15">
      <c r="A211" s="9">
        <v>210</v>
      </c>
      <c r="B211" s="9" t="s">
        <v>9</v>
      </c>
      <c r="C211" s="9">
        <v>1923</v>
      </c>
      <c r="D211" s="10">
        <v>45701</v>
      </c>
      <c r="E211" s="13" t="str">
        <f>+HYPERLINK("http://trademark.i-assist.jp/data/china/image_1923th/81368471.pdf","81368471")</f>
        <v>81368471</v>
      </c>
      <c r="F211" s="9" t="s">
        <v>625</v>
      </c>
      <c r="G211" s="11" t="s">
        <v>626</v>
      </c>
      <c r="H211" s="9" t="s">
        <v>627</v>
      </c>
      <c r="I211" s="10">
        <v>45579</v>
      </c>
    </row>
    <row r="212" spans="1:9" x14ac:dyDescent="0.15">
      <c r="A212" s="9">
        <v>211</v>
      </c>
      <c r="B212" s="9" t="s">
        <v>9</v>
      </c>
      <c r="C212" s="9">
        <v>1923</v>
      </c>
      <c r="D212" s="10">
        <v>45701</v>
      </c>
      <c r="E212" s="13" t="str">
        <f>+HYPERLINK("http://trademark.i-assist.jp/data/china/image_1923th/81369320.pdf","81369320")</f>
        <v>81369320</v>
      </c>
      <c r="F212" s="9" t="s">
        <v>628</v>
      </c>
      <c r="G212" s="9" t="s">
        <v>629</v>
      </c>
      <c r="H212" s="9" t="s">
        <v>630</v>
      </c>
      <c r="I212" s="10">
        <v>45579</v>
      </c>
    </row>
    <row r="213" spans="1:9" x14ac:dyDescent="0.15">
      <c r="A213" s="9">
        <v>212</v>
      </c>
      <c r="B213" s="9" t="s">
        <v>9</v>
      </c>
      <c r="C213" s="9">
        <v>1923</v>
      </c>
      <c r="D213" s="10">
        <v>45701</v>
      </c>
      <c r="E213" s="13" t="str">
        <f>+HYPERLINK("http://trademark.i-assist.jp/data/china/image_1923th/81376210.pdf","81376210")</f>
        <v>81376210</v>
      </c>
      <c r="F213" s="9" t="s">
        <v>631</v>
      </c>
      <c r="G213" s="11" t="s">
        <v>632</v>
      </c>
      <c r="H213" s="9" t="s">
        <v>633</v>
      </c>
      <c r="I213" s="10">
        <v>45579</v>
      </c>
    </row>
    <row r="214" spans="1:9" x14ac:dyDescent="0.15">
      <c r="A214" s="9">
        <v>213</v>
      </c>
      <c r="B214" s="9" t="s">
        <v>9</v>
      </c>
      <c r="C214" s="9">
        <v>1923</v>
      </c>
      <c r="D214" s="10">
        <v>45701</v>
      </c>
      <c r="E214" s="13" t="str">
        <f>+HYPERLINK("http://trademark.i-assist.jp/data/china/image_1923th/81378177.pdf","81378177")</f>
        <v>81378177</v>
      </c>
      <c r="F214" s="9" t="s">
        <v>634</v>
      </c>
      <c r="G214" s="9" t="s">
        <v>635</v>
      </c>
      <c r="H214" s="9" t="s">
        <v>636</v>
      </c>
      <c r="I214" s="10">
        <v>45579</v>
      </c>
    </row>
    <row r="215" spans="1:9" x14ac:dyDescent="0.15">
      <c r="A215" s="9">
        <v>214</v>
      </c>
      <c r="B215" s="9" t="s">
        <v>9</v>
      </c>
      <c r="C215" s="9">
        <v>1923</v>
      </c>
      <c r="D215" s="10">
        <v>45701</v>
      </c>
      <c r="E215" s="13" t="str">
        <f>+HYPERLINK("http://trademark.i-assist.jp/data/china/image_1923th/81380764.pdf","81380764")</f>
        <v>81380764</v>
      </c>
      <c r="F215" s="9" t="s">
        <v>637</v>
      </c>
      <c r="G215" s="9" t="s">
        <v>638</v>
      </c>
      <c r="H215" s="11" t="s">
        <v>639</v>
      </c>
      <c r="I215" s="10">
        <v>45579</v>
      </c>
    </row>
    <row r="216" spans="1:9" x14ac:dyDescent="0.15">
      <c r="A216" s="9">
        <v>215</v>
      </c>
      <c r="B216" s="9" t="s">
        <v>9</v>
      </c>
      <c r="C216" s="9">
        <v>1923</v>
      </c>
      <c r="D216" s="10">
        <v>45701</v>
      </c>
      <c r="E216" s="13" t="str">
        <f>+HYPERLINK("http://trademark.i-assist.jp/data/china/image_1923th/81383222.pdf","81383222")</f>
        <v>81383222</v>
      </c>
      <c r="F216" s="9" t="s">
        <v>640</v>
      </c>
      <c r="G216" s="9" t="s">
        <v>641</v>
      </c>
      <c r="H216" s="9" t="s">
        <v>642</v>
      </c>
      <c r="I216" s="10">
        <v>45580</v>
      </c>
    </row>
    <row r="217" spans="1:9" x14ac:dyDescent="0.15">
      <c r="A217" s="9">
        <v>216</v>
      </c>
      <c r="B217" s="9" t="s">
        <v>9</v>
      </c>
      <c r="C217" s="9">
        <v>1923</v>
      </c>
      <c r="D217" s="10">
        <v>45701</v>
      </c>
      <c r="E217" s="13" t="str">
        <f>+HYPERLINK("http://trademark.i-assist.jp/data/china/image_1923th/81383907.pdf","81383907")</f>
        <v>81383907</v>
      </c>
      <c r="F217" s="9" t="s">
        <v>643</v>
      </c>
      <c r="G217" s="11" t="s">
        <v>644</v>
      </c>
      <c r="H217" s="9" t="s">
        <v>645</v>
      </c>
      <c r="I217" s="10">
        <v>45580</v>
      </c>
    </row>
    <row r="218" spans="1:9" x14ac:dyDescent="0.15">
      <c r="A218" s="9">
        <v>217</v>
      </c>
      <c r="B218" s="9" t="s">
        <v>9</v>
      </c>
      <c r="C218" s="9">
        <v>1923</v>
      </c>
      <c r="D218" s="10">
        <v>45701</v>
      </c>
      <c r="E218" s="13" t="str">
        <f>+HYPERLINK("http://trademark.i-assist.jp/data/china/image_1923th/81385132.pdf","81385132")</f>
        <v>81385132</v>
      </c>
      <c r="F218" s="9" t="s">
        <v>646</v>
      </c>
      <c r="G218" s="9" t="s">
        <v>629</v>
      </c>
      <c r="H218" s="9" t="s">
        <v>647</v>
      </c>
      <c r="I218" s="10">
        <v>45580</v>
      </c>
    </row>
    <row r="219" spans="1:9" x14ac:dyDescent="0.15">
      <c r="A219" s="9">
        <v>218</v>
      </c>
      <c r="B219" s="9" t="s">
        <v>9</v>
      </c>
      <c r="C219" s="9">
        <v>1923</v>
      </c>
      <c r="D219" s="10">
        <v>45701</v>
      </c>
      <c r="E219" s="13" t="str">
        <f>+HYPERLINK("http://trademark.i-assist.jp/data/china/image_1923th/81387043.pdf","81387043")</f>
        <v>81387043</v>
      </c>
      <c r="F219" s="9" t="s">
        <v>648</v>
      </c>
      <c r="G219" s="11" t="s">
        <v>649</v>
      </c>
      <c r="H219" s="9" t="s">
        <v>650</v>
      </c>
      <c r="I219" s="10">
        <v>45580</v>
      </c>
    </row>
    <row r="220" spans="1:9" x14ac:dyDescent="0.15">
      <c r="A220" s="9">
        <v>219</v>
      </c>
      <c r="B220" s="9" t="s">
        <v>9</v>
      </c>
      <c r="C220" s="9">
        <v>1923</v>
      </c>
      <c r="D220" s="10">
        <v>45701</v>
      </c>
      <c r="E220" s="13" t="str">
        <f>+HYPERLINK("http://trademark.i-assist.jp/data/china/image_1923th/81387050.pdf","81387050")</f>
        <v>81387050</v>
      </c>
      <c r="F220" s="9" t="s">
        <v>648</v>
      </c>
      <c r="G220" s="11" t="s">
        <v>649</v>
      </c>
      <c r="H220" s="9" t="s">
        <v>651</v>
      </c>
      <c r="I220" s="10">
        <v>45580</v>
      </c>
    </row>
    <row r="221" spans="1:9" x14ac:dyDescent="0.15">
      <c r="A221" s="9">
        <v>220</v>
      </c>
      <c r="B221" s="9" t="s">
        <v>9</v>
      </c>
      <c r="C221" s="9">
        <v>1923</v>
      </c>
      <c r="D221" s="10">
        <v>45701</v>
      </c>
      <c r="E221" s="13" t="str">
        <f>+HYPERLINK("http://trademark.i-assist.jp/data/china/image_1923th/81389265.pdf","81389265")</f>
        <v>81389265</v>
      </c>
      <c r="F221" s="9" t="s">
        <v>652</v>
      </c>
      <c r="G221" s="11" t="s">
        <v>653</v>
      </c>
      <c r="H221" s="9" t="s">
        <v>654</v>
      </c>
      <c r="I221" s="10">
        <v>45580</v>
      </c>
    </row>
    <row r="222" spans="1:9" x14ac:dyDescent="0.15">
      <c r="A222" s="9">
        <v>221</v>
      </c>
      <c r="B222" s="9" t="s">
        <v>9</v>
      </c>
      <c r="C222" s="9">
        <v>1923</v>
      </c>
      <c r="D222" s="10">
        <v>45701</v>
      </c>
      <c r="E222" s="13" t="str">
        <f>+HYPERLINK("http://trademark.i-assist.jp/data/china/image_1923th/81389671.pdf","81389671")</f>
        <v>81389671</v>
      </c>
      <c r="F222" s="9" t="s">
        <v>655</v>
      </c>
      <c r="G222" s="9" t="s">
        <v>656</v>
      </c>
      <c r="H222" s="9" t="s">
        <v>657</v>
      </c>
      <c r="I222" s="10">
        <v>45580</v>
      </c>
    </row>
    <row r="223" spans="1:9" x14ac:dyDescent="0.15">
      <c r="A223" s="9">
        <v>222</v>
      </c>
      <c r="B223" s="9" t="s">
        <v>9</v>
      </c>
      <c r="C223" s="9">
        <v>1923</v>
      </c>
      <c r="D223" s="10">
        <v>45701</v>
      </c>
      <c r="E223" s="13" t="str">
        <f>+HYPERLINK("http://trademark.i-assist.jp/data/china/image_1923th/81391230.pdf","81391230")</f>
        <v>81391230</v>
      </c>
      <c r="F223" s="9" t="s">
        <v>658</v>
      </c>
      <c r="G223" s="11" t="s">
        <v>653</v>
      </c>
      <c r="H223" s="9" t="s">
        <v>659</v>
      </c>
      <c r="I223" s="10">
        <v>45580</v>
      </c>
    </row>
    <row r="224" spans="1:9" x14ac:dyDescent="0.15">
      <c r="A224" s="9">
        <v>223</v>
      </c>
      <c r="B224" s="9" t="s">
        <v>9</v>
      </c>
      <c r="C224" s="9">
        <v>1923</v>
      </c>
      <c r="D224" s="10">
        <v>45701</v>
      </c>
      <c r="E224" s="13" t="str">
        <f>+HYPERLINK("http://trademark.i-assist.jp/data/china/image_1923th/81394339.pdf","81394339")</f>
        <v>81394339</v>
      </c>
      <c r="F224" s="9" t="s">
        <v>660</v>
      </c>
      <c r="G224" s="11" t="s">
        <v>653</v>
      </c>
      <c r="H224" s="9" t="s">
        <v>661</v>
      </c>
      <c r="I224" s="10">
        <v>45580</v>
      </c>
    </row>
    <row r="225" spans="1:9" x14ac:dyDescent="0.15">
      <c r="A225" s="9">
        <v>224</v>
      </c>
      <c r="B225" s="9" t="s">
        <v>9</v>
      </c>
      <c r="C225" s="9">
        <v>1923</v>
      </c>
      <c r="D225" s="10">
        <v>45701</v>
      </c>
      <c r="E225" s="13" t="str">
        <f>+HYPERLINK("http://trademark.i-assist.jp/data/china/image_1923th/81400060.pdf","81400060")</f>
        <v>81400060</v>
      </c>
      <c r="F225" s="9" t="s">
        <v>662</v>
      </c>
      <c r="G225" s="11" t="s">
        <v>663</v>
      </c>
      <c r="H225" s="9" t="s">
        <v>664</v>
      </c>
      <c r="I225" s="10">
        <v>45580</v>
      </c>
    </row>
    <row r="226" spans="1:9" x14ac:dyDescent="0.15">
      <c r="A226" s="9">
        <v>225</v>
      </c>
      <c r="B226" s="9" t="s">
        <v>9</v>
      </c>
      <c r="C226" s="9">
        <v>1923</v>
      </c>
      <c r="D226" s="10">
        <v>45701</v>
      </c>
      <c r="E226" s="13" t="str">
        <f>+HYPERLINK("http://trademark.i-assist.jp/data/china/image_1923th/81402397.pdf","81402397")</f>
        <v>81402397</v>
      </c>
      <c r="F226" s="9" t="s">
        <v>665</v>
      </c>
      <c r="G226" s="9" t="s">
        <v>666</v>
      </c>
      <c r="H226" s="9" t="s">
        <v>667</v>
      </c>
      <c r="I226" s="10">
        <v>45580</v>
      </c>
    </row>
    <row r="227" spans="1:9" x14ac:dyDescent="0.15">
      <c r="A227" s="9">
        <v>226</v>
      </c>
      <c r="B227" s="9" t="s">
        <v>9</v>
      </c>
      <c r="C227" s="9">
        <v>1923</v>
      </c>
      <c r="D227" s="10">
        <v>45701</v>
      </c>
      <c r="E227" s="13" t="str">
        <f>+HYPERLINK("http://trademark.i-assist.jp/data/china/image_1923th/81408676.pdf","81408676")</f>
        <v>81408676</v>
      </c>
      <c r="F227" s="9" t="s">
        <v>668</v>
      </c>
      <c r="G227" s="11" t="s">
        <v>669</v>
      </c>
      <c r="H227" s="9" t="s">
        <v>670</v>
      </c>
      <c r="I227" s="10">
        <v>45581</v>
      </c>
    </row>
    <row r="228" spans="1:9" x14ac:dyDescent="0.15">
      <c r="A228" s="9">
        <v>227</v>
      </c>
      <c r="B228" s="9" t="s">
        <v>9</v>
      </c>
      <c r="C228" s="9">
        <v>1923</v>
      </c>
      <c r="D228" s="10">
        <v>45701</v>
      </c>
      <c r="E228" s="13" t="str">
        <f>+HYPERLINK("http://trademark.i-assist.jp/data/china/image_1923th/81417069.pdf","81417069")</f>
        <v>81417069</v>
      </c>
      <c r="F228" s="9" t="s">
        <v>671</v>
      </c>
      <c r="G228" s="9" t="s">
        <v>672</v>
      </c>
      <c r="H228" s="9" t="s">
        <v>673</v>
      </c>
      <c r="I228" s="10">
        <v>45581</v>
      </c>
    </row>
    <row r="229" spans="1:9" x14ac:dyDescent="0.15">
      <c r="A229" s="9">
        <v>228</v>
      </c>
      <c r="B229" s="9" t="s">
        <v>9</v>
      </c>
      <c r="C229" s="9">
        <v>1923</v>
      </c>
      <c r="D229" s="10">
        <v>45701</v>
      </c>
      <c r="E229" s="13" t="str">
        <f>+HYPERLINK("http://trademark.i-assist.jp/data/china/image_1923th/81420221.pdf","81420221")</f>
        <v>81420221</v>
      </c>
      <c r="F229" s="9" t="s">
        <v>674</v>
      </c>
      <c r="G229" s="9" t="s">
        <v>675</v>
      </c>
      <c r="H229" s="9" t="s">
        <v>10</v>
      </c>
      <c r="I229" s="10">
        <v>45581</v>
      </c>
    </row>
    <row r="230" spans="1:9" x14ac:dyDescent="0.15">
      <c r="A230" s="9">
        <v>229</v>
      </c>
      <c r="B230" s="9" t="s">
        <v>9</v>
      </c>
      <c r="C230" s="9">
        <v>1923</v>
      </c>
      <c r="D230" s="10">
        <v>45701</v>
      </c>
      <c r="E230" s="13" t="str">
        <f>+HYPERLINK("http://trademark.i-assist.jp/data/china/image_1923th/81422588.pdf","81422588")</f>
        <v>81422588</v>
      </c>
      <c r="F230" s="9" t="s">
        <v>676</v>
      </c>
      <c r="G230" s="9" t="s">
        <v>677</v>
      </c>
      <c r="H230" s="9" t="s">
        <v>678</v>
      </c>
      <c r="I230" s="10">
        <v>45581</v>
      </c>
    </row>
    <row r="231" spans="1:9" x14ac:dyDescent="0.15">
      <c r="A231" s="9">
        <v>230</v>
      </c>
      <c r="B231" s="9" t="s">
        <v>9</v>
      </c>
      <c r="C231" s="9">
        <v>1923</v>
      </c>
      <c r="D231" s="10">
        <v>45701</v>
      </c>
      <c r="E231" s="13" t="str">
        <f>+HYPERLINK("http://trademark.i-assist.jp/data/china/image_1923th/81427933.pdf","81427933")</f>
        <v>81427933</v>
      </c>
      <c r="F231" s="9" t="s">
        <v>679</v>
      </c>
      <c r="G231" s="9" t="s">
        <v>680</v>
      </c>
      <c r="H231" s="9" t="s">
        <v>681</v>
      </c>
      <c r="I231" s="10">
        <v>45581</v>
      </c>
    </row>
    <row r="232" spans="1:9" x14ac:dyDescent="0.15">
      <c r="A232" s="9">
        <v>231</v>
      </c>
      <c r="B232" s="9" t="s">
        <v>9</v>
      </c>
      <c r="C232" s="9">
        <v>1923</v>
      </c>
      <c r="D232" s="10">
        <v>45701</v>
      </c>
      <c r="E232" s="13" t="str">
        <f>+HYPERLINK("http://trademark.i-assist.jp/data/china/image_1923th/81430112.pdf","81430112")</f>
        <v>81430112</v>
      </c>
      <c r="F232" s="9" t="s">
        <v>682</v>
      </c>
      <c r="G232" s="9" t="s">
        <v>683</v>
      </c>
      <c r="H232" s="9" t="s">
        <v>684</v>
      </c>
      <c r="I232" s="10">
        <v>45582</v>
      </c>
    </row>
    <row r="233" spans="1:9" x14ac:dyDescent="0.15">
      <c r="A233" s="9">
        <v>232</v>
      </c>
      <c r="B233" s="9" t="s">
        <v>9</v>
      </c>
      <c r="C233" s="9">
        <v>1923</v>
      </c>
      <c r="D233" s="10">
        <v>45701</v>
      </c>
      <c r="E233" s="13" t="str">
        <f>+HYPERLINK("http://trademark.i-assist.jp/data/china/image_1923th/81432395.pdf","81432395")</f>
        <v>81432395</v>
      </c>
      <c r="F233" s="9" t="s">
        <v>685</v>
      </c>
      <c r="G233" s="9" t="s">
        <v>686</v>
      </c>
      <c r="H233" s="9" t="s">
        <v>687</v>
      </c>
      <c r="I233" s="10">
        <v>45582</v>
      </c>
    </row>
    <row r="234" spans="1:9" x14ac:dyDescent="0.15">
      <c r="A234" s="9">
        <v>233</v>
      </c>
      <c r="B234" s="9" t="s">
        <v>9</v>
      </c>
      <c r="C234" s="9">
        <v>1923</v>
      </c>
      <c r="D234" s="10">
        <v>45701</v>
      </c>
      <c r="E234" s="13" t="str">
        <f>+HYPERLINK("http://trademark.i-assist.jp/data/china/image_1923th/81433309.pdf","81433309")</f>
        <v>81433309</v>
      </c>
      <c r="F234" s="9" t="s">
        <v>688</v>
      </c>
      <c r="G234" s="9" t="s">
        <v>689</v>
      </c>
      <c r="H234" s="9" t="s">
        <v>690</v>
      </c>
      <c r="I234" s="10">
        <v>45582</v>
      </c>
    </row>
    <row r="235" spans="1:9" x14ac:dyDescent="0.15">
      <c r="A235" s="9">
        <v>234</v>
      </c>
      <c r="B235" s="9" t="s">
        <v>9</v>
      </c>
      <c r="C235" s="9">
        <v>1923</v>
      </c>
      <c r="D235" s="10">
        <v>45701</v>
      </c>
      <c r="E235" s="13" t="str">
        <f>+HYPERLINK("http://trademark.i-assist.jp/data/china/image_1923th/81433570.pdf","81433570")</f>
        <v>81433570</v>
      </c>
      <c r="F235" s="9" t="s">
        <v>691</v>
      </c>
      <c r="G235" s="9" t="s">
        <v>692</v>
      </c>
      <c r="H235" s="9" t="s">
        <v>693</v>
      </c>
      <c r="I235" s="10">
        <v>45582</v>
      </c>
    </row>
    <row r="236" spans="1:9" x14ac:dyDescent="0.15">
      <c r="A236" s="9">
        <v>235</v>
      </c>
      <c r="B236" s="9" t="s">
        <v>9</v>
      </c>
      <c r="C236" s="9">
        <v>1923</v>
      </c>
      <c r="D236" s="10">
        <v>45701</v>
      </c>
      <c r="E236" s="13" t="str">
        <f>+HYPERLINK("http://trademark.i-assist.jp/data/china/image_1923th/81436797.pdf","81436797")</f>
        <v>81436797</v>
      </c>
      <c r="F236" s="9" t="s">
        <v>688</v>
      </c>
      <c r="G236" s="9" t="s">
        <v>689</v>
      </c>
      <c r="H236" s="9" t="s">
        <v>694</v>
      </c>
      <c r="I236" s="10">
        <v>45582</v>
      </c>
    </row>
    <row r="237" spans="1:9" x14ac:dyDescent="0.15">
      <c r="A237" s="9">
        <v>236</v>
      </c>
      <c r="B237" s="9" t="s">
        <v>9</v>
      </c>
      <c r="C237" s="9">
        <v>1923</v>
      </c>
      <c r="D237" s="10">
        <v>45701</v>
      </c>
      <c r="E237" s="13" t="str">
        <f>+HYPERLINK("http://trademark.i-assist.jp/data/china/image_1923th/81439216.pdf","81439216")</f>
        <v>81439216</v>
      </c>
      <c r="F237" s="9" t="s">
        <v>695</v>
      </c>
      <c r="G237" s="9" t="s">
        <v>696</v>
      </c>
      <c r="H237" s="9" t="s">
        <v>697</v>
      </c>
      <c r="I237" s="10">
        <v>45582</v>
      </c>
    </row>
    <row r="238" spans="1:9" x14ac:dyDescent="0.15">
      <c r="A238" s="9">
        <v>237</v>
      </c>
      <c r="B238" s="9" t="s">
        <v>9</v>
      </c>
      <c r="C238" s="9">
        <v>1923</v>
      </c>
      <c r="D238" s="10">
        <v>45701</v>
      </c>
      <c r="E238" s="13" t="str">
        <f>+HYPERLINK("http://trademark.i-assist.jp/data/china/image_1923th/81440244.pdf","81440244")</f>
        <v>81440244</v>
      </c>
      <c r="F238" s="9" t="s">
        <v>698</v>
      </c>
      <c r="G238" s="9" t="s">
        <v>699</v>
      </c>
      <c r="H238" s="9" t="s">
        <v>700</v>
      </c>
      <c r="I238" s="10">
        <v>45582</v>
      </c>
    </row>
    <row r="239" spans="1:9" x14ac:dyDescent="0.15">
      <c r="A239" s="9">
        <v>238</v>
      </c>
      <c r="B239" s="9" t="s">
        <v>9</v>
      </c>
      <c r="C239" s="9">
        <v>1923</v>
      </c>
      <c r="D239" s="10">
        <v>45701</v>
      </c>
      <c r="E239" s="13" t="str">
        <f>+HYPERLINK("http://trademark.i-assist.jp/data/china/image_1923th/81445265.pdf","81445265")</f>
        <v>81445265</v>
      </c>
      <c r="F239" s="9" t="s">
        <v>701</v>
      </c>
      <c r="G239" s="9" t="s">
        <v>702</v>
      </c>
      <c r="H239" s="9" t="s">
        <v>703</v>
      </c>
      <c r="I239" s="10">
        <v>45582</v>
      </c>
    </row>
    <row r="240" spans="1:9" x14ac:dyDescent="0.15">
      <c r="A240" s="9">
        <v>239</v>
      </c>
      <c r="B240" s="9" t="s">
        <v>9</v>
      </c>
      <c r="C240" s="9">
        <v>1923</v>
      </c>
      <c r="D240" s="10">
        <v>45701</v>
      </c>
      <c r="E240" s="13" t="str">
        <f>+HYPERLINK("http://trademark.i-assist.jp/data/china/image_1923th/81446220.pdf","81446220")</f>
        <v>81446220</v>
      </c>
      <c r="F240" s="11" t="s">
        <v>126</v>
      </c>
      <c r="G240" s="11" t="s">
        <v>704</v>
      </c>
      <c r="H240" s="9" t="s">
        <v>705</v>
      </c>
      <c r="I240" s="10">
        <v>45582</v>
      </c>
    </row>
    <row r="241" spans="1:9" x14ac:dyDescent="0.15">
      <c r="A241" s="9">
        <v>240</v>
      </c>
      <c r="B241" s="9" t="s">
        <v>9</v>
      </c>
      <c r="C241" s="9">
        <v>1923</v>
      </c>
      <c r="D241" s="10">
        <v>45701</v>
      </c>
      <c r="E241" s="13" t="str">
        <f>+HYPERLINK("http://trademark.i-assist.jp/data/china/image_1923th/81450965.pdf","81450965")</f>
        <v>81450965</v>
      </c>
      <c r="F241" s="9" t="s">
        <v>706</v>
      </c>
      <c r="G241" s="9" t="s">
        <v>707</v>
      </c>
      <c r="H241" s="9" t="s">
        <v>708</v>
      </c>
      <c r="I241" s="10">
        <v>45582</v>
      </c>
    </row>
    <row r="242" spans="1:9" x14ac:dyDescent="0.15">
      <c r="A242" s="9">
        <v>241</v>
      </c>
      <c r="B242" s="9" t="s">
        <v>9</v>
      </c>
      <c r="C242" s="9">
        <v>1923</v>
      </c>
      <c r="D242" s="10">
        <v>45701</v>
      </c>
      <c r="E242" s="13" t="str">
        <f>+HYPERLINK("http://trademark.i-assist.jp/data/china/image_1923th/81458438.pdf","81458438")</f>
        <v>81458438</v>
      </c>
      <c r="F242" s="9" t="s">
        <v>709</v>
      </c>
      <c r="G242" s="9" t="s">
        <v>710</v>
      </c>
      <c r="H242" s="11" t="s">
        <v>711</v>
      </c>
      <c r="I242" s="10">
        <v>45583</v>
      </c>
    </row>
    <row r="243" spans="1:9" x14ac:dyDescent="0.15">
      <c r="A243" s="9">
        <v>242</v>
      </c>
      <c r="B243" s="9" t="s">
        <v>9</v>
      </c>
      <c r="C243" s="9">
        <v>1923</v>
      </c>
      <c r="D243" s="10">
        <v>45701</v>
      </c>
      <c r="E243" s="13" t="str">
        <f>+HYPERLINK("http://trademark.i-assist.jp/data/china/image_1923th/81461589.pdf","81461589")</f>
        <v>81461589</v>
      </c>
      <c r="F243" s="9" t="s">
        <v>712</v>
      </c>
      <c r="G243" s="9" t="s">
        <v>713</v>
      </c>
      <c r="H243" s="11" t="s">
        <v>714</v>
      </c>
      <c r="I243" s="10">
        <v>45583</v>
      </c>
    </row>
    <row r="244" spans="1:9" x14ac:dyDescent="0.15">
      <c r="A244" s="9">
        <v>243</v>
      </c>
      <c r="B244" s="9" t="s">
        <v>9</v>
      </c>
      <c r="C244" s="9">
        <v>1923</v>
      </c>
      <c r="D244" s="10">
        <v>45701</v>
      </c>
      <c r="E244" s="13" t="str">
        <f>+HYPERLINK("http://trademark.i-assist.jp/data/china/image_1923th/81472799.pdf","81472799")</f>
        <v>81472799</v>
      </c>
      <c r="F244" s="11" t="s">
        <v>715</v>
      </c>
      <c r="G244" s="11" t="s">
        <v>716</v>
      </c>
      <c r="H244" s="9" t="s">
        <v>717</v>
      </c>
      <c r="I244" s="10">
        <v>45583</v>
      </c>
    </row>
    <row r="245" spans="1:9" x14ac:dyDescent="0.15">
      <c r="A245" s="9">
        <v>244</v>
      </c>
      <c r="B245" s="9" t="s">
        <v>9</v>
      </c>
      <c r="C245" s="9">
        <v>1923</v>
      </c>
      <c r="D245" s="10">
        <v>45701</v>
      </c>
      <c r="E245" s="13" t="str">
        <f>+HYPERLINK("http://trademark.i-assist.jp/data/china/image_1923th/81476225.pdf","81476225")</f>
        <v>81476225</v>
      </c>
      <c r="F245" s="11" t="s">
        <v>718</v>
      </c>
      <c r="G245" s="9" t="s">
        <v>719</v>
      </c>
      <c r="H245" s="9" t="s">
        <v>720</v>
      </c>
      <c r="I245" s="10">
        <v>45584</v>
      </c>
    </row>
    <row r="246" spans="1:9" x14ac:dyDescent="0.15">
      <c r="A246" s="9">
        <v>245</v>
      </c>
      <c r="B246" s="9" t="s">
        <v>9</v>
      </c>
      <c r="C246" s="9">
        <v>1923</v>
      </c>
      <c r="D246" s="10">
        <v>45701</v>
      </c>
      <c r="E246" s="13" t="str">
        <f>+HYPERLINK("http://trademark.i-assist.jp/data/china/image_1923th/81480931.pdf","81480931")</f>
        <v>81480931</v>
      </c>
      <c r="F246" s="9" t="s">
        <v>721</v>
      </c>
      <c r="G246" s="11" t="s">
        <v>722</v>
      </c>
      <c r="H246" s="9" t="s">
        <v>723</v>
      </c>
      <c r="I246" s="10">
        <v>45584</v>
      </c>
    </row>
    <row r="247" spans="1:9" x14ac:dyDescent="0.15">
      <c r="A247" s="9">
        <v>246</v>
      </c>
      <c r="B247" s="9" t="s">
        <v>9</v>
      </c>
      <c r="C247" s="9">
        <v>1923</v>
      </c>
      <c r="D247" s="10">
        <v>45701</v>
      </c>
      <c r="E247" s="13" t="str">
        <f>+HYPERLINK("http://trademark.i-assist.jp/data/china/image_1923th/81481031.pdf","81481031")</f>
        <v>81481031</v>
      </c>
      <c r="F247" s="9" t="s">
        <v>724</v>
      </c>
      <c r="G247" s="9" t="s">
        <v>725</v>
      </c>
      <c r="H247" s="9" t="s">
        <v>726</v>
      </c>
      <c r="I247" s="10">
        <v>45584</v>
      </c>
    </row>
    <row r="248" spans="1:9" x14ac:dyDescent="0.15">
      <c r="A248" s="9">
        <v>247</v>
      </c>
      <c r="B248" s="9" t="s">
        <v>9</v>
      </c>
      <c r="C248" s="9">
        <v>1923</v>
      </c>
      <c r="D248" s="10">
        <v>45701</v>
      </c>
      <c r="E248" s="13" t="str">
        <f>+HYPERLINK("http://trademark.i-assist.jp/data/china/image_1923th/81485247.pdf","81485247")</f>
        <v>81485247</v>
      </c>
      <c r="F248" s="9" t="s">
        <v>727</v>
      </c>
      <c r="G248" s="9" t="s">
        <v>728</v>
      </c>
      <c r="H248" s="9" t="s">
        <v>729</v>
      </c>
      <c r="I248" s="10">
        <v>45586</v>
      </c>
    </row>
    <row r="249" spans="1:9" x14ac:dyDescent="0.15">
      <c r="A249" s="9">
        <v>248</v>
      </c>
      <c r="B249" s="9" t="s">
        <v>9</v>
      </c>
      <c r="C249" s="9">
        <v>1923</v>
      </c>
      <c r="D249" s="10">
        <v>45701</v>
      </c>
      <c r="E249" s="13" t="str">
        <f>+HYPERLINK("http://trademark.i-assist.jp/data/china/image_1923th/81489482.pdf","81489482")</f>
        <v>81489482</v>
      </c>
      <c r="F249" s="11" t="s">
        <v>730</v>
      </c>
      <c r="G249" s="9" t="s">
        <v>731</v>
      </c>
      <c r="H249" s="9" t="s">
        <v>732</v>
      </c>
      <c r="I249" s="10">
        <v>45586</v>
      </c>
    </row>
    <row r="250" spans="1:9" x14ac:dyDescent="0.15">
      <c r="A250" s="9">
        <v>249</v>
      </c>
      <c r="B250" s="9" t="s">
        <v>9</v>
      </c>
      <c r="C250" s="9">
        <v>1923</v>
      </c>
      <c r="D250" s="10">
        <v>45701</v>
      </c>
      <c r="E250" s="13" t="str">
        <f>+HYPERLINK("http://trademark.i-assist.jp/data/china/image_1923th/81492310.pdf","81492310")</f>
        <v>81492310</v>
      </c>
      <c r="F250" s="9" t="s">
        <v>733</v>
      </c>
      <c r="G250" s="9" t="s">
        <v>734</v>
      </c>
      <c r="H250" s="9" t="s">
        <v>735</v>
      </c>
      <c r="I250" s="10">
        <v>45586</v>
      </c>
    </row>
    <row r="251" spans="1:9" x14ac:dyDescent="0.15">
      <c r="A251" s="9">
        <v>250</v>
      </c>
      <c r="B251" s="9" t="s">
        <v>9</v>
      </c>
      <c r="C251" s="9">
        <v>1923</v>
      </c>
      <c r="D251" s="10">
        <v>45701</v>
      </c>
      <c r="E251" s="13" t="str">
        <f>+HYPERLINK("http://trademark.i-assist.jp/data/china/image_1923th/81493246.pdf","81493246")</f>
        <v>81493246</v>
      </c>
      <c r="F251" s="12" t="s">
        <v>736</v>
      </c>
      <c r="G251" s="9" t="s">
        <v>737</v>
      </c>
      <c r="H251" s="9" t="s">
        <v>738</v>
      </c>
      <c r="I251" s="10">
        <v>45586</v>
      </c>
    </row>
    <row r="252" spans="1:9" x14ac:dyDescent="0.15">
      <c r="A252" s="9">
        <v>251</v>
      </c>
      <c r="B252" s="9" t="s">
        <v>9</v>
      </c>
      <c r="C252" s="9">
        <v>1923</v>
      </c>
      <c r="D252" s="10">
        <v>45701</v>
      </c>
      <c r="E252" s="13" t="str">
        <f>+HYPERLINK("http://trademark.i-assist.jp/data/china/image_1923th/81495662.pdf","81495662")</f>
        <v>81495662</v>
      </c>
      <c r="F252" s="9" t="s">
        <v>739</v>
      </c>
      <c r="G252" s="9" t="s">
        <v>740</v>
      </c>
      <c r="H252" s="9" t="s">
        <v>741</v>
      </c>
      <c r="I252" s="10">
        <v>45586</v>
      </c>
    </row>
    <row r="253" spans="1:9" x14ac:dyDescent="0.15">
      <c r="A253" s="9">
        <v>252</v>
      </c>
      <c r="B253" s="9" t="s">
        <v>9</v>
      </c>
      <c r="C253" s="9">
        <v>1923</v>
      </c>
      <c r="D253" s="10">
        <v>45701</v>
      </c>
      <c r="E253" s="13" t="str">
        <f>+HYPERLINK("http://trademark.i-assist.jp/data/china/image_1923th/81497121.pdf","81497121")</f>
        <v>81497121</v>
      </c>
      <c r="F253" s="11" t="s">
        <v>742</v>
      </c>
      <c r="G253" s="9" t="s">
        <v>743</v>
      </c>
      <c r="H253" s="11" t="s">
        <v>744</v>
      </c>
      <c r="I253" s="10">
        <v>45586</v>
      </c>
    </row>
    <row r="254" spans="1:9" x14ac:dyDescent="0.15">
      <c r="A254" s="9">
        <v>253</v>
      </c>
      <c r="B254" s="9" t="s">
        <v>9</v>
      </c>
      <c r="C254" s="9">
        <v>1923</v>
      </c>
      <c r="D254" s="10">
        <v>45701</v>
      </c>
      <c r="E254" s="13" t="str">
        <f>+HYPERLINK("http://trademark.i-assist.jp/data/china/image_1923th/81497553.pdf","81497553")</f>
        <v>81497553</v>
      </c>
      <c r="F254" s="9" t="s">
        <v>745</v>
      </c>
      <c r="G254" s="9" t="s">
        <v>746</v>
      </c>
      <c r="H254" s="9" t="s">
        <v>747</v>
      </c>
      <c r="I254" s="10">
        <v>45586</v>
      </c>
    </row>
    <row r="255" spans="1:9" x14ac:dyDescent="0.15">
      <c r="A255" s="9">
        <v>254</v>
      </c>
      <c r="B255" s="9" t="s">
        <v>9</v>
      </c>
      <c r="C255" s="9">
        <v>1923</v>
      </c>
      <c r="D255" s="10">
        <v>45701</v>
      </c>
      <c r="E255" s="13" t="str">
        <f>+HYPERLINK("http://trademark.i-assist.jp/data/china/image_1923th/81498068.pdf","81498068")</f>
        <v>81498068</v>
      </c>
      <c r="F255" s="9" t="s">
        <v>748</v>
      </c>
      <c r="G255" s="11" t="s">
        <v>749</v>
      </c>
      <c r="H255" s="9" t="s">
        <v>750</v>
      </c>
      <c r="I255" s="10">
        <v>45586</v>
      </c>
    </row>
    <row r="256" spans="1:9" x14ac:dyDescent="0.15">
      <c r="A256" s="9">
        <v>255</v>
      </c>
      <c r="B256" s="9" t="s">
        <v>9</v>
      </c>
      <c r="C256" s="9">
        <v>1923</v>
      </c>
      <c r="D256" s="10">
        <v>45701</v>
      </c>
      <c r="E256" s="13" t="str">
        <f>+HYPERLINK("http://trademark.i-assist.jp/data/china/image_1923th/81498893.pdf","81498893")</f>
        <v>81498893</v>
      </c>
      <c r="F256" s="9" t="s">
        <v>751</v>
      </c>
      <c r="G256" s="9" t="s">
        <v>752</v>
      </c>
      <c r="H256" s="9" t="s">
        <v>753</v>
      </c>
      <c r="I256" s="10">
        <v>45586</v>
      </c>
    </row>
    <row r="257" spans="1:9" x14ac:dyDescent="0.15">
      <c r="A257" s="9">
        <v>256</v>
      </c>
      <c r="B257" s="9" t="s">
        <v>9</v>
      </c>
      <c r="C257" s="9">
        <v>1923</v>
      </c>
      <c r="D257" s="10">
        <v>45701</v>
      </c>
      <c r="E257" s="13" t="str">
        <f>+HYPERLINK("http://trademark.i-assist.jp/data/china/image_1923th/81500074.pdf","81500074")</f>
        <v>81500074</v>
      </c>
      <c r="F257" s="11" t="s">
        <v>754</v>
      </c>
      <c r="G257" s="9" t="s">
        <v>755</v>
      </c>
      <c r="H257" s="9" t="s">
        <v>756</v>
      </c>
      <c r="I257" s="10">
        <v>45586</v>
      </c>
    </row>
    <row r="258" spans="1:9" x14ac:dyDescent="0.15">
      <c r="A258" s="9">
        <v>257</v>
      </c>
      <c r="B258" s="9" t="s">
        <v>9</v>
      </c>
      <c r="C258" s="9">
        <v>1923</v>
      </c>
      <c r="D258" s="10">
        <v>45701</v>
      </c>
      <c r="E258" s="13" t="str">
        <f>+HYPERLINK("http://trademark.i-assist.jp/data/china/image_1923th/81501455.pdf","81501455")</f>
        <v>81501455</v>
      </c>
      <c r="F258" s="9" t="s">
        <v>757</v>
      </c>
      <c r="G258" s="9" t="s">
        <v>758</v>
      </c>
      <c r="H258" s="9" t="s">
        <v>759</v>
      </c>
      <c r="I258" s="10">
        <v>45586</v>
      </c>
    </row>
    <row r="259" spans="1:9" x14ac:dyDescent="0.15">
      <c r="A259" s="9">
        <v>258</v>
      </c>
      <c r="B259" s="9" t="s">
        <v>9</v>
      </c>
      <c r="C259" s="9">
        <v>1923</v>
      </c>
      <c r="D259" s="10">
        <v>45701</v>
      </c>
      <c r="E259" s="13" t="str">
        <f>+HYPERLINK("http://trademark.i-assist.jp/data/china/image_1923th/81501463.pdf","81501463")</f>
        <v>81501463</v>
      </c>
      <c r="F259" s="9" t="s">
        <v>760</v>
      </c>
      <c r="G259" s="9" t="s">
        <v>761</v>
      </c>
      <c r="H259" s="9" t="s">
        <v>762</v>
      </c>
      <c r="I259" s="10">
        <v>45586</v>
      </c>
    </row>
    <row r="260" spans="1:9" x14ac:dyDescent="0.15">
      <c r="A260" s="9">
        <v>259</v>
      </c>
      <c r="B260" s="9" t="s">
        <v>9</v>
      </c>
      <c r="C260" s="9">
        <v>1923</v>
      </c>
      <c r="D260" s="10">
        <v>45701</v>
      </c>
      <c r="E260" s="13" t="str">
        <f>+HYPERLINK("http://trademark.i-assist.jp/data/china/image_1923th/81501494.pdf","81501494")</f>
        <v>81501494</v>
      </c>
      <c r="F260" s="11" t="s">
        <v>126</v>
      </c>
      <c r="G260" s="9" t="s">
        <v>763</v>
      </c>
      <c r="H260" s="11" t="s">
        <v>764</v>
      </c>
      <c r="I260" s="10">
        <v>45586</v>
      </c>
    </row>
    <row r="261" spans="1:9" x14ac:dyDescent="0.15">
      <c r="A261" s="9">
        <v>260</v>
      </c>
      <c r="B261" s="9" t="s">
        <v>9</v>
      </c>
      <c r="C261" s="9">
        <v>1923</v>
      </c>
      <c r="D261" s="10">
        <v>45701</v>
      </c>
      <c r="E261" s="13" t="str">
        <f>+HYPERLINK("http://trademark.i-assist.jp/data/china/image_1923th/81503322.pdf","81503322")</f>
        <v>81503322</v>
      </c>
      <c r="F261" s="9" t="s">
        <v>765</v>
      </c>
      <c r="G261" s="9" t="s">
        <v>740</v>
      </c>
      <c r="H261" s="9" t="s">
        <v>766</v>
      </c>
      <c r="I261" s="10">
        <v>45586</v>
      </c>
    </row>
    <row r="262" spans="1:9" x14ac:dyDescent="0.15">
      <c r="A262" s="9">
        <v>261</v>
      </c>
      <c r="B262" s="9" t="s">
        <v>9</v>
      </c>
      <c r="C262" s="9">
        <v>1923</v>
      </c>
      <c r="D262" s="10">
        <v>45701</v>
      </c>
      <c r="E262" s="13" t="str">
        <f>+HYPERLINK("http://trademark.i-assist.jp/data/china/image_1923th/81504127.pdf","81504127")</f>
        <v>81504127</v>
      </c>
      <c r="F262" s="9" t="s">
        <v>767</v>
      </c>
      <c r="G262" s="9" t="s">
        <v>768</v>
      </c>
      <c r="H262" s="9" t="s">
        <v>769</v>
      </c>
      <c r="I262" s="10">
        <v>45586</v>
      </c>
    </row>
    <row r="263" spans="1:9" x14ac:dyDescent="0.15">
      <c r="A263" s="9">
        <v>262</v>
      </c>
      <c r="B263" s="9" t="s">
        <v>9</v>
      </c>
      <c r="C263" s="9">
        <v>1923</v>
      </c>
      <c r="D263" s="10">
        <v>45701</v>
      </c>
      <c r="E263" s="13" t="str">
        <f>+HYPERLINK("http://trademark.i-assist.jp/data/china/image_1923th/81508364.pdf","81508364")</f>
        <v>81508364</v>
      </c>
      <c r="F263" s="9" t="s">
        <v>770</v>
      </c>
      <c r="G263" s="11" t="s">
        <v>771</v>
      </c>
      <c r="H263" s="9" t="s">
        <v>772</v>
      </c>
      <c r="I263" s="10">
        <v>45587</v>
      </c>
    </row>
    <row r="264" spans="1:9" x14ac:dyDescent="0.15">
      <c r="A264" s="9">
        <v>263</v>
      </c>
      <c r="B264" s="9" t="s">
        <v>9</v>
      </c>
      <c r="C264" s="9">
        <v>1923</v>
      </c>
      <c r="D264" s="10">
        <v>45701</v>
      </c>
      <c r="E264" s="13" t="str">
        <f>+HYPERLINK("http://trademark.i-assist.jp/data/china/image_1923th/81508548.pdf","81508548")</f>
        <v>81508548</v>
      </c>
      <c r="F264" s="9" t="s">
        <v>773</v>
      </c>
      <c r="G264" s="9" t="s">
        <v>774</v>
      </c>
      <c r="H264" s="9" t="s">
        <v>775</v>
      </c>
      <c r="I264" s="10">
        <v>45587</v>
      </c>
    </row>
    <row r="265" spans="1:9" x14ac:dyDescent="0.15">
      <c r="A265" s="9">
        <v>264</v>
      </c>
      <c r="B265" s="9" t="s">
        <v>9</v>
      </c>
      <c r="C265" s="9">
        <v>1923</v>
      </c>
      <c r="D265" s="10">
        <v>45701</v>
      </c>
      <c r="E265" s="13" t="str">
        <f>+HYPERLINK("http://trademark.i-assist.jp/data/china/image_1923th/81514660.pdf","81514660")</f>
        <v>81514660</v>
      </c>
      <c r="F265" s="9" t="s">
        <v>776</v>
      </c>
      <c r="G265" s="9" t="s">
        <v>777</v>
      </c>
      <c r="H265" s="9" t="s">
        <v>778</v>
      </c>
      <c r="I265" s="10">
        <v>45587</v>
      </c>
    </row>
    <row r="266" spans="1:9" x14ac:dyDescent="0.15">
      <c r="A266" s="9">
        <v>265</v>
      </c>
      <c r="B266" s="9" t="s">
        <v>9</v>
      </c>
      <c r="C266" s="9">
        <v>1923</v>
      </c>
      <c r="D266" s="10">
        <v>45701</v>
      </c>
      <c r="E266" s="13" t="str">
        <f>+HYPERLINK("http://trademark.i-assist.jp/data/china/image_1923th/81515090.pdf","81515090")</f>
        <v>81515090</v>
      </c>
      <c r="F266" s="9" t="s">
        <v>779</v>
      </c>
      <c r="G266" s="11" t="s">
        <v>780</v>
      </c>
      <c r="H266" s="9" t="s">
        <v>781</v>
      </c>
      <c r="I266" s="10">
        <v>45587</v>
      </c>
    </row>
    <row r="267" spans="1:9" x14ac:dyDescent="0.15">
      <c r="A267" s="9">
        <v>266</v>
      </c>
      <c r="B267" s="9" t="s">
        <v>9</v>
      </c>
      <c r="C267" s="9">
        <v>1923</v>
      </c>
      <c r="D267" s="10">
        <v>45701</v>
      </c>
      <c r="E267" s="13" t="str">
        <f>+HYPERLINK("http://trademark.i-assist.jp/data/china/image_1923th/81515924.pdf","81515924")</f>
        <v>81515924</v>
      </c>
      <c r="F267" s="11" t="s">
        <v>782</v>
      </c>
      <c r="G267" s="9" t="s">
        <v>783</v>
      </c>
      <c r="H267" s="11" t="s">
        <v>784</v>
      </c>
      <c r="I267" s="10">
        <v>45587</v>
      </c>
    </row>
    <row r="268" spans="1:9" x14ac:dyDescent="0.15">
      <c r="A268" s="9">
        <v>267</v>
      </c>
      <c r="B268" s="9" t="s">
        <v>9</v>
      </c>
      <c r="C268" s="9">
        <v>1923</v>
      </c>
      <c r="D268" s="10">
        <v>45701</v>
      </c>
      <c r="E268" s="13" t="str">
        <f>+HYPERLINK("http://trademark.i-assist.jp/data/china/image_1923th/81517127.pdf","81517127")</f>
        <v>81517127</v>
      </c>
      <c r="F268" s="9" t="s">
        <v>785</v>
      </c>
      <c r="G268" s="9" t="s">
        <v>786</v>
      </c>
      <c r="H268" s="9" t="s">
        <v>787</v>
      </c>
      <c r="I268" s="10">
        <v>45587</v>
      </c>
    </row>
    <row r="269" spans="1:9" x14ac:dyDescent="0.15">
      <c r="A269" s="9">
        <v>268</v>
      </c>
      <c r="B269" s="9" t="s">
        <v>9</v>
      </c>
      <c r="C269" s="9">
        <v>1923</v>
      </c>
      <c r="D269" s="10">
        <v>45701</v>
      </c>
      <c r="E269" s="13" t="str">
        <f>+HYPERLINK("http://trademark.i-assist.jp/data/china/image_1923th/81519632.pdf","81519632")</f>
        <v>81519632</v>
      </c>
      <c r="F269" s="11" t="s">
        <v>788</v>
      </c>
      <c r="G269" s="11" t="s">
        <v>789</v>
      </c>
      <c r="H269" s="9" t="s">
        <v>790</v>
      </c>
      <c r="I269" s="10">
        <v>45587</v>
      </c>
    </row>
    <row r="270" spans="1:9" x14ac:dyDescent="0.15">
      <c r="A270" s="9">
        <v>269</v>
      </c>
      <c r="B270" s="9" t="s">
        <v>9</v>
      </c>
      <c r="C270" s="9">
        <v>1923</v>
      </c>
      <c r="D270" s="10">
        <v>45701</v>
      </c>
      <c r="E270" s="13" t="str">
        <f>+HYPERLINK("http://trademark.i-assist.jp/data/china/image_1923th/81523881.pdf","81523881")</f>
        <v>81523881</v>
      </c>
      <c r="F270" s="9" t="s">
        <v>791</v>
      </c>
      <c r="G270" s="11" t="s">
        <v>792</v>
      </c>
      <c r="H270" s="9" t="s">
        <v>793</v>
      </c>
      <c r="I270" s="10">
        <v>45587</v>
      </c>
    </row>
    <row r="271" spans="1:9" x14ac:dyDescent="0.15">
      <c r="A271" s="9">
        <v>270</v>
      </c>
      <c r="B271" s="9" t="s">
        <v>9</v>
      </c>
      <c r="C271" s="9">
        <v>1923</v>
      </c>
      <c r="D271" s="10">
        <v>45701</v>
      </c>
      <c r="E271" s="13" t="str">
        <f>+HYPERLINK("http://trademark.i-assist.jp/data/china/image_1923th/81525093.pdf","81525093")</f>
        <v>81525093</v>
      </c>
      <c r="F271" s="9" t="s">
        <v>794</v>
      </c>
      <c r="G271" s="9" t="s">
        <v>795</v>
      </c>
      <c r="H271" s="9" t="s">
        <v>796</v>
      </c>
      <c r="I271" s="10">
        <v>45587</v>
      </c>
    </row>
    <row r="272" spans="1:9" x14ac:dyDescent="0.15">
      <c r="A272" s="9">
        <v>271</v>
      </c>
      <c r="B272" s="9" t="s">
        <v>9</v>
      </c>
      <c r="C272" s="9">
        <v>1923</v>
      </c>
      <c r="D272" s="10">
        <v>45701</v>
      </c>
      <c r="E272" s="13" t="str">
        <f>+HYPERLINK("http://trademark.i-assist.jp/data/china/image_1923th/81528583.pdf","81528583")</f>
        <v>81528583</v>
      </c>
      <c r="F272" s="9" t="s">
        <v>797</v>
      </c>
      <c r="G272" s="9" t="s">
        <v>798</v>
      </c>
      <c r="H272" s="9" t="s">
        <v>799</v>
      </c>
      <c r="I272" s="10">
        <v>45587</v>
      </c>
    </row>
    <row r="273" spans="1:9" x14ac:dyDescent="0.15">
      <c r="A273" s="9">
        <v>272</v>
      </c>
      <c r="B273" s="9" t="s">
        <v>9</v>
      </c>
      <c r="C273" s="9">
        <v>1923</v>
      </c>
      <c r="D273" s="10">
        <v>45701</v>
      </c>
      <c r="E273" s="13" t="str">
        <f>+HYPERLINK("http://trademark.i-assist.jp/data/china/image_1923th/81529223.pdf","81529223")</f>
        <v>81529223</v>
      </c>
      <c r="F273" s="9" t="s">
        <v>800</v>
      </c>
      <c r="G273" s="11" t="s">
        <v>801</v>
      </c>
      <c r="H273" s="9" t="s">
        <v>802</v>
      </c>
      <c r="I273" s="10">
        <v>45587</v>
      </c>
    </row>
    <row r="274" spans="1:9" x14ac:dyDescent="0.15">
      <c r="A274" s="9">
        <v>273</v>
      </c>
      <c r="B274" s="9" t="s">
        <v>9</v>
      </c>
      <c r="C274" s="9">
        <v>1923</v>
      </c>
      <c r="D274" s="10">
        <v>45701</v>
      </c>
      <c r="E274" s="13" t="str">
        <f>+HYPERLINK("http://trademark.i-assist.jp/data/china/image_1923th/81529655.pdf","81529655")</f>
        <v>81529655</v>
      </c>
      <c r="F274" s="9" t="s">
        <v>803</v>
      </c>
      <c r="G274" s="9" t="s">
        <v>777</v>
      </c>
      <c r="H274" s="9" t="s">
        <v>804</v>
      </c>
      <c r="I274" s="10">
        <v>45587</v>
      </c>
    </row>
    <row r="275" spans="1:9" x14ac:dyDescent="0.15">
      <c r="A275" s="9">
        <v>274</v>
      </c>
      <c r="B275" s="9" t="s">
        <v>9</v>
      </c>
      <c r="C275" s="9">
        <v>1923</v>
      </c>
      <c r="D275" s="10">
        <v>45701</v>
      </c>
      <c r="E275" s="13" t="str">
        <f>+HYPERLINK("http://trademark.i-assist.jp/data/china/image_1923th/81532815.pdf","81532815")</f>
        <v>81532815</v>
      </c>
      <c r="F275" s="9" t="s">
        <v>805</v>
      </c>
      <c r="G275" s="9" t="s">
        <v>806</v>
      </c>
      <c r="H275" s="9" t="s">
        <v>807</v>
      </c>
      <c r="I275" s="10">
        <v>45588</v>
      </c>
    </row>
    <row r="276" spans="1:9" x14ac:dyDescent="0.15">
      <c r="A276" s="9">
        <v>275</v>
      </c>
      <c r="B276" s="9" t="s">
        <v>9</v>
      </c>
      <c r="C276" s="9">
        <v>1923</v>
      </c>
      <c r="D276" s="10">
        <v>45701</v>
      </c>
      <c r="E276" s="13" t="str">
        <f>+HYPERLINK("http://trademark.i-assist.jp/data/china/image_1923th/81534061.pdf","81534061")</f>
        <v>81534061</v>
      </c>
      <c r="F276" s="9" t="s">
        <v>808</v>
      </c>
      <c r="G276" s="11" t="s">
        <v>809</v>
      </c>
      <c r="H276" s="9" t="s">
        <v>810</v>
      </c>
      <c r="I276" s="10">
        <v>45588</v>
      </c>
    </row>
    <row r="277" spans="1:9" x14ac:dyDescent="0.15">
      <c r="A277" s="9">
        <v>276</v>
      </c>
      <c r="B277" s="9" t="s">
        <v>9</v>
      </c>
      <c r="C277" s="9">
        <v>1923</v>
      </c>
      <c r="D277" s="10">
        <v>45701</v>
      </c>
      <c r="E277" s="13" t="str">
        <f>+HYPERLINK("http://trademark.i-assist.jp/data/china/image_1923th/81535444.pdf","81535444")</f>
        <v>81535444</v>
      </c>
      <c r="F277" s="9" t="s">
        <v>811</v>
      </c>
      <c r="G277" s="9" t="s">
        <v>812</v>
      </c>
      <c r="H277" s="9" t="s">
        <v>813</v>
      </c>
      <c r="I277" s="10">
        <v>45588</v>
      </c>
    </row>
    <row r="278" spans="1:9" x14ac:dyDescent="0.15">
      <c r="A278" s="9">
        <v>277</v>
      </c>
      <c r="B278" s="9" t="s">
        <v>9</v>
      </c>
      <c r="C278" s="9">
        <v>1923</v>
      </c>
      <c r="D278" s="10">
        <v>45701</v>
      </c>
      <c r="E278" s="13" t="str">
        <f>+HYPERLINK("http://trademark.i-assist.jp/data/china/image_1923th/81536256.pdf","81536256")</f>
        <v>81536256</v>
      </c>
      <c r="F278" s="11" t="s">
        <v>126</v>
      </c>
      <c r="G278" s="9" t="s">
        <v>814</v>
      </c>
      <c r="H278" s="9" t="s">
        <v>815</v>
      </c>
      <c r="I278" s="10">
        <v>45588</v>
      </c>
    </row>
    <row r="279" spans="1:9" x14ac:dyDescent="0.15">
      <c r="A279" s="9">
        <v>278</v>
      </c>
      <c r="B279" s="9" t="s">
        <v>9</v>
      </c>
      <c r="C279" s="9">
        <v>1923</v>
      </c>
      <c r="D279" s="10">
        <v>45701</v>
      </c>
      <c r="E279" s="13" t="str">
        <f>+HYPERLINK("http://trademark.i-assist.jp/data/china/image_1923th/81537032.pdf","81537032")</f>
        <v>81537032</v>
      </c>
      <c r="F279" s="12" t="s">
        <v>816</v>
      </c>
      <c r="G279" s="11" t="s">
        <v>817</v>
      </c>
      <c r="H279" s="11" t="s">
        <v>818</v>
      </c>
      <c r="I279" s="10">
        <v>45588</v>
      </c>
    </row>
    <row r="280" spans="1:9" x14ac:dyDescent="0.15">
      <c r="A280" s="9">
        <v>279</v>
      </c>
      <c r="B280" s="9" t="s">
        <v>9</v>
      </c>
      <c r="C280" s="9">
        <v>1923</v>
      </c>
      <c r="D280" s="10">
        <v>45701</v>
      </c>
      <c r="E280" s="13" t="str">
        <f>+HYPERLINK("http://trademark.i-assist.jp/data/china/image_1923th/81540040.pdf","81540040")</f>
        <v>81540040</v>
      </c>
      <c r="F280" s="12" t="s">
        <v>819</v>
      </c>
      <c r="G280" s="11" t="s">
        <v>820</v>
      </c>
      <c r="H280" s="9" t="s">
        <v>821</v>
      </c>
      <c r="I280" s="10">
        <v>45588</v>
      </c>
    </row>
    <row r="281" spans="1:9" x14ac:dyDescent="0.15">
      <c r="A281" s="9">
        <v>280</v>
      </c>
      <c r="B281" s="9" t="s">
        <v>9</v>
      </c>
      <c r="C281" s="9">
        <v>1923</v>
      </c>
      <c r="D281" s="10">
        <v>45701</v>
      </c>
      <c r="E281" s="13" t="str">
        <f>+HYPERLINK("http://trademark.i-assist.jp/data/china/image_1923th/81540393.pdf","81540393")</f>
        <v>81540393</v>
      </c>
      <c r="F281" s="9" t="s">
        <v>822</v>
      </c>
      <c r="G281" s="9" t="s">
        <v>823</v>
      </c>
      <c r="H281" s="9" t="s">
        <v>824</v>
      </c>
      <c r="I281" s="10">
        <v>45588</v>
      </c>
    </row>
    <row r="282" spans="1:9" x14ac:dyDescent="0.15">
      <c r="A282" s="9">
        <v>281</v>
      </c>
      <c r="B282" s="9" t="s">
        <v>9</v>
      </c>
      <c r="C282" s="9">
        <v>1923</v>
      </c>
      <c r="D282" s="10">
        <v>45701</v>
      </c>
      <c r="E282" s="13" t="str">
        <f>+HYPERLINK("http://trademark.i-assist.jp/data/china/image_1923th/81540455.pdf","81540455")</f>
        <v>81540455</v>
      </c>
      <c r="F282" s="9" t="s">
        <v>825</v>
      </c>
      <c r="G282" s="9" t="s">
        <v>826</v>
      </c>
      <c r="H282" s="9" t="s">
        <v>827</v>
      </c>
      <c r="I282" s="10">
        <v>45588</v>
      </c>
    </row>
    <row r="283" spans="1:9" x14ac:dyDescent="0.15">
      <c r="A283" s="9">
        <v>282</v>
      </c>
      <c r="B283" s="9" t="s">
        <v>9</v>
      </c>
      <c r="C283" s="9">
        <v>1923</v>
      </c>
      <c r="D283" s="10">
        <v>45701</v>
      </c>
      <c r="E283" s="13" t="str">
        <f>+HYPERLINK("http://trademark.i-assist.jp/data/china/image_1923th/81540935.pdf","81540935")</f>
        <v>81540935</v>
      </c>
      <c r="F283" s="9" t="s">
        <v>828</v>
      </c>
      <c r="G283" s="11" t="s">
        <v>829</v>
      </c>
      <c r="H283" s="9" t="s">
        <v>830</v>
      </c>
      <c r="I283" s="10">
        <v>45588</v>
      </c>
    </row>
    <row r="284" spans="1:9" x14ac:dyDescent="0.15">
      <c r="A284" s="9">
        <v>283</v>
      </c>
      <c r="B284" s="9" t="s">
        <v>9</v>
      </c>
      <c r="C284" s="9">
        <v>1923</v>
      </c>
      <c r="D284" s="10">
        <v>45701</v>
      </c>
      <c r="E284" s="13" t="str">
        <f>+HYPERLINK("http://trademark.i-assist.jp/data/china/image_1923th/81543489.pdf","81543489")</f>
        <v>81543489</v>
      </c>
      <c r="F284" s="9" t="s">
        <v>831</v>
      </c>
      <c r="G284" s="9" t="s">
        <v>832</v>
      </c>
      <c r="H284" s="9" t="s">
        <v>833</v>
      </c>
      <c r="I284" s="10">
        <v>45588</v>
      </c>
    </row>
    <row r="285" spans="1:9" x14ac:dyDescent="0.15">
      <c r="A285" s="9">
        <v>284</v>
      </c>
      <c r="B285" s="9" t="s">
        <v>9</v>
      </c>
      <c r="C285" s="9">
        <v>1923</v>
      </c>
      <c r="D285" s="10">
        <v>45701</v>
      </c>
      <c r="E285" s="13" t="str">
        <f>+HYPERLINK("http://trademark.i-assist.jp/data/china/image_1923th/81546212.pdf","81546212")</f>
        <v>81546212</v>
      </c>
      <c r="F285" s="9" t="s">
        <v>834</v>
      </c>
      <c r="G285" s="9" t="s">
        <v>835</v>
      </c>
      <c r="H285" s="9" t="s">
        <v>836</v>
      </c>
      <c r="I285" s="10">
        <v>45588</v>
      </c>
    </row>
    <row r="286" spans="1:9" x14ac:dyDescent="0.15">
      <c r="A286" s="9">
        <v>285</v>
      </c>
      <c r="B286" s="9" t="s">
        <v>9</v>
      </c>
      <c r="C286" s="9">
        <v>1923</v>
      </c>
      <c r="D286" s="10">
        <v>45701</v>
      </c>
      <c r="E286" s="13" t="str">
        <f>+HYPERLINK("http://trademark.i-assist.jp/data/china/image_1923th/81548552.pdf","81548552")</f>
        <v>81548552</v>
      </c>
      <c r="F286" s="9" t="s">
        <v>837</v>
      </c>
      <c r="G286" s="9" t="s">
        <v>838</v>
      </c>
      <c r="H286" s="9" t="s">
        <v>839</v>
      </c>
      <c r="I286" s="10">
        <v>45588</v>
      </c>
    </row>
    <row r="287" spans="1:9" x14ac:dyDescent="0.15">
      <c r="A287" s="9">
        <v>286</v>
      </c>
      <c r="B287" s="9" t="s">
        <v>9</v>
      </c>
      <c r="C287" s="9">
        <v>1923</v>
      </c>
      <c r="D287" s="10">
        <v>45701</v>
      </c>
      <c r="E287" s="13" t="str">
        <f>+HYPERLINK("http://trademark.i-assist.jp/data/china/image_1923th/81549775.pdf","81549775")</f>
        <v>81549775</v>
      </c>
      <c r="F287" s="9" t="s">
        <v>840</v>
      </c>
      <c r="G287" s="9" t="s">
        <v>841</v>
      </c>
      <c r="H287" s="9" t="s">
        <v>842</v>
      </c>
      <c r="I287" s="10">
        <v>45588</v>
      </c>
    </row>
    <row r="288" spans="1:9" x14ac:dyDescent="0.15">
      <c r="A288" s="9">
        <v>287</v>
      </c>
      <c r="B288" s="9" t="s">
        <v>9</v>
      </c>
      <c r="C288" s="9">
        <v>1923</v>
      </c>
      <c r="D288" s="10">
        <v>45701</v>
      </c>
      <c r="E288" s="13" t="str">
        <f>+HYPERLINK("http://trademark.i-assist.jp/data/china/image_1923th/81552597.pdf","81552597")</f>
        <v>81552597</v>
      </c>
      <c r="F288" s="9" t="s">
        <v>843</v>
      </c>
      <c r="G288" s="9" t="s">
        <v>844</v>
      </c>
      <c r="H288" s="9" t="s">
        <v>845</v>
      </c>
      <c r="I288" s="10">
        <v>45588</v>
      </c>
    </row>
    <row r="289" spans="1:9" x14ac:dyDescent="0.15">
      <c r="A289" s="9">
        <v>288</v>
      </c>
      <c r="B289" s="9" t="s">
        <v>9</v>
      </c>
      <c r="C289" s="9">
        <v>1923</v>
      </c>
      <c r="D289" s="10">
        <v>45701</v>
      </c>
      <c r="E289" s="13" t="str">
        <f>+HYPERLINK("http://trademark.i-assist.jp/data/china/image_1923th/81553451.pdf","81553451")</f>
        <v>81553451</v>
      </c>
      <c r="F289" s="9" t="s">
        <v>846</v>
      </c>
      <c r="G289" s="9" t="s">
        <v>847</v>
      </c>
      <c r="H289" s="9" t="s">
        <v>848</v>
      </c>
      <c r="I289" s="10">
        <v>45588</v>
      </c>
    </row>
    <row r="290" spans="1:9" x14ac:dyDescent="0.15">
      <c r="A290" s="9">
        <v>289</v>
      </c>
      <c r="B290" s="9" t="s">
        <v>9</v>
      </c>
      <c r="C290" s="9">
        <v>1923</v>
      </c>
      <c r="D290" s="10">
        <v>45701</v>
      </c>
      <c r="E290" s="13" t="str">
        <f>+HYPERLINK("http://trademark.i-assist.jp/data/china/image_1923th/81553719.pdf","81553719")</f>
        <v>81553719</v>
      </c>
      <c r="F290" s="9" t="s">
        <v>849</v>
      </c>
      <c r="G290" s="9" t="s">
        <v>850</v>
      </c>
      <c r="H290" s="9" t="s">
        <v>851</v>
      </c>
      <c r="I290" s="10">
        <v>45588</v>
      </c>
    </row>
    <row r="291" spans="1:9" x14ac:dyDescent="0.15">
      <c r="A291" s="9">
        <v>290</v>
      </c>
      <c r="B291" s="9" t="s">
        <v>9</v>
      </c>
      <c r="C291" s="9">
        <v>1923</v>
      </c>
      <c r="D291" s="10">
        <v>45701</v>
      </c>
      <c r="E291" s="13" t="str">
        <f>+HYPERLINK("http://trademark.i-assist.jp/data/china/image_1923th/81558776.pdf","81558776")</f>
        <v>81558776</v>
      </c>
      <c r="F291" s="9" t="s">
        <v>852</v>
      </c>
      <c r="G291" s="9" t="s">
        <v>853</v>
      </c>
      <c r="H291" s="9" t="s">
        <v>854</v>
      </c>
      <c r="I291" s="10">
        <v>45589</v>
      </c>
    </row>
    <row r="292" spans="1:9" x14ac:dyDescent="0.15">
      <c r="A292" s="9">
        <v>291</v>
      </c>
      <c r="B292" s="9" t="s">
        <v>9</v>
      </c>
      <c r="C292" s="9">
        <v>1923</v>
      </c>
      <c r="D292" s="10">
        <v>45701</v>
      </c>
      <c r="E292" s="13" t="str">
        <f>+HYPERLINK("http://trademark.i-assist.jp/data/china/image_1923th/81560252.pdf","81560252")</f>
        <v>81560252</v>
      </c>
      <c r="F292" s="9" t="s">
        <v>855</v>
      </c>
      <c r="G292" s="9" t="s">
        <v>856</v>
      </c>
      <c r="H292" s="9" t="s">
        <v>857</v>
      </c>
      <c r="I292" s="10">
        <v>45589</v>
      </c>
    </row>
    <row r="293" spans="1:9" x14ac:dyDescent="0.15">
      <c r="A293" s="9">
        <v>292</v>
      </c>
      <c r="B293" s="9" t="s">
        <v>9</v>
      </c>
      <c r="C293" s="9">
        <v>1923</v>
      </c>
      <c r="D293" s="10">
        <v>45701</v>
      </c>
      <c r="E293" s="13" t="str">
        <f>+HYPERLINK("http://trademark.i-assist.jp/data/china/image_1923th/81560595.pdf","81560595")</f>
        <v>81560595</v>
      </c>
      <c r="F293" s="9" t="s">
        <v>858</v>
      </c>
      <c r="G293" s="9" t="s">
        <v>859</v>
      </c>
      <c r="H293" s="9" t="s">
        <v>860</v>
      </c>
      <c r="I293" s="10">
        <v>45589</v>
      </c>
    </row>
    <row r="294" spans="1:9" x14ac:dyDescent="0.15">
      <c r="A294" s="9">
        <v>293</v>
      </c>
      <c r="B294" s="9" t="s">
        <v>9</v>
      </c>
      <c r="C294" s="9">
        <v>1923</v>
      </c>
      <c r="D294" s="10">
        <v>45701</v>
      </c>
      <c r="E294" s="13" t="str">
        <f>+HYPERLINK("http://trademark.i-assist.jp/data/china/image_1923th/81560906.pdf","81560906")</f>
        <v>81560906</v>
      </c>
      <c r="F294" s="9" t="s">
        <v>861</v>
      </c>
      <c r="G294" s="9" t="s">
        <v>862</v>
      </c>
      <c r="H294" s="9" t="s">
        <v>863</v>
      </c>
      <c r="I294" s="10">
        <v>45589</v>
      </c>
    </row>
    <row r="295" spans="1:9" x14ac:dyDescent="0.15">
      <c r="A295" s="9">
        <v>294</v>
      </c>
      <c r="B295" s="9" t="s">
        <v>9</v>
      </c>
      <c r="C295" s="9">
        <v>1923</v>
      </c>
      <c r="D295" s="10">
        <v>45701</v>
      </c>
      <c r="E295" s="13" t="str">
        <f>+HYPERLINK("http://trademark.i-assist.jp/data/china/image_1923th/81566424.pdf","81566424")</f>
        <v>81566424</v>
      </c>
      <c r="F295" s="12" t="s">
        <v>864</v>
      </c>
      <c r="G295" s="9" t="s">
        <v>865</v>
      </c>
      <c r="H295" s="9" t="s">
        <v>866</v>
      </c>
      <c r="I295" s="10">
        <v>45589</v>
      </c>
    </row>
    <row r="296" spans="1:9" x14ac:dyDescent="0.15">
      <c r="A296" s="9">
        <v>295</v>
      </c>
      <c r="B296" s="9" t="s">
        <v>9</v>
      </c>
      <c r="C296" s="9">
        <v>1923</v>
      </c>
      <c r="D296" s="10">
        <v>45701</v>
      </c>
      <c r="E296" s="13" t="str">
        <f>+HYPERLINK("http://trademark.i-assist.jp/data/china/image_1923th/81567701.pdf","81567701")</f>
        <v>81567701</v>
      </c>
      <c r="F296" s="11" t="s">
        <v>126</v>
      </c>
      <c r="G296" s="11" t="s">
        <v>867</v>
      </c>
      <c r="H296" s="11" t="s">
        <v>868</v>
      </c>
      <c r="I296" s="10">
        <v>45589</v>
      </c>
    </row>
    <row r="297" spans="1:9" x14ac:dyDescent="0.15">
      <c r="A297" s="9">
        <v>296</v>
      </c>
      <c r="B297" s="9" t="s">
        <v>9</v>
      </c>
      <c r="C297" s="9">
        <v>1923</v>
      </c>
      <c r="D297" s="10">
        <v>45701</v>
      </c>
      <c r="E297" s="13" t="str">
        <f>+HYPERLINK("http://trademark.i-assist.jp/data/china/image_1923th/81569221.pdf","81569221")</f>
        <v>81569221</v>
      </c>
      <c r="F297" s="9" t="s">
        <v>869</v>
      </c>
      <c r="G297" s="11" t="s">
        <v>870</v>
      </c>
      <c r="H297" s="9" t="s">
        <v>871</v>
      </c>
      <c r="I297" s="10">
        <v>45589</v>
      </c>
    </row>
    <row r="298" spans="1:9" x14ac:dyDescent="0.15">
      <c r="A298" s="9">
        <v>297</v>
      </c>
      <c r="B298" s="9" t="s">
        <v>9</v>
      </c>
      <c r="C298" s="9">
        <v>1923</v>
      </c>
      <c r="D298" s="10">
        <v>45701</v>
      </c>
      <c r="E298" s="13" t="str">
        <f>+HYPERLINK("http://trademark.i-assist.jp/data/china/image_1923th/81569665.pdf","81569665")</f>
        <v>81569665</v>
      </c>
      <c r="F298" s="11" t="s">
        <v>872</v>
      </c>
      <c r="G298" s="11" t="s">
        <v>873</v>
      </c>
      <c r="H298" s="11" t="s">
        <v>874</v>
      </c>
      <c r="I298" s="10">
        <v>45589</v>
      </c>
    </row>
    <row r="299" spans="1:9" x14ac:dyDescent="0.15">
      <c r="A299" s="9">
        <v>298</v>
      </c>
      <c r="B299" s="9" t="s">
        <v>9</v>
      </c>
      <c r="C299" s="9">
        <v>1923</v>
      </c>
      <c r="D299" s="10">
        <v>45701</v>
      </c>
      <c r="E299" s="13" t="str">
        <f>+HYPERLINK("http://trademark.i-assist.jp/data/china/image_1923th/81569972.pdf","81569972")</f>
        <v>81569972</v>
      </c>
      <c r="F299" s="9" t="s">
        <v>875</v>
      </c>
      <c r="G299" s="9" t="s">
        <v>274</v>
      </c>
      <c r="H299" s="9" t="s">
        <v>876</v>
      </c>
      <c r="I299" s="10">
        <v>45589</v>
      </c>
    </row>
    <row r="300" spans="1:9" x14ac:dyDescent="0.15">
      <c r="A300" s="9">
        <v>299</v>
      </c>
      <c r="B300" s="9" t="s">
        <v>9</v>
      </c>
      <c r="C300" s="9">
        <v>1923</v>
      </c>
      <c r="D300" s="10">
        <v>45701</v>
      </c>
      <c r="E300" s="13" t="str">
        <f>+HYPERLINK("http://trademark.i-assist.jp/data/china/image_1923th/81570158.pdf","81570158")</f>
        <v>81570158</v>
      </c>
      <c r="F300" s="9" t="s">
        <v>877</v>
      </c>
      <c r="G300" s="11" t="s">
        <v>878</v>
      </c>
      <c r="H300" s="9" t="s">
        <v>879</v>
      </c>
      <c r="I300" s="10">
        <v>45589</v>
      </c>
    </row>
    <row r="301" spans="1:9" x14ac:dyDescent="0.15">
      <c r="A301" s="9">
        <v>300</v>
      </c>
      <c r="B301" s="9" t="s">
        <v>9</v>
      </c>
      <c r="C301" s="9">
        <v>1923</v>
      </c>
      <c r="D301" s="10">
        <v>45701</v>
      </c>
      <c r="E301" s="13" t="str">
        <f>+HYPERLINK("http://trademark.i-assist.jp/data/china/image_1923th/81571382.pdf","81571382")</f>
        <v>81571382</v>
      </c>
      <c r="F301" s="11" t="s">
        <v>880</v>
      </c>
      <c r="G301" s="9" t="s">
        <v>881</v>
      </c>
      <c r="H301" s="9" t="s">
        <v>882</v>
      </c>
      <c r="I301" s="10">
        <v>45589</v>
      </c>
    </row>
    <row r="302" spans="1:9" x14ac:dyDescent="0.15">
      <c r="A302" s="9">
        <v>301</v>
      </c>
      <c r="B302" s="9" t="s">
        <v>9</v>
      </c>
      <c r="C302" s="9">
        <v>1923</v>
      </c>
      <c r="D302" s="10">
        <v>45701</v>
      </c>
      <c r="E302" s="13" t="str">
        <f>+HYPERLINK("http://trademark.i-assist.jp/data/china/image_1923th/81576653.pdf","81576653")</f>
        <v>81576653</v>
      </c>
      <c r="F302" s="11" t="s">
        <v>883</v>
      </c>
      <c r="G302" s="9" t="s">
        <v>884</v>
      </c>
      <c r="H302" s="9" t="s">
        <v>885</v>
      </c>
      <c r="I302" s="10">
        <v>45589</v>
      </c>
    </row>
    <row r="303" spans="1:9" x14ac:dyDescent="0.15">
      <c r="A303" s="9">
        <v>302</v>
      </c>
      <c r="B303" s="9" t="s">
        <v>9</v>
      </c>
      <c r="C303" s="9">
        <v>1923</v>
      </c>
      <c r="D303" s="10">
        <v>45701</v>
      </c>
      <c r="E303" s="13" t="str">
        <f>+HYPERLINK("http://trademark.i-assist.jp/data/china/image_1923th/81577086.pdf","81577086")</f>
        <v>81577086</v>
      </c>
      <c r="F303" s="11" t="s">
        <v>886</v>
      </c>
      <c r="G303" s="9" t="s">
        <v>887</v>
      </c>
      <c r="H303" s="9" t="s">
        <v>888</v>
      </c>
      <c r="I303" s="10">
        <v>45589</v>
      </c>
    </row>
    <row r="304" spans="1:9" x14ac:dyDescent="0.15">
      <c r="A304" s="9">
        <v>303</v>
      </c>
      <c r="B304" s="9" t="s">
        <v>9</v>
      </c>
      <c r="C304" s="9">
        <v>1923</v>
      </c>
      <c r="D304" s="10">
        <v>45701</v>
      </c>
      <c r="E304" s="13" t="str">
        <f>+HYPERLINK("http://trademark.i-assist.jp/data/china/image_1923th/81578919.pdf","81578919")</f>
        <v>81578919</v>
      </c>
      <c r="F304" s="11" t="s">
        <v>889</v>
      </c>
      <c r="G304" s="9" t="s">
        <v>890</v>
      </c>
      <c r="H304" s="9" t="s">
        <v>891</v>
      </c>
      <c r="I304" s="10">
        <v>45590</v>
      </c>
    </row>
    <row r="305" spans="1:9" x14ac:dyDescent="0.15">
      <c r="A305" s="9">
        <v>304</v>
      </c>
      <c r="B305" s="9" t="s">
        <v>9</v>
      </c>
      <c r="C305" s="9">
        <v>1923</v>
      </c>
      <c r="D305" s="10">
        <v>45701</v>
      </c>
      <c r="E305" s="13" t="str">
        <f>+HYPERLINK("http://trademark.i-assist.jp/data/china/image_1923th/81579558.pdf","81579558")</f>
        <v>81579558</v>
      </c>
      <c r="F305" s="11" t="s">
        <v>892</v>
      </c>
      <c r="G305" s="9" t="s">
        <v>893</v>
      </c>
      <c r="H305" s="11" t="s">
        <v>894</v>
      </c>
      <c r="I305" s="10">
        <v>45590</v>
      </c>
    </row>
    <row r="306" spans="1:9" x14ac:dyDescent="0.15">
      <c r="A306" s="9">
        <v>305</v>
      </c>
      <c r="B306" s="9" t="s">
        <v>9</v>
      </c>
      <c r="C306" s="9">
        <v>1923</v>
      </c>
      <c r="D306" s="10">
        <v>45701</v>
      </c>
      <c r="E306" s="13" t="str">
        <f>+HYPERLINK("http://trademark.i-assist.jp/data/china/image_1923th/81580152.pdf","81580152")</f>
        <v>81580152</v>
      </c>
      <c r="F306" s="9" t="s">
        <v>895</v>
      </c>
      <c r="G306" s="9" t="s">
        <v>896</v>
      </c>
      <c r="H306" s="9" t="s">
        <v>897</v>
      </c>
      <c r="I306" s="10">
        <v>45590</v>
      </c>
    </row>
    <row r="307" spans="1:9" x14ac:dyDescent="0.15">
      <c r="A307" s="9">
        <v>306</v>
      </c>
      <c r="B307" s="9" t="s">
        <v>9</v>
      </c>
      <c r="C307" s="9">
        <v>1923</v>
      </c>
      <c r="D307" s="10">
        <v>45701</v>
      </c>
      <c r="E307" s="13" t="str">
        <f>+HYPERLINK("http://trademark.i-assist.jp/data/china/image_1923th/81580668.pdf","81580668")</f>
        <v>81580668</v>
      </c>
      <c r="F307" s="9" t="s">
        <v>898</v>
      </c>
      <c r="G307" s="9" t="s">
        <v>899</v>
      </c>
      <c r="H307" s="9" t="s">
        <v>900</v>
      </c>
      <c r="I307" s="10">
        <v>45590</v>
      </c>
    </row>
    <row r="308" spans="1:9" x14ac:dyDescent="0.15">
      <c r="A308" s="9">
        <v>307</v>
      </c>
      <c r="B308" s="9" t="s">
        <v>9</v>
      </c>
      <c r="C308" s="9">
        <v>1923</v>
      </c>
      <c r="D308" s="10">
        <v>45701</v>
      </c>
      <c r="E308" s="13" t="str">
        <f>+HYPERLINK("http://trademark.i-assist.jp/data/china/image_1923th/81581162.pdf","81581162")</f>
        <v>81581162</v>
      </c>
      <c r="F308" s="9" t="s">
        <v>901</v>
      </c>
      <c r="G308" s="9" t="s">
        <v>902</v>
      </c>
      <c r="H308" s="9" t="s">
        <v>903</v>
      </c>
      <c r="I308" s="10">
        <v>45590</v>
      </c>
    </row>
    <row r="309" spans="1:9" x14ac:dyDescent="0.15">
      <c r="A309" s="9">
        <v>308</v>
      </c>
      <c r="B309" s="9" t="s">
        <v>9</v>
      </c>
      <c r="C309" s="9">
        <v>1923</v>
      </c>
      <c r="D309" s="10">
        <v>45701</v>
      </c>
      <c r="E309" s="13" t="str">
        <f>+HYPERLINK("http://trademark.i-assist.jp/data/china/image_1923th/81581579.pdf","81581579")</f>
        <v>81581579</v>
      </c>
      <c r="F309" s="11" t="s">
        <v>904</v>
      </c>
      <c r="G309" s="9" t="s">
        <v>905</v>
      </c>
      <c r="H309" s="9" t="s">
        <v>906</v>
      </c>
      <c r="I309" s="10">
        <v>45590</v>
      </c>
    </row>
    <row r="310" spans="1:9" x14ac:dyDescent="0.15">
      <c r="A310" s="9">
        <v>309</v>
      </c>
      <c r="B310" s="9" t="s">
        <v>9</v>
      </c>
      <c r="C310" s="9">
        <v>1923</v>
      </c>
      <c r="D310" s="10">
        <v>45701</v>
      </c>
      <c r="E310" s="13" t="str">
        <f>+HYPERLINK("http://trademark.i-assist.jp/data/china/image_1923th/81582539.pdf","81582539")</f>
        <v>81582539</v>
      </c>
      <c r="F310" s="9" t="s">
        <v>907</v>
      </c>
      <c r="G310" s="9" t="s">
        <v>908</v>
      </c>
      <c r="H310" s="9" t="s">
        <v>909</v>
      </c>
      <c r="I310" s="10">
        <v>45590</v>
      </c>
    </row>
    <row r="311" spans="1:9" x14ac:dyDescent="0.15">
      <c r="A311" s="9">
        <v>310</v>
      </c>
      <c r="B311" s="9" t="s">
        <v>9</v>
      </c>
      <c r="C311" s="9">
        <v>1923</v>
      </c>
      <c r="D311" s="10">
        <v>45701</v>
      </c>
      <c r="E311" s="13" t="str">
        <f>+HYPERLINK("http://trademark.i-assist.jp/data/china/image_1923th/81582982.pdf","81582982")</f>
        <v>81582982</v>
      </c>
      <c r="F311" s="9" t="s">
        <v>910</v>
      </c>
      <c r="G311" s="11" t="s">
        <v>911</v>
      </c>
      <c r="H311" s="11" t="s">
        <v>912</v>
      </c>
      <c r="I311" s="10">
        <v>45590</v>
      </c>
    </row>
    <row r="312" spans="1:9" x14ac:dyDescent="0.15">
      <c r="A312" s="9">
        <v>311</v>
      </c>
      <c r="B312" s="9" t="s">
        <v>9</v>
      </c>
      <c r="C312" s="9">
        <v>1923</v>
      </c>
      <c r="D312" s="10">
        <v>45701</v>
      </c>
      <c r="E312" s="13" t="str">
        <f>+HYPERLINK("http://trademark.i-assist.jp/data/china/image_1923th/81584201.pdf","81584201")</f>
        <v>81584201</v>
      </c>
      <c r="F312" s="9" t="s">
        <v>913</v>
      </c>
      <c r="G312" s="11" t="s">
        <v>914</v>
      </c>
      <c r="H312" s="9" t="s">
        <v>915</v>
      </c>
      <c r="I312" s="10">
        <v>45590</v>
      </c>
    </row>
    <row r="313" spans="1:9" x14ac:dyDescent="0.15">
      <c r="A313" s="9">
        <v>312</v>
      </c>
      <c r="B313" s="9" t="s">
        <v>9</v>
      </c>
      <c r="C313" s="9">
        <v>1923</v>
      </c>
      <c r="D313" s="10">
        <v>45701</v>
      </c>
      <c r="E313" s="13" t="str">
        <f>+HYPERLINK("http://trademark.i-assist.jp/data/china/image_1923th/81584819.pdf","81584819")</f>
        <v>81584819</v>
      </c>
      <c r="F313" s="9" t="s">
        <v>916</v>
      </c>
      <c r="G313" s="9" t="s">
        <v>917</v>
      </c>
      <c r="H313" s="9" t="s">
        <v>918</v>
      </c>
      <c r="I313" s="10">
        <v>45590</v>
      </c>
    </row>
    <row r="314" spans="1:9" x14ac:dyDescent="0.15">
      <c r="A314" s="9">
        <v>313</v>
      </c>
      <c r="B314" s="9" t="s">
        <v>9</v>
      </c>
      <c r="C314" s="9">
        <v>1923</v>
      </c>
      <c r="D314" s="10">
        <v>45701</v>
      </c>
      <c r="E314" s="13" t="str">
        <f>+HYPERLINK("http://trademark.i-assist.jp/data/china/image_1923th/81585559.pdf","81585559")</f>
        <v>81585559</v>
      </c>
      <c r="F314" s="9" t="s">
        <v>919</v>
      </c>
      <c r="G314" s="11" t="s">
        <v>920</v>
      </c>
      <c r="H314" s="9" t="s">
        <v>921</v>
      </c>
      <c r="I314" s="10">
        <v>45590</v>
      </c>
    </row>
    <row r="315" spans="1:9" x14ac:dyDescent="0.15">
      <c r="A315" s="9">
        <v>314</v>
      </c>
      <c r="B315" s="9" t="s">
        <v>9</v>
      </c>
      <c r="C315" s="9">
        <v>1923</v>
      </c>
      <c r="D315" s="10">
        <v>45701</v>
      </c>
      <c r="E315" s="13" t="str">
        <f>+HYPERLINK("http://trademark.i-assist.jp/data/china/image_1923th/81590054.pdf","81590054")</f>
        <v>81590054</v>
      </c>
      <c r="F315" s="11" t="s">
        <v>922</v>
      </c>
      <c r="G315" s="9" t="s">
        <v>923</v>
      </c>
      <c r="H315" s="9" t="s">
        <v>924</v>
      </c>
      <c r="I315" s="10">
        <v>45590</v>
      </c>
    </row>
    <row r="316" spans="1:9" x14ac:dyDescent="0.15">
      <c r="A316" s="9">
        <v>315</v>
      </c>
      <c r="B316" s="9" t="s">
        <v>9</v>
      </c>
      <c r="C316" s="9">
        <v>1923</v>
      </c>
      <c r="D316" s="10">
        <v>45701</v>
      </c>
      <c r="E316" s="13" t="str">
        <f>+HYPERLINK("http://trademark.i-assist.jp/data/china/image_1923th/81592969.pdf","81592969")</f>
        <v>81592969</v>
      </c>
      <c r="F316" s="11" t="s">
        <v>126</v>
      </c>
      <c r="G316" s="9" t="s">
        <v>925</v>
      </c>
      <c r="H316" s="11" t="s">
        <v>926</v>
      </c>
      <c r="I316" s="10">
        <v>45590</v>
      </c>
    </row>
    <row r="317" spans="1:9" x14ac:dyDescent="0.15">
      <c r="A317" s="9">
        <v>316</v>
      </c>
      <c r="B317" s="9" t="s">
        <v>9</v>
      </c>
      <c r="C317" s="9">
        <v>1923</v>
      </c>
      <c r="D317" s="10">
        <v>45701</v>
      </c>
      <c r="E317" s="13" t="str">
        <f>+HYPERLINK("http://trademark.i-assist.jp/data/china/image_1923th/81598751.pdf","81598751")</f>
        <v>81598751</v>
      </c>
      <c r="F317" s="9" t="s">
        <v>927</v>
      </c>
      <c r="G317" s="9" t="s">
        <v>928</v>
      </c>
      <c r="H317" s="11" t="s">
        <v>929</v>
      </c>
      <c r="I317" s="10">
        <v>45590</v>
      </c>
    </row>
    <row r="318" spans="1:9" x14ac:dyDescent="0.15">
      <c r="A318" s="9">
        <v>317</v>
      </c>
      <c r="B318" s="9" t="s">
        <v>9</v>
      </c>
      <c r="C318" s="9">
        <v>1923</v>
      </c>
      <c r="D318" s="10">
        <v>45701</v>
      </c>
      <c r="E318" s="13" t="str">
        <f>+HYPERLINK("http://trademark.i-assist.jp/data/china/image_1923th/81598775.pdf","81598775")</f>
        <v>81598775</v>
      </c>
      <c r="F318" s="9" t="s">
        <v>930</v>
      </c>
      <c r="G318" s="9" t="s">
        <v>931</v>
      </c>
      <c r="H318" s="9" t="s">
        <v>932</v>
      </c>
      <c r="I318" s="10">
        <v>45590</v>
      </c>
    </row>
    <row r="319" spans="1:9" x14ac:dyDescent="0.15">
      <c r="A319" s="9">
        <v>318</v>
      </c>
      <c r="B319" s="9" t="s">
        <v>9</v>
      </c>
      <c r="C319" s="9">
        <v>1923</v>
      </c>
      <c r="D319" s="10">
        <v>45701</v>
      </c>
      <c r="E319" s="13" t="str">
        <f>+HYPERLINK("http://trademark.i-assist.jp/data/china/image_1923th/81599563.pdf","81599563")</f>
        <v>81599563</v>
      </c>
      <c r="F319" s="9" t="s">
        <v>933</v>
      </c>
      <c r="G319" s="9" t="s">
        <v>934</v>
      </c>
      <c r="H319" s="9" t="s">
        <v>935</v>
      </c>
      <c r="I319" s="10">
        <v>45590</v>
      </c>
    </row>
    <row r="320" spans="1:9" x14ac:dyDescent="0.15">
      <c r="A320" s="9">
        <v>319</v>
      </c>
      <c r="B320" s="9" t="s">
        <v>9</v>
      </c>
      <c r="C320" s="9">
        <v>1923</v>
      </c>
      <c r="D320" s="10">
        <v>45701</v>
      </c>
      <c r="E320" s="13" t="str">
        <f>+HYPERLINK("http://trademark.i-assist.jp/data/china/image_1923th/81600303.pdf","81600303")</f>
        <v>81600303</v>
      </c>
      <c r="F320" s="9" t="s">
        <v>936</v>
      </c>
      <c r="G320" s="9" t="s">
        <v>937</v>
      </c>
      <c r="H320" s="9" t="s">
        <v>938</v>
      </c>
      <c r="I320" s="10">
        <v>45590</v>
      </c>
    </row>
    <row r="321" spans="1:9" x14ac:dyDescent="0.15">
      <c r="A321" s="9">
        <v>320</v>
      </c>
      <c r="B321" s="9" t="s">
        <v>9</v>
      </c>
      <c r="C321" s="9">
        <v>1923</v>
      </c>
      <c r="D321" s="10">
        <v>45701</v>
      </c>
      <c r="E321" s="13" t="str">
        <f>+HYPERLINK("http://trademark.i-assist.jp/data/china/image_1923th/81600858.pdf","81600858")</f>
        <v>81600858</v>
      </c>
      <c r="F321" s="11" t="s">
        <v>939</v>
      </c>
      <c r="G321" s="11" t="s">
        <v>940</v>
      </c>
      <c r="H321" s="9" t="s">
        <v>941</v>
      </c>
      <c r="I321" s="10">
        <v>45590</v>
      </c>
    </row>
    <row r="322" spans="1:9" x14ac:dyDescent="0.15">
      <c r="A322" s="9">
        <v>321</v>
      </c>
      <c r="B322" s="9" t="s">
        <v>9</v>
      </c>
      <c r="C322" s="9">
        <v>1923</v>
      </c>
      <c r="D322" s="10">
        <v>45701</v>
      </c>
      <c r="E322" s="13" t="str">
        <f>+HYPERLINK("http://trademark.i-assist.jp/data/china/image_1923th/81603688.pdf","81603688")</f>
        <v>81603688</v>
      </c>
      <c r="F322" s="11" t="s">
        <v>942</v>
      </c>
      <c r="G322" s="9" t="s">
        <v>943</v>
      </c>
      <c r="H322" s="9" t="s">
        <v>944</v>
      </c>
      <c r="I322" s="10">
        <v>45591</v>
      </c>
    </row>
    <row r="323" spans="1:9" x14ac:dyDescent="0.15">
      <c r="A323" s="9">
        <v>322</v>
      </c>
      <c r="B323" s="9" t="s">
        <v>9</v>
      </c>
      <c r="C323" s="9">
        <v>1923</v>
      </c>
      <c r="D323" s="10">
        <v>45701</v>
      </c>
      <c r="E323" s="13" t="str">
        <f>+HYPERLINK("http://trademark.i-assist.jp/data/china/image_1923th/81603810.pdf","81603810")</f>
        <v>81603810</v>
      </c>
      <c r="F323" s="9" t="s">
        <v>945</v>
      </c>
      <c r="G323" s="9" t="s">
        <v>946</v>
      </c>
      <c r="H323" s="11" t="s">
        <v>947</v>
      </c>
      <c r="I323" s="10">
        <v>45591</v>
      </c>
    </row>
    <row r="324" spans="1:9" x14ac:dyDescent="0.15">
      <c r="A324" s="9">
        <v>323</v>
      </c>
      <c r="B324" s="9" t="s">
        <v>9</v>
      </c>
      <c r="C324" s="9">
        <v>1923</v>
      </c>
      <c r="D324" s="10">
        <v>45701</v>
      </c>
      <c r="E324" s="13" t="str">
        <f>+HYPERLINK("http://trademark.i-assist.jp/data/china/image_1923th/81604644.pdf","81604644")</f>
        <v>81604644</v>
      </c>
      <c r="F324" s="9" t="s">
        <v>948</v>
      </c>
      <c r="G324" s="9" t="s">
        <v>949</v>
      </c>
      <c r="H324" s="9" t="s">
        <v>950</v>
      </c>
      <c r="I324" s="10">
        <v>45591</v>
      </c>
    </row>
    <row r="325" spans="1:9" x14ac:dyDescent="0.15">
      <c r="A325" s="9">
        <v>324</v>
      </c>
      <c r="B325" s="9" t="s">
        <v>9</v>
      </c>
      <c r="C325" s="9">
        <v>1923</v>
      </c>
      <c r="D325" s="10">
        <v>45701</v>
      </c>
      <c r="E325" s="13" t="str">
        <f>+HYPERLINK("http://trademark.i-assist.jp/data/china/image_1923th/81605011.pdf","81605011")</f>
        <v>81605011</v>
      </c>
      <c r="F325" s="9" t="s">
        <v>951</v>
      </c>
      <c r="G325" s="9" t="s">
        <v>952</v>
      </c>
      <c r="H325" s="9" t="s">
        <v>953</v>
      </c>
      <c r="I325" s="10">
        <v>45591</v>
      </c>
    </row>
    <row r="326" spans="1:9" x14ac:dyDescent="0.15">
      <c r="A326" s="9">
        <v>325</v>
      </c>
      <c r="B326" s="9" t="s">
        <v>9</v>
      </c>
      <c r="C326" s="9">
        <v>1923</v>
      </c>
      <c r="D326" s="10">
        <v>45701</v>
      </c>
      <c r="E326" s="13" t="str">
        <f>+HYPERLINK("http://trademark.i-assist.jp/data/china/image_1923th/81605321.pdf","81605321")</f>
        <v>81605321</v>
      </c>
      <c r="F326" s="9" t="s">
        <v>954</v>
      </c>
      <c r="G326" s="9" t="s">
        <v>943</v>
      </c>
      <c r="H326" s="9" t="s">
        <v>955</v>
      </c>
      <c r="I326" s="10">
        <v>45591</v>
      </c>
    </row>
    <row r="327" spans="1:9" x14ac:dyDescent="0.15">
      <c r="A327" s="9">
        <v>326</v>
      </c>
      <c r="B327" s="9" t="s">
        <v>9</v>
      </c>
      <c r="C327" s="9">
        <v>1923</v>
      </c>
      <c r="D327" s="10">
        <v>45701</v>
      </c>
      <c r="E327" s="13" t="str">
        <f>+HYPERLINK("http://trademark.i-assist.jp/data/china/image_1923th/81606804.pdf","81606804")</f>
        <v>81606804</v>
      </c>
      <c r="F327" s="9" t="s">
        <v>956</v>
      </c>
      <c r="G327" s="9" t="s">
        <v>943</v>
      </c>
      <c r="H327" s="9" t="s">
        <v>957</v>
      </c>
      <c r="I327" s="10">
        <v>45591</v>
      </c>
    </row>
    <row r="328" spans="1:9" x14ac:dyDescent="0.15">
      <c r="A328" s="9">
        <v>327</v>
      </c>
      <c r="B328" s="9" t="s">
        <v>9</v>
      </c>
      <c r="C328" s="9">
        <v>1923</v>
      </c>
      <c r="D328" s="10">
        <v>45701</v>
      </c>
      <c r="E328" s="13" t="str">
        <f>+HYPERLINK("http://trademark.i-assist.jp/data/china/image_1923th/81607312.pdf","81607312")</f>
        <v>81607312</v>
      </c>
      <c r="F328" s="9" t="s">
        <v>958</v>
      </c>
      <c r="G328" s="9" t="s">
        <v>959</v>
      </c>
      <c r="H328" s="9" t="s">
        <v>960</v>
      </c>
      <c r="I328" s="10">
        <v>45591</v>
      </c>
    </row>
    <row r="329" spans="1:9" x14ac:dyDescent="0.15">
      <c r="A329" s="9">
        <v>328</v>
      </c>
      <c r="B329" s="9" t="s">
        <v>9</v>
      </c>
      <c r="C329" s="9">
        <v>1923</v>
      </c>
      <c r="D329" s="10">
        <v>45701</v>
      </c>
      <c r="E329" s="13" t="str">
        <f>+HYPERLINK("http://trademark.i-assist.jp/data/china/image_1923th/81608395.pdf","81608395")</f>
        <v>81608395</v>
      </c>
      <c r="F329" s="9" t="s">
        <v>961</v>
      </c>
      <c r="G329" s="9" t="s">
        <v>962</v>
      </c>
      <c r="H329" s="9" t="s">
        <v>963</v>
      </c>
      <c r="I329" s="10">
        <v>45591</v>
      </c>
    </row>
    <row r="330" spans="1:9" x14ac:dyDescent="0.15">
      <c r="A330" s="9">
        <v>329</v>
      </c>
      <c r="B330" s="9" t="s">
        <v>9</v>
      </c>
      <c r="C330" s="9">
        <v>1923</v>
      </c>
      <c r="D330" s="10">
        <v>45701</v>
      </c>
      <c r="E330" s="13" t="str">
        <f>+HYPERLINK("http://trademark.i-assist.jp/data/china/image_1923th/81610834.pdf","81610834")</f>
        <v>81610834</v>
      </c>
      <c r="F330" s="9" t="s">
        <v>964</v>
      </c>
      <c r="G330" s="12" t="s">
        <v>965</v>
      </c>
      <c r="H330" s="9" t="s">
        <v>966</v>
      </c>
      <c r="I330" s="10">
        <v>45592</v>
      </c>
    </row>
    <row r="331" spans="1:9" x14ac:dyDescent="0.15">
      <c r="A331" s="9">
        <v>330</v>
      </c>
      <c r="B331" s="9" t="s">
        <v>9</v>
      </c>
      <c r="C331" s="9">
        <v>1923</v>
      </c>
      <c r="D331" s="10">
        <v>45701</v>
      </c>
      <c r="E331" s="13" t="str">
        <f>+HYPERLINK("http://trademark.i-assist.jp/data/china/image_1923th/81612387.pdf","81612387")</f>
        <v>81612387</v>
      </c>
      <c r="F331" s="9" t="s">
        <v>967</v>
      </c>
      <c r="G331" s="9" t="s">
        <v>968</v>
      </c>
      <c r="H331" s="11" t="s">
        <v>969</v>
      </c>
      <c r="I331" s="10">
        <v>45593</v>
      </c>
    </row>
    <row r="332" spans="1:9" x14ac:dyDescent="0.15">
      <c r="A332" s="9">
        <v>331</v>
      </c>
      <c r="B332" s="9" t="s">
        <v>9</v>
      </c>
      <c r="C332" s="9">
        <v>1923</v>
      </c>
      <c r="D332" s="10">
        <v>45701</v>
      </c>
      <c r="E332" s="13" t="str">
        <f>+HYPERLINK("http://trademark.i-assist.jp/data/china/image_1923th/81613576.pdf","81613576")</f>
        <v>81613576</v>
      </c>
      <c r="F332" s="11" t="s">
        <v>970</v>
      </c>
      <c r="G332" s="11" t="s">
        <v>971</v>
      </c>
      <c r="H332" s="9" t="s">
        <v>972</v>
      </c>
      <c r="I332" s="10">
        <v>45593</v>
      </c>
    </row>
    <row r="333" spans="1:9" x14ac:dyDescent="0.15">
      <c r="A333" s="9">
        <v>332</v>
      </c>
      <c r="B333" s="9" t="s">
        <v>9</v>
      </c>
      <c r="C333" s="9">
        <v>1923</v>
      </c>
      <c r="D333" s="10">
        <v>45701</v>
      </c>
      <c r="E333" s="13" t="str">
        <f>+HYPERLINK("http://trademark.i-assist.jp/data/china/image_1923th/81613870A.pdf","81613870A")</f>
        <v>81613870A</v>
      </c>
      <c r="F333" s="11" t="s">
        <v>973</v>
      </c>
      <c r="G333" s="9" t="s">
        <v>974</v>
      </c>
      <c r="H333" s="9" t="s">
        <v>975</v>
      </c>
      <c r="I333" s="10">
        <v>45593</v>
      </c>
    </row>
    <row r="334" spans="1:9" x14ac:dyDescent="0.15">
      <c r="A334" s="9">
        <v>333</v>
      </c>
      <c r="B334" s="9" t="s">
        <v>9</v>
      </c>
      <c r="C334" s="9">
        <v>1923</v>
      </c>
      <c r="D334" s="10">
        <v>45701</v>
      </c>
      <c r="E334" s="13" t="str">
        <f>+HYPERLINK("http://trademark.i-assist.jp/data/china/image_1923th/81614125.pdf","81614125")</f>
        <v>81614125</v>
      </c>
      <c r="F334" s="9" t="s">
        <v>976</v>
      </c>
      <c r="G334" s="9" t="s">
        <v>977</v>
      </c>
      <c r="H334" s="9" t="s">
        <v>978</v>
      </c>
      <c r="I334" s="10">
        <v>45593</v>
      </c>
    </row>
    <row r="335" spans="1:9" x14ac:dyDescent="0.15">
      <c r="A335" s="9">
        <v>334</v>
      </c>
      <c r="B335" s="9" t="s">
        <v>9</v>
      </c>
      <c r="C335" s="9">
        <v>1923</v>
      </c>
      <c r="D335" s="10">
        <v>45701</v>
      </c>
      <c r="E335" s="13" t="str">
        <f>+HYPERLINK("http://trademark.i-assist.jp/data/china/image_1923th/81615838.pdf","81615838")</f>
        <v>81615838</v>
      </c>
      <c r="F335" s="9" t="s">
        <v>979</v>
      </c>
      <c r="G335" s="9" t="s">
        <v>980</v>
      </c>
      <c r="H335" s="11" t="s">
        <v>981</v>
      </c>
      <c r="I335" s="10">
        <v>45593</v>
      </c>
    </row>
    <row r="336" spans="1:9" x14ac:dyDescent="0.15">
      <c r="A336" s="9">
        <v>335</v>
      </c>
      <c r="B336" s="9" t="s">
        <v>9</v>
      </c>
      <c r="C336" s="9">
        <v>1923</v>
      </c>
      <c r="D336" s="10">
        <v>45701</v>
      </c>
      <c r="E336" s="13" t="str">
        <f>+HYPERLINK("http://trademark.i-assist.jp/data/china/image_1923th/81616461.pdf","81616461")</f>
        <v>81616461</v>
      </c>
      <c r="F336" s="11" t="s">
        <v>982</v>
      </c>
      <c r="G336" s="9" t="s">
        <v>983</v>
      </c>
      <c r="H336" s="9" t="s">
        <v>984</v>
      </c>
      <c r="I336" s="10">
        <v>45593</v>
      </c>
    </row>
    <row r="337" spans="1:9" x14ac:dyDescent="0.15">
      <c r="A337" s="9">
        <v>336</v>
      </c>
      <c r="B337" s="9" t="s">
        <v>9</v>
      </c>
      <c r="C337" s="9">
        <v>1923</v>
      </c>
      <c r="D337" s="10">
        <v>45701</v>
      </c>
      <c r="E337" s="13" t="str">
        <f>+HYPERLINK("http://trademark.i-assist.jp/data/china/image_1923th/81617307.pdf","81617307")</f>
        <v>81617307</v>
      </c>
      <c r="F337" s="9" t="s">
        <v>985</v>
      </c>
      <c r="G337" s="9" t="s">
        <v>986</v>
      </c>
      <c r="H337" s="9" t="s">
        <v>987</v>
      </c>
      <c r="I337" s="10">
        <v>45593</v>
      </c>
    </row>
    <row r="338" spans="1:9" x14ac:dyDescent="0.15">
      <c r="A338" s="9">
        <v>337</v>
      </c>
      <c r="B338" s="9" t="s">
        <v>9</v>
      </c>
      <c r="C338" s="9">
        <v>1923</v>
      </c>
      <c r="D338" s="10">
        <v>45701</v>
      </c>
      <c r="E338" s="13" t="str">
        <f>+HYPERLINK("http://trademark.i-assist.jp/data/china/image_1923th/81617615.pdf","81617615")</f>
        <v>81617615</v>
      </c>
      <c r="F338" s="11" t="s">
        <v>988</v>
      </c>
      <c r="G338" s="9" t="s">
        <v>989</v>
      </c>
      <c r="H338" s="9" t="s">
        <v>990</v>
      </c>
      <c r="I338" s="10">
        <v>45593</v>
      </c>
    </row>
    <row r="339" spans="1:9" x14ac:dyDescent="0.15">
      <c r="A339" s="9">
        <v>338</v>
      </c>
      <c r="B339" s="9" t="s">
        <v>9</v>
      </c>
      <c r="C339" s="9">
        <v>1923</v>
      </c>
      <c r="D339" s="10">
        <v>45701</v>
      </c>
      <c r="E339" s="13" t="str">
        <f>+HYPERLINK("http://trademark.i-assist.jp/data/china/image_1923th/81617808.pdf","81617808")</f>
        <v>81617808</v>
      </c>
      <c r="F339" s="9" t="s">
        <v>991</v>
      </c>
      <c r="G339" s="9" t="s">
        <v>992</v>
      </c>
      <c r="H339" s="9" t="s">
        <v>993</v>
      </c>
      <c r="I339" s="10">
        <v>45593</v>
      </c>
    </row>
    <row r="340" spans="1:9" x14ac:dyDescent="0.15">
      <c r="A340" s="9">
        <v>339</v>
      </c>
      <c r="B340" s="9" t="s">
        <v>9</v>
      </c>
      <c r="C340" s="9">
        <v>1923</v>
      </c>
      <c r="D340" s="10">
        <v>45701</v>
      </c>
      <c r="E340" s="13" t="str">
        <f>+HYPERLINK("http://trademark.i-assist.jp/data/china/image_1923th/81618836.pdf","81618836")</f>
        <v>81618836</v>
      </c>
      <c r="F340" s="11" t="s">
        <v>994</v>
      </c>
      <c r="G340" s="11" t="s">
        <v>940</v>
      </c>
      <c r="H340" s="11" t="s">
        <v>995</v>
      </c>
      <c r="I340" s="10">
        <v>45593</v>
      </c>
    </row>
    <row r="341" spans="1:9" x14ac:dyDescent="0.15">
      <c r="A341" s="9">
        <v>340</v>
      </c>
      <c r="B341" s="9" t="s">
        <v>9</v>
      </c>
      <c r="C341" s="9">
        <v>1923</v>
      </c>
      <c r="D341" s="10">
        <v>45701</v>
      </c>
      <c r="E341" s="13" t="str">
        <f>+HYPERLINK("http://trademark.i-assist.jp/data/china/image_1923th/81619725.pdf","81619725")</f>
        <v>81619725</v>
      </c>
      <c r="F341" s="11" t="s">
        <v>996</v>
      </c>
      <c r="G341" s="9" t="s">
        <v>997</v>
      </c>
      <c r="H341" s="9" t="s">
        <v>998</v>
      </c>
      <c r="I341" s="10">
        <v>45593</v>
      </c>
    </row>
    <row r="342" spans="1:9" x14ac:dyDescent="0.15">
      <c r="A342" s="9">
        <v>341</v>
      </c>
      <c r="B342" s="9" t="s">
        <v>9</v>
      </c>
      <c r="C342" s="9">
        <v>1923</v>
      </c>
      <c r="D342" s="10">
        <v>45701</v>
      </c>
      <c r="E342" s="13" t="str">
        <f>+HYPERLINK("http://trademark.i-assist.jp/data/china/image_1923th/81622042.pdf","81622042")</f>
        <v>81622042</v>
      </c>
      <c r="F342" s="9" t="s">
        <v>999</v>
      </c>
      <c r="G342" s="11" t="s">
        <v>1000</v>
      </c>
      <c r="H342" s="11" t="s">
        <v>1001</v>
      </c>
      <c r="I342" s="10">
        <v>45593</v>
      </c>
    </row>
    <row r="343" spans="1:9" x14ac:dyDescent="0.15">
      <c r="A343" s="9">
        <v>342</v>
      </c>
      <c r="B343" s="9" t="s">
        <v>9</v>
      </c>
      <c r="C343" s="9">
        <v>1923</v>
      </c>
      <c r="D343" s="10">
        <v>45701</v>
      </c>
      <c r="E343" s="13" t="str">
        <f>+HYPERLINK("http://trademark.i-assist.jp/data/china/image_1923th/81622486.pdf","81622486")</f>
        <v>81622486</v>
      </c>
      <c r="F343" s="9" t="s">
        <v>1002</v>
      </c>
      <c r="G343" s="11" t="s">
        <v>1003</v>
      </c>
      <c r="H343" s="9" t="s">
        <v>1004</v>
      </c>
      <c r="I343" s="10">
        <v>45593</v>
      </c>
    </row>
    <row r="344" spans="1:9" x14ac:dyDescent="0.15">
      <c r="A344" s="9">
        <v>343</v>
      </c>
      <c r="B344" s="9" t="s">
        <v>9</v>
      </c>
      <c r="C344" s="9">
        <v>1923</v>
      </c>
      <c r="D344" s="10">
        <v>45701</v>
      </c>
      <c r="E344" s="13" t="str">
        <f>+HYPERLINK("http://trademark.i-assist.jp/data/china/image_1923th/81623003.pdf","81623003")</f>
        <v>81623003</v>
      </c>
      <c r="F344" s="9" t="s">
        <v>1005</v>
      </c>
      <c r="G344" s="9" t="s">
        <v>1006</v>
      </c>
      <c r="H344" s="9" t="s">
        <v>1007</v>
      </c>
      <c r="I344" s="10">
        <v>45593</v>
      </c>
    </row>
    <row r="345" spans="1:9" x14ac:dyDescent="0.15">
      <c r="A345" s="9">
        <v>344</v>
      </c>
      <c r="B345" s="9" t="s">
        <v>9</v>
      </c>
      <c r="C345" s="9">
        <v>1923</v>
      </c>
      <c r="D345" s="10">
        <v>45701</v>
      </c>
      <c r="E345" s="13" t="str">
        <f>+HYPERLINK("http://trademark.i-assist.jp/data/china/image_1923th/81624357.pdf","81624357")</f>
        <v>81624357</v>
      </c>
      <c r="F345" s="9" t="s">
        <v>1008</v>
      </c>
      <c r="G345" s="11" t="s">
        <v>1009</v>
      </c>
      <c r="H345" s="11" t="s">
        <v>1010</v>
      </c>
      <c r="I345" s="10">
        <v>45593</v>
      </c>
    </row>
    <row r="346" spans="1:9" x14ac:dyDescent="0.15">
      <c r="A346" s="9">
        <v>345</v>
      </c>
      <c r="B346" s="9" t="s">
        <v>9</v>
      </c>
      <c r="C346" s="9">
        <v>1923</v>
      </c>
      <c r="D346" s="10">
        <v>45701</v>
      </c>
      <c r="E346" s="13" t="str">
        <f>+HYPERLINK("http://trademark.i-assist.jp/data/china/image_1923th/81624715.pdf","81624715")</f>
        <v>81624715</v>
      </c>
      <c r="F346" s="9" t="s">
        <v>1011</v>
      </c>
      <c r="G346" s="9" t="s">
        <v>1012</v>
      </c>
      <c r="H346" s="9" t="s">
        <v>1013</v>
      </c>
      <c r="I346" s="10">
        <v>45593</v>
      </c>
    </row>
    <row r="347" spans="1:9" x14ac:dyDescent="0.15">
      <c r="A347" s="9">
        <v>346</v>
      </c>
      <c r="B347" s="9" t="s">
        <v>9</v>
      </c>
      <c r="C347" s="9">
        <v>1923</v>
      </c>
      <c r="D347" s="10">
        <v>45701</v>
      </c>
      <c r="E347" s="13" t="str">
        <f>+HYPERLINK("http://trademark.i-assist.jp/data/china/image_1923th/81624765.pdf","81624765")</f>
        <v>81624765</v>
      </c>
      <c r="F347" s="9" t="s">
        <v>1014</v>
      </c>
      <c r="G347" s="9" t="s">
        <v>1015</v>
      </c>
      <c r="H347" s="9" t="s">
        <v>1016</v>
      </c>
      <c r="I347" s="10">
        <v>45593</v>
      </c>
    </row>
    <row r="348" spans="1:9" x14ac:dyDescent="0.15">
      <c r="A348" s="9">
        <v>347</v>
      </c>
      <c r="B348" s="9" t="s">
        <v>9</v>
      </c>
      <c r="C348" s="9">
        <v>1923</v>
      </c>
      <c r="D348" s="10">
        <v>45701</v>
      </c>
      <c r="E348" s="13" t="str">
        <f>+HYPERLINK("http://trademark.i-assist.jp/data/china/image_1923th/81626661.pdf","81626661")</f>
        <v>81626661</v>
      </c>
      <c r="F348" s="9" t="s">
        <v>1017</v>
      </c>
      <c r="G348" s="9" t="s">
        <v>1018</v>
      </c>
      <c r="H348" s="9" t="s">
        <v>1019</v>
      </c>
      <c r="I348" s="10">
        <v>45593</v>
      </c>
    </row>
    <row r="349" spans="1:9" x14ac:dyDescent="0.15">
      <c r="A349" s="9">
        <v>348</v>
      </c>
      <c r="B349" s="9" t="s">
        <v>9</v>
      </c>
      <c r="C349" s="9">
        <v>1923</v>
      </c>
      <c r="D349" s="10">
        <v>45701</v>
      </c>
      <c r="E349" s="13" t="str">
        <f>+HYPERLINK("http://trademark.i-assist.jp/data/china/image_1923th/81627374.pdf","81627374")</f>
        <v>81627374</v>
      </c>
      <c r="F349" s="9" t="s">
        <v>1020</v>
      </c>
      <c r="G349" s="9" t="s">
        <v>1021</v>
      </c>
      <c r="H349" s="9" t="s">
        <v>1022</v>
      </c>
      <c r="I349" s="10">
        <v>45593</v>
      </c>
    </row>
    <row r="350" spans="1:9" x14ac:dyDescent="0.15">
      <c r="A350" s="9">
        <v>349</v>
      </c>
      <c r="B350" s="9" t="s">
        <v>9</v>
      </c>
      <c r="C350" s="9">
        <v>1923</v>
      </c>
      <c r="D350" s="10">
        <v>45701</v>
      </c>
      <c r="E350" s="13" t="str">
        <f>+HYPERLINK("http://trademark.i-assist.jp/data/china/image_1923th/81629495A.pdf","81629495A")</f>
        <v>81629495A</v>
      </c>
      <c r="F350" s="9" t="s">
        <v>1023</v>
      </c>
      <c r="G350" s="9" t="s">
        <v>974</v>
      </c>
      <c r="H350" s="9" t="s">
        <v>1024</v>
      </c>
      <c r="I350" s="10">
        <v>45593</v>
      </c>
    </row>
    <row r="351" spans="1:9" x14ac:dyDescent="0.15">
      <c r="A351" s="9">
        <v>350</v>
      </c>
      <c r="B351" s="9" t="s">
        <v>9</v>
      </c>
      <c r="C351" s="9">
        <v>1923</v>
      </c>
      <c r="D351" s="10">
        <v>45701</v>
      </c>
      <c r="E351" s="13" t="str">
        <f>+HYPERLINK("http://trademark.i-assist.jp/data/china/image_1923th/81629796.pdf","81629796")</f>
        <v>81629796</v>
      </c>
      <c r="F351" s="9" t="s">
        <v>1025</v>
      </c>
      <c r="G351" s="9" t="s">
        <v>1026</v>
      </c>
      <c r="H351" s="9" t="s">
        <v>1027</v>
      </c>
      <c r="I351" s="10">
        <v>45593</v>
      </c>
    </row>
    <row r="352" spans="1:9" x14ac:dyDescent="0.15">
      <c r="A352" s="9">
        <v>351</v>
      </c>
      <c r="B352" s="9" t="s">
        <v>9</v>
      </c>
      <c r="C352" s="9">
        <v>1923</v>
      </c>
      <c r="D352" s="10">
        <v>45701</v>
      </c>
      <c r="E352" s="13" t="str">
        <f>+HYPERLINK("http://trademark.i-assist.jp/data/china/image_1923th/81630203.pdf","81630203")</f>
        <v>81630203</v>
      </c>
      <c r="F352" s="9" t="s">
        <v>1028</v>
      </c>
      <c r="G352" s="9" t="s">
        <v>1006</v>
      </c>
      <c r="H352" s="9" t="s">
        <v>1029</v>
      </c>
      <c r="I352" s="10">
        <v>45593</v>
      </c>
    </row>
    <row r="353" spans="1:9" x14ac:dyDescent="0.15">
      <c r="A353" s="9">
        <v>352</v>
      </c>
      <c r="B353" s="9" t="s">
        <v>9</v>
      </c>
      <c r="C353" s="9">
        <v>1923</v>
      </c>
      <c r="D353" s="10">
        <v>45701</v>
      </c>
      <c r="E353" s="13" t="str">
        <f>+HYPERLINK("http://trademark.i-assist.jp/data/china/image_1923th/81630666.pdf","81630666")</f>
        <v>81630666</v>
      </c>
      <c r="F353" s="11" t="s">
        <v>126</v>
      </c>
      <c r="G353" s="9" t="s">
        <v>1030</v>
      </c>
      <c r="H353" s="9" t="s">
        <v>1031</v>
      </c>
      <c r="I353" s="10">
        <v>45593</v>
      </c>
    </row>
    <row r="354" spans="1:9" x14ac:dyDescent="0.15">
      <c r="A354" s="9">
        <v>353</v>
      </c>
      <c r="B354" s="9" t="s">
        <v>9</v>
      </c>
      <c r="C354" s="9">
        <v>1923</v>
      </c>
      <c r="D354" s="10">
        <v>45701</v>
      </c>
      <c r="E354" s="13" t="str">
        <f>+HYPERLINK("http://trademark.i-assist.jp/data/china/image_1923th/81632859.pdf","81632859")</f>
        <v>81632859</v>
      </c>
      <c r="F354" s="9" t="s">
        <v>1032</v>
      </c>
      <c r="G354" s="9" t="s">
        <v>1033</v>
      </c>
      <c r="H354" s="9" t="s">
        <v>1034</v>
      </c>
      <c r="I354" s="10">
        <v>45593</v>
      </c>
    </row>
    <row r="355" spans="1:9" x14ac:dyDescent="0.15">
      <c r="A355" s="9">
        <v>354</v>
      </c>
      <c r="B355" s="9" t="s">
        <v>9</v>
      </c>
      <c r="C355" s="9">
        <v>1923</v>
      </c>
      <c r="D355" s="10">
        <v>45701</v>
      </c>
      <c r="E355" s="13" t="str">
        <f>+HYPERLINK("http://trademark.i-assist.jp/data/china/image_1923th/81633627.pdf","81633627")</f>
        <v>81633627</v>
      </c>
      <c r="F355" s="9" t="s">
        <v>1035</v>
      </c>
      <c r="G355" s="9" t="s">
        <v>1036</v>
      </c>
      <c r="H355" s="9" t="s">
        <v>1037</v>
      </c>
      <c r="I355" s="10">
        <v>45593</v>
      </c>
    </row>
    <row r="356" spans="1:9" x14ac:dyDescent="0.15">
      <c r="A356" s="9">
        <v>355</v>
      </c>
      <c r="B356" s="9" t="s">
        <v>9</v>
      </c>
      <c r="C356" s="9">
        <v>1923</v>
      </c>
      <c r="D356" s="10">
        <v>45701</v>
      </c>
      <c r="E356" s="13" t="str">
        <f>+HYPERLINK("http://trademark.i-assist.jp/data/china/image_1923th/81633849.pdf","81633849")</f>
        <v>81633849</v>
      </c>
      <c r="F356" s="9" t="s">
        <v>1038</v>
      </c>
      <c r="G356" s="9" t="s">
        <v>997</v>
      </c>
      <c r="H356" s="9" t="s">
        <v>1039</v>
      </c>
      <c r="I356" s="10">
        <v>45593</v>
      </c>
    </row>
    <row r="357" spans="1:9" x14ac:dyDescent="0.15">
      <c r="A357" s="9">
        <v>356</v>
      </c>
      <c r="B357" s="9" t="s">
        <v>9</v>
      </c>
      <c r="C357" s="9">
        <v>1923</v>
      </c>
      <c r="D357" s="10">
        <v>45701</v>
      </c>
      <c r="E357" s="13" t="str">
        <f>+HYPERLINK("http://trademark.i-assist.jp/data/china/image_1923th/81634140.pdf","81634140")</f>
        <v>81634140</v>
      </c>
      <c r="F357" s="11" t="s">
        <v>1040</v>
      </c>
      <c r="G357" s="11" t="s">
        <v>1041</v>
      </c>
      <c r="H357" s="9" t="s">
        <v>1042</v>
      </c>
      <c r="I357" s="10">
        <v>45593</v>
      </c>
    </row>
    <row r="358" spans="1:9" x14ac:dyDescent="0.15">
      <c r="A358" s="9">
        <v>357</v>
      </c>
      <c r="B358" s="9" t="s">
        <v>9</v>
      </c>
      <c r="C358" s="9">
        <v>1923</v>
      </c>
      <c r="D358" s="10">
        <v>45701</v>
      </c>
      <c r="E358" s="13" t="str">
        <f>+HYPERLINK("http://trademark.i-assist.jp/data/china/image_1923th/81638052.pdf","81638052")</f>
        <v>81638052</v>
      </c>
      <c r="F358" s="9" t="s">
        <v>1043</v>
      </c>
      <c r="G358" s="9" t="s">
        <v>1044</v>
      </c>
      <c r="H358" s="11" t="s">
        <v>1045</v>
      </c>
      <c r="I358" s="10">
        <v>45594</v>
      </c>
    </row>
    <row r="359" spans="1:9" x14ac:dyDescent="0.15">
      <c r="A359" s="9">
        <v>358</v>
      </c>
      <c r="B359" s="9" t="s">
        <v>9</v>
      </c>
      <c r="C359" s="9">
        <v>1923</v>
      </c>
      <c r="D359" s="10">
        <v>45701</v>
      </c>
      <c r="E359" s="13" t="str">
        <f>+HYPERLINK("http://trademark.i-assist.jp/data/china/image_1923th/81639249.pdf","81639249")</f>
        <v>81639249</v>
      </c>
      <c r="F359" s="11" t="s">
        <v>1046</v>
      </c>
      <c r="G359" s="9" t="s">
        <v>1047</v>
      </c>
      <c r="H359" s="9" t="s">
        <v>1048</v>
      </c>
      <c r="I359" s="10">
        <v>45594</v>
      </c>
    </row>
    <row r="360" spans="1:9" x14ac:dyDescent="0.15">
      <c r="A360" s="9">
        <v>359</v>
      </c>
      <c r="B360" s="9" t="s">
        <v>9</v>
      </c>
      <c r="C360" s="9">
        <v>1923</v>
      </c>
      <c r="D360" s="10">
        <v>45701</v>
      </c>
      <c r="E360" s="13" t="str">
        <f>+HYPERLINK("http://trademark.i-assist.jp/data/china/image_1923th/81640324.pdf","81640324")</f>
        <v>81640324</v>
      </c>
      <c r="F360" s="9" t="s">
        <v>1049</v>
      </c>
      <c r="G360" s="11" t="s">
        <v>1050</v>
      </c>
      <c r="H360" s="9" t="s">
        <v>1051</v>
      </c>
      <c r="I360" s="10">
        <v>45594</v>
      </c>
    </row>
    <row r="361" spans="1:9" x14ac:dyDescent="0.15">
      <c r="A361" s="9">
        <v>360</v>
      </c>
      <c r="B361" s="9" t="s">
        <v>9</v>
      </c>
      <c r="C361" s="9">
        <v>1923</v>
      </c>
      <c r="D361" s="10">
        <v>45701</v>
      </c>
      <c r="E361" s="13" t="str">
        <f>+HYPERLINK("http://trademark.i-assist.jp/data/china/image_1923th/81640519.pdf","81640519")</f>
        <v>81640519</v>
      </c>
      <c r="F361" s="9" t="s">
        <v>1052</v>
      </c>
      <c r="G361" s="9" t="s">
        <v>1053</v>
      </c>
      <c r="H361" s="9" t="s">
        <v>1054</v>
      </c>
      <c r="I361" s="10">
        <v>45594</v>
      </c>
    </row>
    <row r="362" spans="1:9" x14ac:dyDescent="0.15">
      <c r="A362" s="9">
        <v>361</v>
      </c>
      <c r="B362" s="9" t="s">
        <v>9</v>
      </c>
      <c r="C362" s="9">
        <v>1923</v>
      </c>
      <c r="D362" s="10">
        <v>45701</v>
      </c>
      <c r="E362" s="13" t="str">
        <f>+HYPERLINK("http://trademark.i-assist.jp/data/china/image_1923th/81641311.pdf","81641311")</f>
        <v>81641311</v>
      </c>
      <c r="F362" s="9" t="s">
        <v>1055</v>
      </c>
      <c r="G362" s="11" t="s">
        <v>1056</v>
      </c>
      <c r="H362" s="9" t="s">
        <v>1057</v>
      </c>
      <c r="I362" s="10">
        <v>45594</v>
      </c>
    </row>
    <row r="363" spans="1:9" x14ac:dyDescent="0.15">
      <c r="A363" s="9">
        <v>362</v>
      </c>
      <c r="B363" s="9" t="s">
        <v>9</v>
      </c>
      <c r="C363" s="9">
        <v>1923</v>
      </c>
      <c r="D363" s="10">
        <v>45701</v>
      </c>
      <c r="E363" s="13" t="str">
        <f>+HYPERLINK("http://trademark.i-assist.jp/data/china/image_1923th/81642163.pdf","81642163")</f>
        <v>81642163</v>
      </c>
      <c r="F363" s="9" t="s">
        <v>1058</v>
      </c>
      <c r="G363" s="11" t="s">
        <v>1059</v>
      </c>
      <c r="H363" s="9" t="s">
        <v>1060</v>
      </c>
      <c r="I363" s="10">
        <v>45594</v>
      </c>
    </row>
    <row r="364" spans="1:9" x14ac:dyDescent="0.15">
      <c r="A364" s="9">
        <v>363</v>
      </c>
      <c r="B364" s="9" t="s">
        <v>9</v>
      </c>
      <c r="C364" s="9">
        <v>1923</v>
      </c>
      <c r="D364" s="10">
        <v>45701</v>
      </c>
      <c r="E364" s="13" t="str">
        <f>+HYPERLINK("http://trademark.i-assist.jp/data/china/image_1923th/81643161.pdf","81643161")</f>
        <v>81643161</v>
      </c>
      <c r="F364" s="9" t="s">
        <v>1061</v>
      </c>
      <c r="G364" s="9" t="s">
        <v>1062</v>
      </c>
      <c r="H364" s="11" t="s">
        <v>1063</v>
      </c>
      <c r="I364" s="10">
        <v>45594</v>
      </c>
    </row>
    <row r="365" spans="1:9" x14ac:dyDescent="0.15">
      <c r="A365" s="9">
        <v>364</v>
      </c>
      <c r="B365" s="9" t="s">
        <v>9</v>
      </c>
      <c r="C365" s="9">
        <v>1923</v>
      </c>
      <c r="D365" s="10">
        <v>45701</v>
      </c>
      <c r="E365" s="13" t="str">
        <f>+HYPERLINK("http://trademark.i-assist.jp/data/china/image_1923th/81643206.pdf","81643206")</f>
        <v>81643206</v>
      </c>
      <c r="F365" s="11" t="s">
        <v>1064</v>
      </c>
      <c r="G365" s="11" t="s">
        <v>1065</v>
      </c>
      <c r="H365" s="9" t="s">
        <v>1066</v>
      </c>
      <c r="I365" s="10">
        <v>45594</v>
      </c>
    </row>
    <row r="366" spans="1:9" x14ac:dyDescent="0.15">
      <c r="A366" s="9">
        <v>365</v>
      </c>
      <c r="B366" s="9" t="s">
        <v>9</v>
      </c>
      <c r="C366" s="9">
        <v>1923</v>
      </c>
      <c r="D366" s="10">
        <v>45701</v>
      </c>
      <c r="E366" s="13" t="str">
        <f>+HYPERLINK("http://trademark.i-assist.jp/data/china/image_1923th/81643208.pdf","81643208")</f>
        <v>81643208</v>
      </c>
      <c r="F366" s="9" t="s">
        <v>1067</v>
      </c>
      <c r="G366" s="9" t="s">
        <v>1068</v>
      </c>
      <c r="H366" s="9" t="s">
        <v>1069</v>
      </c>
      <c r="I366" s="10">
        <v>45594</v>
      </c>
    </row>
    <row r="367" spans="1:9" x14ac:dyDescent="0.15">
      <c r="A367" s="9">
        <v>366</v>
      </c>
      <c r="B367" s="9" t="s">
        <v>9</v>
      </c>
      <c r="C367" s="9">
        <v>1923</v>
      </c>
      <c r="D367" s="10">
        <v>45701</v>
      </c>
      <c r="E367" s="13" t="str">
        <f>+HYPERLINK("http://trademark.i-assist.jp/data/china/image_1923th/81643457.pdf","81643457")</f>
        <v>81643457</v>
      </c>
      <c r="F367" s="9" t="s">
        <v>1070</v>
      </c>
      <c r="G367" s="9" t="s">
        <v>1071</v>
      </c>
      <c r="H367" s="9" t="s">
        <v>1072</v>
      </c>
      <c r="I367" s="10">
        <v>45594</v>
      </c>
    </row>
    <row r="368" spans="1:9" x14ac:dyDescent="0.15">
      <c r="A368" s="9">
        <v>367</v>
      </c>
      <c r="B368" s="9" t="s">
        <v>9</v>
      </c>
      <c r="C368" s="9">
        <v>1923</v>
      </c>
      <c r="D368" s="10">
        <v>45701</v>
      </c>
      <c r="E368" s="13" t="str">
        <f>+HYPERLINK("http://trademark.i-assist.jp/data/china/image_1923th/81643807.pdf","81643807")</f>
        <v>81643807</v>
      </c>
      <c r="F368" s="9" t="s">
        <v>1073</v>
      </c>
      <c r="G368" s="11" t="s">
        <v>1074</v>
      </c>
      <c r="H368" s="9" t="s">
        <v>1075</v>
      </c>
      <c r="I368" s="10">
        <v>45594</v>
      </c>
    </row>
    <row r="369" spans="1:9" x14ac:dyDescent="0.15">
      <c r="A369" s="9">
        <v>368</v>
      </c>
      <c r="B369" s="9" t="s">
        <v>9</v>
      </c>
      <c r="C369" s="9">
        <v>1923</v>
      </c>
      <c r="D369" s="10">
        <v>45701</v>
      </c>
      <c r="E369" s="13" t="str">
        <f>+HYPERLINK("http://trademark.i-assist.jp/data/china/image_1923th/81645175.pdf","81645175")</f>
        <v>81645175</v>
      </c>
      <c r="F369" s="11" t="s">
        <v>1076</v>
      </c>
      <c r="G369" s="9" t="s">
        <v>1077</v>
      </c>
      <c r="H369" s="9" t="s">
        <v>1078</v>
      </c>
      <c r="I369" s="10">
        <v>45594</v>
      </c>
    </row>
    <row r="370" spans="1:9" x14ac:dyDescent="0.15">
      <c r="A370" s="9">
        <v>369</v>
      </c>
      <c r="B370" s="9" t="s">
        <v>9</v>
      </c>
      <c r="C370" s="9">
        <v>1923</v>
      </c>
      <c r="D370" s="10">
        <v>45701</v>
      </c>
      <c r="E370" s="13" t="str">
        <f>+HYPERLINK("http://trademark.i-assist.jp/data/china/image_1923th/81645394.pdf","81645394")</f>
        <v>81645394</v>
      </c>
      <c r="F370" s="9" t="s">
        <v>1079</v>
      </c>
      <c r="G370" s="9" t="s">
        <v>1080</v>
      </c>
      <c r="H370" s="9" t="s">
        <v>1081</v>
      </c>
      <c r="I370" s="10">
        <v>45594</v>
      </c>
    </row>
    <row r="371" spans="1:9" x14ac:dyDescent="0.15">
      <c r="A371" s="9">
        <v>370</v>
      </c>
      <c r="B371" s="9" t="s">
        <v>9</v>
      </c>
      <c r="C371" s="9">
        <v>1923</v>
      </c>
      <c r="D371" s="10">
        <v>45701</v>
      </c>
      <c r="E371" s="13" t="str">
        <f>+HYPERLINK("http://trademark.i-assist.jp/data/china/image_1923th/81647390.pdf","81647390")</f>
        <v>81647390</v>
      </c>
      <c r="F371" s="9" t="s">
        <v>1082</v>
      </c>
      <c r="G371" s="9" t="s">
        <v>1083</v>
      </c>
      <c r="H371" s="11" t="s">
        <v>1084</v>
      </c>
      <c r="I371" s="10">
        <v>45594</v>
      </c>
    </row>
    <row r="372" spans="1:9" x14ac:dyDescent="0.15">
      <c r="A372" s="9">
        <v>371</v>
      </c>
      <c r="B372" s="9" t="s">
        <v>9</v>
      </c>
      <c r="C372" s="9">
        <v>1923</v>
      </c>
      <c r="D372" s="10">
        <v>45701</v>
      </c>
      <c r="E372" s="13" t="str">
        <f>+HYPERLINK("http://trademark.i-assist.jp/data/china/image_1923th/81649900.pdf","81649900")</f>
        <v>81649900</v>
      </c>
      <c r="F372" s="9" t="s">
        <v>1085</v>
      </c>
      <c r="G372" s="9" t="s">
        <v>1086</v>
      </c>
      <c r="H372" s="9" t="s">
        <v>1087</v>
      </c>
      <c r="I372" s="10">
        <v>45594</v>
      </c>
    </row>
    <row r="373" spans="1:9" x14ac:dyDescent="0.15">
      <c r="A373" s="9">
        <v>372</v>
      </c>
      <c r="B373" s="9" t="s">
        <v>9</v>
      </c>
      <c r="C373" s="9">
        <v>1923</v>
      </c>
      <c r="D373" s="10">
        <v>45701</v>
      </c>
      <c r="E373" s="13" t="str">
        <f>+HYPERLINK("http://trademark.i-assist.jp/data/china/image_1923th/81650798.pdf","81650798")</f>
        <v>81650798</v>
      </c>
      <c r="F373" s="9" t="s">
        <v>1088</v>
      </c>
      <c r="G373" s="9" t="s">
        <v>1089</v>
      </c>
      <c r="H373" s="9" t="s">
        <v>1090</v>
      </c>
      <c r="I373" s="10">
        <v>45594</v>
      </c>
    </row>
    <row r="374" spans="1:9" x14ac:dyDescent="0.15">
      <c r="A374" s="9">
        <v>373</v>
      </c>
      <c r="B374" s="9" t="s">
        <v>9</v>
      </c>
      <c r="C374" s="9">
        <v>1923</v>
      </c>
      <c r="D374" s="10">
        <v>45701</v>
      </c>
      <c r="E374" s="13" t="str">
        <f>+HYPERLINK("http://trademark.i-assist.jp/data/china/image_1923th/81650926.pdf","81650926")</f>
        <v>81650926</v>
      </c>
      <c r="F374" s="9" t="s">
        <v>1091</v>
      </c>
      <c r="G374" s="9" t="s">
        <v>365</v>
      </c>
      <c r="H374" s="9" t="s">
        <v>1092</v>
      </c>
      <c r="I374" s="10">
        <v>45594</v>
      </c>
    </row>
    <row r="375" spans="1:9" x14ac:dyDescent="0.15">
      <c r="A375" s="9">
        <v>374</v>
      </c>
      <c r="B375" s="9" t="s">
        <v>9</v>
      </c>
      <c r="C375" s="9">
        <v>1923</v>
      </c>
      <c r="D375" s="10">
        <v>45701</v>
      </c>
      <c r="E375" s="13" t="str">
        <f>+HYPERLINK("http://trademark.i-assist.jp/data/china/image_1923th/81651171.pdf","81651171")</f>
        <v>81651171</v>
      </c>
      <c r="F375" s="9" t="s">
        <v>1093</v>
      </c>
      <c r="G375" s="9" t="s">
        <v>1094</v>
      </c>
      <c r="H375" s="9" t="s">
        <v>1095</v>
      </c>
      <c r="I375" s="10">
        <v>45594</v>
      </c>
    </row>
    <row r="376" spans="1:9" x14ac:dyDescent="0.15">
      <c r="A376" s="9">
        <v>375</v>
      </c>
      <c r="B376" s="9" t="s">
        <v>9</v>
      </c>
      <c r="C376" s="9">
        <v>1923</v>
      </c>
      <c r="D376" s="10">
        <v>45701</v>
      </c>
      <c r="E376" s="13" t="str">
        <f>+HYPERLINK("http://trademark.i-assist.jp/data/china/image_1923th/81651385.pdf","81651385")</f>
        <v>81651385</v>
      </c>
      <c r="F376" s="9" t="s">
        <v>1096</v>
      </c>
      <c r="G376" s="9" t="s">
        <v>1097</v>
      </c>
      <c r="H376" s="9" t="s">
        <v>1098</v>
      </c>
      <c r="I376" s="10">
        <v>45594</v>
      </c>
    </row>
    <row r="377" spans="1:9" x14ac:dyDescent="0.15">
      <c r="A377" s="9">
        <v>376</v>
      </c>
      <c r="B377" s="9" t="s">
        <v>9</v>
      </c>
      <c r="C377" s="9">
        <v>1923</v>
      </c>
      <c r="D377" s="10">
        <v>45701</v>
      </c>
      <c r="E377" s="13" t="str">
        <f>+HYPERLINK("http://trademark.i-assist.jp/data/china/image_1923th/81651401.pdf","81651401")</f>
        <v>81651401</v>
      </c>
      <c r="F377" s="9" t="s">
        <v>1099</v>
      </c>
      <c r="G377" s="9" t="s">
        <v>1100</v>
      </c>
      <c r="H377" s="9" t="s">
        <v>1101</v>
      </c>
      <c r="I377" s="10">
        <v>45594</v>
      </c>
    </row>
    <row r="378" spans="1:9" x14ac:dyDescent="0.15">
      <c r="A378" s="9">
        <v>377</v>
      </c>
      <c r="B378" s="9" t="s">
        <v>9</v>
      </c>
      <c r="C378" s="9">
        <v>1923</v>
      </c>
      <c r="D378" s="10">
        <v>45701</v>
      </c>
      <c r="E378" s="13" t="str">
        <f>+HYPERLINK("http://trademark.i-assist.jp/data/china/image_1923th/81651897.pdf","81651897")</f>
        <v>81651897</v>
      </c>
      <c r="F378" s="9" t="s">
        <v>1102</v>
      </c>
      <c r="G378" s="9" t="s">
        <v>1103</v>
      </c>
      <c r="H378" s="9" t="s">
        <v>1104</v>
      </c>
      <c r="I378" s="10">
        <v>45594</v>
      </c>
    </row>
    <row r="379" spans="1:9" x14ac:dyDescent="0.15">
      <c r="A379" s="9">
        <v>378</v>
      </c>
      <c r="B379" s="9" t="s">
        <v>9</v>
      </c>
      <c r="C379" s="9">
        <v>1923</v>
      </c>
      <c r="D379" s="10">
        <v>45701</v>
      </c>
      <c r="E379" s="13" t="str">
        <f>+HYPERLINK("http://trademark.i-assist.jp/data/china/image_1923th/81652057.pdf","81652057")</f>
        <v>81652057</v>
      </c>
      <c r="F379" s="11" t="s">
        <v>1105</v>
      </c>
      <c r="G379" s="11" t="s">
        <v>1106</v>
      </c>
      <c r="H379" s="11" t="s">
        <v>1107</v>
      </c>
      <c r="I379" s="10">
        <v>45594</v>
      </c>
    </row>
    <row r="380" spans="1:9" x14ac:dyDescent="0.15">
      <c r="A380" s="9">
        <v>379</v>
      </c>
      <c r="B380" s="9" t="s">
        <v>9</v>
      </c>
      <c r="C380" s="9">
        <v>1923</v>
      </c>
      <c r="D380" s="10">
        <v>45701</v>
      </c>
      <c r="E380" s="13" t="str">
        <f>+HYPERLINK("http://trademark.i-assist.jp/data/china/image_1923th/81652095.pdf","81652095")</f>
        <v>81652095</v>
      </c>
      <c r="F380" s="9" t="s">
        <v>1108</v>
      </c>
      <c r="G380" s="9" t="s">
        <v>1044</v>
      </c>
      <c r="H380" s="9" t="s">
        <v>1109</v>
      </c>
      <c r="I380" s="10">
        <v>45594</v>
      </c>
    </row>
    <row r="381" spans="1:9" x14ac:dyDescent="0.15">
      <c r="A381" s="9">
        <v>380</v>
      </c>
      <c r="B381" s="9" t="s">
        <v>9</v>
      </c>
      <c r="C381" s="9">
        <v>1923</v>
      </c>
      <c r="D381" s="10">
        <v>45701</v>
      </c>
      <c r="E381" s="13" t="str">
        <f>+HYPERLINK("http://trademark.i-assist.jp/data/china/image_1923th/81652209.pdf","81652209")</f>
        <v>81652209</v>
      </c>
      <c r="F381" s="9" t="s">
        <v>1110</v>
      </c>
      <c r="G381" s="9" t="s">
        <v>1111</v>
      </c>
      <c r="H381" s="9" t="s">
        <v>1112</v>
      </c>
      <c r="I381" s="10">
        <v>45594</v>
      </c>
    </row>
    <row r="382" spans="1:9" x14ac:dyDescent="0.15">
      <c r="A382" s="9">
        <v>381</v>
      </c>
      <c r="B382" s="9" t="s">
        <v>9</v>
      </c>
      <c r="C382" s="9">
        <v>1923</v>
      </c>
      <c r="D382" s="10">
        <v>45701</v>
      </c>
      <c r="E382" s="13" t="str">
        <f>+HYPERLINK("http://trademark.i-assist.jp/data/china/image_1923th/81654753.pdf","81654753")</f>
        <v>81654753</v>
      </c>
      <c r="F382" s="11" t="s">
        <v>1113</v>
      </c>
      <c r="G382" s="9" t="s">
        <v>1114</v>
      </c>
      <c r="H382" s="9" t="s">
        <v>1115</v>
      </c>
      <c r="I382" s="10">
        <v>45594</v>
      </c>
    </row>
    <row r="383" spans="1:9" x14ac:dyDescent="0.15">
      <c r="A383" s="9">
        <v>382</v>
      </c>
      <c r="B383" s="9" t="s">
        <v>9</v>
      </c>
      <c r="C383" s="9">
        <v>1923</v>
      </c>
      <c r="D383" s="10">
        <v>45701</v>
      </c>
      <c r="E383" s="13" t="str">
        <f>+HYPERLINK("http://trademark.i-assist.jp/data/china/image_1923th/81654791.pdf","81654791")</f>
        <v>81654791</v>
      </c>
      <c r="F383" s="9" t="s">
        <v>1116</v>
      </c>
      <c r="G383" s="9" t="s">
        <v>1117</v>
      </c>
      <c r="H383" s="11" t="s">
        <v>1118</v>
      </c>
      <c r="I383" s="10">
        <v>45594</v>
      </c>
    </row>
    <row r="384" spans="1:9" x14ac:dyDescent="0.15">
      <c r="A384" s="9">
        <v>383</v>
      </c>
      <c r="B384" s="9" t="s">
        <v>9</v>
      </c>
      <c r="C384" s="9">
        <v>1923</v>
      </c>
      <c r="D384" s="10">
        <v>45701</v>
      </c>
      <c r="E384" s="13" t="str">
        <f>+HYPERLINK("http://trademark.i-assist.jp/data/china/image_1923th/81658316A.pdf","81658316A")</f>
        <v>81658316A</v>
      </c>
      <c r="F384" s="11" t="s">
        <v>1119</v>
      </c>
      <c r="G384" s="9" t="s">
        <v>1120</v>
      </c>
      <c r="H384" s="9" t="s">
        <v>253</v>
      </c>
      <c r="I384" s="10">
        <v>45594</v>
      </c>
    </row>
    <row r="385" spans="1:9" x14ac:dyDescent="0.15">
      <c r="A385" s="9">
        <v>384</v>
      </c>
      <c r="B385" s="9" t="s">
        <v>9</v>
      </c>
      <c r="C385" s="9">
        <v>1923</v>
      </c>
      <c r="D385" s="10">
        <v>45701</v>
      </c>
      <c r="E385" s="13" t="str">
        <f>+HYPERLINK("http://trademark.i-assist.jp/data/china/image_1923th/81660358.pdf","81660358")</f>
        <v>81660358</v>
      </c>
      <c r="F385" s="9" t="s">
        <v>1121</v>
      </c>
      <c r="G385" s="11" t="s">
        <v>1074</v>
      </c>
      <c r="H385" s="9" t="s">
        <v>1122</v>
      </c>
      <c r="I385" s="10">
        <v>45594</v>
      </c>
    </row>
    <row r="386" spans="1:9" x14ac:dyDescent="0.15">
      <c r="A386" s="9">
        <v>385</v>
      </c>
      <c r="B386" s="9" t="s">
        <v>9</v>
      </c>
      <c r="C386" s="9">
        <v>1923</v>
      </c>
      <c r="D386" s="10">
        <v>45701</v>
      </c>
      <c r="E386" s="13" t="str">
        <f>+HYPERLINK("http://trademark.i-assist.jp/data/china/image_1923th/81660976.pdf","81660976")</f>
        <v>81660976</v>
      </c>
      <c r="F386" s="9" t="s">
        <v>1123</v>
      </c>
      <c r="G386" s="9" t="s">
        <v>1124</v>
      </c>
      <c r="H386" s="9" t="s">
        <v>1125</v>
      </c>
      <c r="I386" s="10">
        <v>45594</v>
      </c>
    </row>
    <row r="387" spans="1:9" x14ac:dyDescent="0.15">
      <c r="A387" s="9">
        <v>386</v>
      </c>
      <c r="B387" s="9" t="s">
        <v>9</v>
      </c>
      <c r="C387" s="9">
        <v>1923</v>
      </c>
      <c r="D387" s="10">
        <v>45701</v>
      </c>
      <c r="E387" s="13" t="str">
        <f>+HYPERLINK("http://trademark.i-assist.jp/data/china/image_1923th/81661484.pdf","81661484")</f>
        <v>81661484</v>
      </c>
      <c r="F387" s="9" t="s">
        <v>1126</v>
      </c>
      <c r="G387" s="11" t="s">
        <v>1127</v>
      </c>
      <c r="H387" s="9" t="s">
        <v>1128</v>
      </c>
      <c r="I387" s="10">
        <v>45594</v>
      </c>
    </row>
    <row r="388" spans="1:9" x14ac:dyDescent="0.15">
      <c r="A388" s="9">
        <v>387</v>
      </c>
      <c r="B388" s="9" t="s">
        <v>9</v>
      </c>
      <c r="C388" s="9">
        <v>1923</v>
      </c>
      <c r="D388" s="10">
        <v>45701</v>
      </c>
      <c r="E388" s="13" t="str">
        <f>+HYPERLINK("http://trademark.i-assist.jp/data/china/image_1923th/81662327A.pdf","81662327A")</f>
        <v>81662327A</v>
      </c>
      <c r="F388" s="9" t="s">
        <v>1129</v>
      </c>
      <c r="G388" s="9" t="s">
        <v>1120</v>
      </c>
      <c r="H388" s="9" t="s">
        <v>253</v>
      </c>
      <c r="I388" s="10">
        <v>45594</v>
      </c>
    </row>
    <row r="389" spans="1:9" x14ac:dyDescent="0.15">
      <c r="A389" s="9">
        <v>388</v>
      </c>
      <c r="B389" s="9" t="s">
        <v>9</v>
      </c>
      <c r="C389" s="9">
        <v>1923</v>
      </c>
      <c r="D389" s="10">
        <v>45701</v>
      </c>
      <c r="E389" s="13" t="str">
        <f>+HYPERLINK("http://trademark.i-assist.jp/data/china/image_1923th/81662680.pdf","81662680")</f>
        <v>81662680</v>
      </c>
      <c r="F389" s="9" t="s">
        <v>1130</v>
      </c>
      <c r="G389" s="11" t="s">
        <v>1131</v>
      </c>
      <c r="H389" s="11" t="s">
        <v>1132</v>
      </c>
      <c r="I389" s="10">
        <v>45594</v>
      </c>
    </row>
    <row r="390" spans="1:9" x14ac:dyDescent="0.15">
      <c r="A390" s="9">
        <v>389</v>
      </c>
      <c r="B390" s="9" t="s">
        <v>9</v>
      </c>
      <c r="C390" s="9">
        <v>1923</v>
      </c>
      <c r="D390" s="10">
        <v>45701</v>
      </c>
      <c r="E390" s="13" t="str">
        <f>+HYPERLINK("http://trademark.i-assist.jp/data/china/image_1923th/81662877.pdf","81662877")</f>
        <v>81662877</v>
      </c>
      <c r="F390" s="11" t="s">
        <v>1133</v>
      </c>
      <c r="G390" s="9" t="s">
        <v>1134</v>
      </c>
      <c r="H390" s="9" t="s">
        <v>1135</v>
      </c>
      <c r="I390" s="10">
        <v>45594</v>
      </c>
    </row>
    <row r="391" spans="1:9" x14ac:dyDescent="0.15">
      <c r="A391" s="9">
        <v>390</v>
      </c>
      <c r="B391" s="9" t="s">
        <v>9</v>
      </c>
      <c r="C391" s="9">
        <v>1923</v>
      </c>
      <c r="D391" s="10">
        <v>45701</v>
      </c>
      <c r="E391" s="13" t="str">
        <f>+HYPERLINK("http://trademark.i-assist.jp/data/china/image_1923th/81664630.pdf","81664630")</f>
        <v>81664630</v>
      </c>
      <c r="F391" s="9" t="s">
        <v>1136</v>
      </c>
      <c r="G391" s="9" t="s">
        <v>1137</v>
      </c>
      <c r="H391" s="9" t="s">
        <v>1138</v>
      </c>
      <c r="I391" s="10">
        <v>45595</v>
      </c>
    </row>
    <row r="392" spans="1:9" x14ac:dyDescent="0.15">
      <c r="A392" s="9">
        <v>391</v>
      </c>
      <c r="B392" s="9" t="s">
        <v>9</v>
      </c>
      <c r="C392" s="9">
        <v>1923</v>
      </c>
      <c r="D392" s="10">
        <v>45701</v>
      </c>
      <c r="E392" s="13" t="str">
        <f>+HYPERLINK("http://trademark.i-assist.jp/data/china/image_1923th/81664855.pdf","81664855")</f>
        <v>81664855</v>
      </c>
      <c r="F392" s="9" t="s">
        <v>1139</v>
      </c>
      <c r="G392" s="11" t="s">
        <v>1140</v>
      </c>
      <c r="H392" s="9" t="s">
        <v>1141</v>
      </c>
      <c r="I392" s="10">
        <v>45595</v>
      </c>
    </row>
    <row r="393" spans="1:9" x14ac:dyDescent="0.15">
      <c r="A393" s="9">
        <v>392</v>
      </c>
      <c r="B393" s="9" t="s">
        <v>9</v>
      </c>
      <c r="C393" s="9">
        <v>1923</v>
      </c>
      <c r="D393" s="10">
        <v>45701</v>
      </c>
      <c r="E393" s="13" t="str">
        <f>+HYPERLINK("http://trademark.i-assist.jp/data/china/image_1923th/81664934.pdf","81664934")</f>
        <v>81664934</v>
      </c>
      <c r="F393" s="9" t="s">
        <v>1142</v>
      </c>
      <c r="G393" s="9" t="s">
        <v>1143</v>
      </c>
      <c r="H393" s="9" t="s">
        <v>1144</v>
      </c>
      <c r="I393" s="10">
        <v>45595</v>
      </c>
    </row>
    <row r="394" spans="1:9" x14ac:dyDescent="0.15">
      <c r="A394" s="9">
        <v>393</v>
      </c>
      <c r="B394" s="9" t="s">
        <v>9</v>
      </c>
      <c r="C394" s="9">
        <v>1923</v>
      </c>
      <c r="D394" s="10">
        <v>45701</v>
      </c>
      <c r="E394" s="13" t="str">
        <f>+HYPERLINK("http://trademark.i-assist.jp/data/china/image_1923th/81665086.pdf","81665086")</f>
        <v>81665086</v>
      </c>
      <c r="F394" s="9" t="s">
        <v>1145</v>
      </c>
      <c r="G394" s="9" t="s">
        <v>1146</v>
      </c>
      <c r="H394" s="9" t="s">
        <v>1147</v>
      </c>
      <c r="I394" s="10">
        <v>45595</v>
      </c>
    </row>
    <row r="395" spans="1:9" x14ac:dyDescent="0.15">
      <c r="A395" s="9">
        <v>394</v>
      </c>
      <c r="B395" s="9" t="s">
        <v>9</v>
      </c>
      <c r="C395" s="9">
        <v>1923</v>
      </c>
      <c r="D395" s="10">
        <v>45701</v>
      </c>
      <c r="E395" s="13" t="str">
        <f>+HYPERLINK("http://trademark.i-assist.jp/data/china/image_1923th/81665553.pdf","81665553")</f>
        <v>81665553</v>
      </c>
      <c r="F395" s="9" t="s">
        <v>1148</v>
      </c>
      <c r="G395" s="11" t="s">
        <v>1149</v>
      </c>
      <c r="H395" s="11" t="s">
        <v>1150</v>
      </c>
      <c r="I395" s="10">
        <v>45595</v>
      </c>
    </row>
    <row r="396" spans="1:9" x14ac:dyDescent="0.15">
      <c r="A396" s="9">
        <v>395</v>
      </c>
      <c r="B396" s="9" t="s">
        <v>9</v>
      </c>
      <c r="C396" s="9">
        <v>1923</v>
      </c>
      <c r="D396" s="10">
        <v>45701</v>
      </c>
      <c r="E396" s="13" t="str">
        <f>+HYPERLINK("http://trademark.i-assist.jp/data/china/image_1923th/81666080.pdf","81666080")</f>
        <v>81666080</v>
      </c>
      <c r="F396" s="9" t="s">
        <v>1151</v>
      </c>
      <c r="G396" s="9" t="s">
        <v>1152</v>
      </c>
      <c r="H396" s="9" t="s">
        <v>1153</v>
      </c>
      <c r="I396" s="10">
        <v>45595</v>
      </c>
    </row>
    <row r="397" spans="1:9" x14ac:dyDescent="0.15">
      <c r="A397" s="9">
        <v>396</v>
      </c>
      <c r="B397" s="9" t="s">
        <v>9</v>
      </c>
      <c r="C397" s="9">
        <v>1923</v>
      </c>
      <c r="D397" s="10">
        <v>45701</v>
      </c>
      <c r="E397" s="13" t="str">
        <f>+HYPERLINK("http://trademark.i-assist.jp/data/china/image_1923th/81666100.pdf","81666100")</f>
        <v>81666100</v>
      </c>
      <c r="F397" s="9" t="s">
        <v>1154</v>
      </c>
      <c r="G397" s="9" t="s">
        <v>274</v>
      </c>
      <c r="H397" s="9" t="s">
        <v>1155</v>
      </c>
      <c r="I397" s="10">
        <v>45595</v>
      </c>
    </row>
    <row r="398" spans="1:9" x14ac:dyDescent="0.15">
      <c r="A398" s="9">
        <v>397</v>
      </c>
      <c r="B398" s="9" t="s">
        <v>9</v>
      </c>
      <c r="C398" s="9">
        <v>1923</v>
      </c>
      <c r="D398" s="10">
        <v>45701</v>
      </c>
      <c r="E398" s="13" t="str">
        <f>+HYPERLINK("http://trademark.i-assist.jp/data/china/image_1923th/81666972.pdf","81666972")</f>
        <v>81666972</v>
      </c>
      <c r="F398" s="11" t="s">
        <v>1156</v>
      </c>
      <c r="G398" s="9" t="s">
        <v>1157</v>
      </c>
      <c r="H398" s="9" t="s">
        <v>1158</v>
      </c>
      <c r="I398" s="10">
        <v>45595</v>
      </c>
    </row>
    <row r="399" spans="1:9" x14ac:dyDescent="0.15">
      <c r="A399" s="9">
        <v>398</v>
      </c>
      <c r="B399" s="9" t="s">
        <v>9</v>
      </c>
      <c r="C399" s="9">
        <v>1923</v>
      </c>
      <c r="D399" s="10">
        <v>45701</v>
      </c>
      <c r="E399" s="13" t="str">
        <f>+HYPERLINK("http://trademark.i-assist.jp/data/china/image_1923th/81667014.pdf","81667014")</f>
        <v>81667014</v>
      </c>
      <c r="F399" s="9" t="s">
        <v>1159</v>
      </c>
      <c r="G399" s="9" t="s">
        <v>274</v>
      </c>
      <c r="H399" s="9" t="s">
        <v>1160</v>
      </c>
      <c r="I399" s="10">
        <v>45595</v>
      </c>
    </row>
    <row r="400" spans="1:9" x14ac:dyDescent="0.15">
      <c r="A400" s="9">
        <v>399</v>
      </c>
      <c r="B400" s="9" t="s">
        <v>9</v>
      </c>
      <c r="C400" s="9">
        <v>1923</v>
      </c>
      <c r="D400" s="10">
        <v>45701</v>
      </c>
      <c r="E400" s="13" t="str">
        <f>+HYPERLINK("http://trademark.i-assist.jp/data/china/image_1923th/81667802.pdf","81667802")</f>
        <v>81667802</v>
      </c>
      <c r="F400" s="9" t="s">
        <v>1161</v>
      </c>
      <c r="G400" s="11" t="s">
        <v>1162</v>
      </c>
      <c r="H400" s="9" t="s">
        <v>1163</v>
      </c>
      <c r="I400" s="10">
        <v>45595</v>
      </c>
    </row>
    <row r="401" spans="1:9" x14ac:dyDescent="0.15">
      <c r="A401" s="9">
        <v>400</v>
      </c>
      <c r="B401" s="9" t="s">
        <v>9</v>
      </c>
      <c r="C401" s="9">
        <v>1923</v>
      </c>
      <c r="D401" s="10">
        <v>45701</v>
      </c>
      <c r="E401" s="13" t="str">
        <f>+HYPERLINK("http://trademark.i-assist.jp/data/china/image_1923th/81667863.pdf","81667863")</f>
        <v>81667863</v>
      </c>
      <c r="F401" s="9" t="s">
        <v>1164</v>
      </c>
      <c r="G401" s="11" t="s">
        <v>1165</v>
      </c>
      <c r="H401" s="9" t="s">
        <v>1166</v>
      </c>
      <c r="I401" s="10">
        <v>45595</v>
      </c>
    </row>
    <row r="402" spans="1:9" x14ac:dyDescent="0.15">
      <c r="A402" s="9">
        <v>401</v>
      </c>
      <c r="B402" s="9" t="s">
        <v>9</v>
      </c>
      <c r="C402" s="9">
        <v>1923</v>
      </c>
      <c r="D402" s="10">
        <v>45701</v>
      </c>
      <c r="E402" s="13" t="str">
        <f>+HYPERLINK("http://trademark.i-assist.jp/data/china/image_1923th/81668038.pdf","81668038")</f>
        <v>81668038</v>
      </c>
      <c r="F402" s="9" t="s">
        <v>1167</v>
      </c>
      <c r="G402" s="9" t="s">
        <v>1168</v>
      </c>
      <c r="H402" s="9" t="s">
        <v>1169</v>
      </c>
      <c r="I402" s="10">
        <v>45595</v>
      </c>
    </row>
    <row r="403" spans="1:9" x14ac:dyDescent="0.15">
      <c r="A403" s="9">
        <v>402</v>
      </c>
      <c r="B403" s="9" t="s">
        <v>9</v>
      </c>
      <c r="C403" s="9">
        <v>1923</v>
      </c>
      <c r="D403" s="10">
        <v>45701</v>
      </c>
      <c r="E403" s="13" t="str">
        <f>+HYPERLINK("http://trademark.i-assist.jp/data/china/image_1923th/81668062.pdf","81668062")</f>
        <v>81668062</v>
      </c>
      <c r="F403" s="9" t="s">
        <v>1170</v>
      </c>
      <c r="G403" s="9" t="s">
        <v>1171</v>
      </c>
      <c r="H403" s="9" t="s">
        <v>1172</v>
      </c>
      <c r="I403" s="10">
        <v>45595</v>
      </c>
    </row>
    <row r="404" spans="1:9" x14ac:dyDescent="0.15">
      <c r="A404" s="9">
        <v>403</v>
      </c>
      <c r="B404" s="9" t="s">
        <v>9</v>
      </c>
      <c r="C404" s="9">
        <v>1923</v>
      </c>
      <c r="D404" s="10">
        <v>45701</v>
      </c>
      <c r="E404" s="13" t="str">
        <f>+HYPERLINK("http://trademark.i-assist.jp/data/china/image_1923th/81668756.pdf","81668756")</f>
        <v>81668756</v>
      </c>
      <c r="F404" s="9" t="s">
        <v>1173</v>
      </c>
      <c r="G404" s="9" t="s">
        <v>1174</v>
      </c>
      <c r="H404" s="11" t="s">
        <v>1175</v>
      </c>
      <c r="I404" s="10">
        <v>45595</v>
      </c>
    </row>
    <row r="405" spans="1:9" x14ac:dyDescent="0.15">
      <c r="A405" s="9">
        <v>404</v>
      </c>
      <c r="B405" s="9" t="s">
        <v>9</v>
      </c>
      <c r="C405" s="9">
        <v>1923</v>
      </c>
      <c r="D405" s="10">
        <v>45701</v>
      </c>
      <c r="E405" s="13" t="str">
        <f>+HYPERLINK("http://trademark.i-assist.jp/data/china/image_1923th/81668759.pdf","81668759")</f>
        <v>81668759</v>
      </c>
      <c r="F405" s="9" t="s">
        <v>1176</v>
      </c>
      <c r="G405" s="9" t="s">
        <v>1177</v>
      </c>
      <c r="H405" s="9" t="s">
        <v>1178</v>
      </c>
      <c r="I405" s="10">
        <v>45595</v>
      </c>
    </row>
    <row r="406" spans="1:9" x14ac:dyDescent="0.15">
      <c r="A406" s="9">
        <v>405</v>
      </c>
      <c r="B406" s="9" t="s">
        <v>9</v>
      </c>
      <c r="C406" s="9">
        <v>1923</v>
      </c>
      <c r="D406" s="10">
        <v>45701</v>
      </c>
      <c r="E406" s="13" t="str">
        <f>+HYPERLINK("http://trademark.i-assist.jp/data/china/image_1923th/81668860.pdf","81668860")</f>
        <v>81668860</v>
      </c>
      <c r="F406" s="9" t="s">
        <v>1179</v>
      </c>
      <c r="G406" s="9" t="s">
        <v>1180</v>
      </c>
      <c r="H406" s="9" t="s">
        <v>1181</v>
      </c>
      <c r="I406" s="10">
        <v>45595</v>
      </c>
    </row>
    <row r="407" spans="1:9" x14ac:dyDescent="0.15">
      <c r="A407" s="9">
        <v>406</v>
      </c>
      <c r="B407" s="9" t="s">
        <v>9</v>
      </c>
      <c r="C407" s="9">
        <v>1923</v>
      </c>
      <c r="D407" s="10">
        <v>45701</v>
      </c>
      <c r="E407" s="13" t="str">
        <f>+HYPERLINK("http://trademark.i-assist.jp/data/china/image_1923th/81669309.pdf","81669309")</f>
        <v>81669309</v>
      </c>
      <c r="F407" s="9" t="s">
        <v>1182</v>
      </c>
      <c r="G407" s="11" t="s">
        <v>1183</v>
      </c>
      <c r="H407" s="9" t="s">
        <v>1184</v>
      </c>
      <c r="I407" s="10">
        <v>45595</v>
      </c>
    </row>
    <row r="408" spans="1:9" x14ac:dyDescent="0.15">
      <c r="A408" s="9">
        <v>407</v>
      </c>
      <c r="B408" s="9" t="s">
        <v>9</v>
      </c>
      <c r="C408" s="9">
        <v>1923</v>
      </c>
      <c r="D408" s="10">
        <v>45701</v>
      </c>
      <c r="E408" s="13" t="str">
        <f>+HYPERLINK("http://trademark.i-assist.jp/data/china/image_1923th/81669347.pdf","81669347")</f>
        <v>81669347</v>
      </c>
      <c r="F408" s="9" t="s">
        <v>1185</v>
      </c>
      <c r="G408" s="9" t="s">
        <v>274</v>
      </c>
      <c r="H408" s="9" t="s">
        <v>1186</v>
      </c>
      <c r="I408" s="10">
        <v>45595</v>
      </c>
    </row>
    <row r="409" spans="1:9" x14ac:dyDescent="0.15">
      <c r="A409" s="9">
        <v>408</v>
      </c>
      <c r="B409" s="9" t="s">
        <v>9</v>
      </c>
      <c r="C409" s="9">
        <v>1923</v>
      </c>
      <c r="D409" s="10">
        <v>45701</v>
      </c>
      <c r="E409" s="13" t="str">
        <f>+HYPERLINK("http://trademark.i-assist.jp/data/china/image_1923th/81670146.pdf","81670146")</f>
        <v>81670146</v>
      </c>
      <c r="F409" s="11" t="s">
        <v>1187</v>
      </c>
      <c r="G409" s="9" t="s">
        <v>274</v>
      </c>
      <c r="H409" s="9" t="s">
        <v>1188</v>
      </c>
      <c r="I409" s="10">
        <v>45595</v>
      </c>
    </row>
    <row r="410" spans="1:9" x14ac:dyDescent="0.15">
      <c r="A410" s="9">
        <v>409</v>
      </c>
      <c r="B410" s="9" t="s">
        <v>9</v>
      </c>
      <c r="C410" s="9">
        <v>1923</v>
      </c>
      <c r="D410" s="10">
        <v>45701</v>
      </c>
      <c r="E410" s="13" t="str">
        <f>+HYPERLINK("http://trademark.i-assist.jp/data/china/image_1923th/81670152.pdf","81670152")</f>
        <v>81670152</v>
      </c>
      <c r="F410" s="9" t="s">
        <v>1189</v>
      </c>
      <c r="G410" s="9" t="s">
        <v>1190</v>
      </c>
      <c r="H410" s="9" t="s">
        <v>1191</v>
      </c>
      <c r="I410" s="10">
        <v>45595</v>
      </c>
    </row>
    <row r="411" spans="1:9" x14ac:dyDescent="0.15">
      <c r="A411" s="9">
        <v>410</v>
      </c>
      <c r="B411" s="9" t="s">
        <v>9</v>
      </c>
      <c r="C411" s="9">
        <v>1923</v>
      </c>
      <c r="D411" s="10">
        <v>45701</v>
      </c>
      <c r="E411" s="13" t="str">
        <f>+HYPERLINK("http://trademark.i-assist.jp/data/china/image_1923th/81670648.pdf","81670648")</f>
        <v>81670648</v>
      </c>
      <c r="F411" s="11" t="s">
        <v>1192</v>
      </c>
      <c r="G411" s="9" t="s">
        <v>1193</v>
      </c>
      <c r="H411" s="11" t="s">
        <v>1194</v>
      </c>
      <c r="I411" s="10">
        <v>45595</v>
      </c>
    </row>
    <row r="412" spans="1:9" x14ac:dyDescent="0.15">
      <c r="A412" s="9">
        <v>411</v>
      </c>
      <c r="B412" s="9" t="s">
        <v>9</v>
      </c>
      <c r="C412" s="9">
        <v>1923</v>
      </c>
      <c r="D412" s="10">
        <v>45701</v>
      </c>
      <c r="E412" s="13" t="str">
        <f>+HYPERLINK("http://trademark.i-assist.jp/data/china/image_1923th/81670950.pdf","81670950")</f>
        <v>81670950</v>
      </c>
      <c r="F412" s="9" t="s">
        <v>1195</v>
      </c>
      <c r="G412" s="9" t="s">
        <v>1196</v>
      </c>
      <c r="H412" s="11" t="s">
        <v>1197</v>
      </c>
      <c r="I412" s="10">
        <v>45595</v>
      </c>
    </row>
    <row r="413" spans="1:9" x14ac:dyDescent="0.15">
      <c r="A413" s="9">
        <v>412</v>
      </c>
      <c r="B413" s="9" t="s">
        <v>9</v>
      </c>
      <c r="C413" s="9">
        <v>1923</v>
      </c>
      <c r="D413" s="10">
        <v>45701</v>
      </c>
      <c r="E413" s="13" t="str">
        <f>+HYPERLINK("http://trademark.i-assist.jp/data/china/image_1923th/81670967.pdf","81670967")</f>
        <v>81670967</v>
      </c>
      <c r="F413" s="9" t="s">
        <v>1198</v>
      </c>
      <c r="G413" s="11" t="s">
        <v>1199</v>
      </c>
      <c r="H413" s="9" t="s">
        <v>1200</v>
      </c>
      <c r="I413" s="10">
        <v>45595</v>
      </c>
    </row>
    <row r="414" spans="1:9" x14ac:dyDescent="0.15">
      <c r="A414" s="9">
        <v>413</v>
      </c>
      <c r="B414" s="9" t="s">
        <v>9</v>
      </c>
      <c r="C414" s="9">
        <v>1923</v>
      </c>
      <c r="D414" s="10">
        <v>45701</v>
      </c>
      <c r="E414" s="13" t="str">
        <f>+HYPERLINK("http://trademark.i-assist.jp/data/china/image_1923th/81671002.pdf","81671002")</f>
        <v>81671002</v>
      </c>
      <c r="F414" s="9" t="s">
        <v>1201</v>
      </c>
      <c r="G414" s="11" t="s">
        <v>1202</v>
      </c>
      <c r="H414" s="9" t="s">
        <v>1203</v>
      </c>
      <c r="I414" s="10">
        <v>45595</v>
      </c>
    </row>
    <row r="415" spans="1:9" x14ac:dyDescent="0.15">
      <c r="A415" s="9">
        <v>414</v>
      </c>
      <c r="B415" s="9" t="s">
        <v>9</v>
      </c>
      <c r="C415" s="9">
        <v>1923</v>
      </c>
      <c r="D415" s="10">
        <v>45701</v>
      </c>
      <c r="E415" s="13" t="str">
        <f>+HYPERLINK("http://trademark.i-assist.jp/data/china/image_1923th/81672579.pdf","81672579")</f>
        <v>81672579</v>
      </c>
      <c r="F415" s="9" t="s">
        <v>1204</v>
      </c>
      <c r="G415" s="9" t="s">
        <v>1205</v>
      </c>
      <c r="H415" s="9" t="s">
        <v>1206</v>
      </c>
      <c r="I415" s="10">
        <v>45595</v>
      </c>
    </row>
    <row r="416" spans="1:9" x14ac:dyDescent="0.15">
      <c r="A416" s="9">
        <v>415</v>
      </c>
      <c r="B416" s="9" t="s">
        <v>9</v>
      </c>
      <c r="C416" s="9">
        <v>1923</v>
      </c>
      <c r="D416" s="10">
        <v>45701</v>
      </c>
      <c r="E416" s="13" t="str">
        <f>+HYPERLINK("http://trademark.i-assist.jp/data/china/image_1923th/81673469.pdf","81673469")</f>
        <v>81673469</v>
      </c>
      <c r="F416" s="9" t="s">
        <v>1207</v>
      </c>
      <c r="G416" s="11" t="s">
        <v>1208</v>
      </c>
      <c r="H416" s="9" t="s">
        <v>1209</v>
      </c>
      <c r="I416" s="10">
        <v>45595</v>
      </c>
    </row>
    <row r="417" spans="1:9" x14ac:dyDescent="0.15">
      <c r="A417" s="9">
        <v>416</v>
      </c>
      <c r="B417" s="9" t="s">
        <v>9</v>
      </c>
      <c r="C417" s="9">
        <v>1923</v>
      </c>
      <c r="D417" s="10">
        <v>45701</v>
      </c>
      <c r="E417" s="13" t="str">
        <f>+HYPERLINK("http://trademark.i-assist.jp/data/china/image_1923th/81674601.pdf","81674601")</f>
        <v>81674601</v>
      </c>
      <c r="F417" s="11" t="s">
        <v>126</v>
      </c>
      <c r="G417" s="9" t="s">
        <v>1210</v>
      </c>
      <c r="H417" s="9" t="s">
        <v>1211</v>
      </c>
      <c r="I417" s="10">
        <v>45595</v>
      </c>
    </row>
    <row r="418" spans="1:9" x14ac:dyDescent="0.15">
      <c r="A418" s="9">
        <v>417</v>
      </c>
      <c r="B418" s="9" t="s">
        <v>9</v>
      </c>
      <c r="C418" s="9">
        <v>1923</v>
      </c>
      <c r="D418" s="10">
        <v>45701</v>
      </c>
      <c r="E418" s="13" t="str">
        <f>+HYPERLINK("http://trademark.i-assist.jp/data/china/image_1923th/81674746.pdf","81674746")</f>
        <v>81674746</v>
      </c>
      <c r="F418" s="9" t="s">
        <v>1212</v>
      </c>
      <c r="G418" s="9" t="s">
        <v>1213</v>
      </c>
      <c r="H418" s="9" t="s">
        <v>1214</v>
      </c>
      <c r="I418" s="10">
        <v>45595</v>
      </c>
    </row>
    <row r="419" spans="1:9" x14ac:dyDescent="0.15">
      <c r="A419" s="9">
        <v>418</v>
      </c>
      <c r="B419" s="9" t="s">
        <v>9</v>
      </c>
      <c r="C419" s="9">
        <v>1923</v>
      </c>
      <c r="D419" s="10">
        <v>45701</v>
      </c>
      <c r="E419" s="13" t="str">
        <f>+HYPERLINK("http://trademark.i-assist.jp/data/china/image_1923th/81675022.pdf","81675022")</f>
        <v>81675022</v>
      </c>
      <c r="F419" s="9" t="s">
        <v>1215</v>
      </c>
      <c r="G419" s="11" t="s">
        <v>1216</v>
      </c>
      <c r="H419" s="9" t="s">
        <v>1217</v>
      </c>
      <c r="I419" s="10">
        <v>45595</v>
      </c>
    </row>
    <row r="420" spans="1:9" x14ac:dyDescent="0.15">
      <c r="A420" s="9">
        <v>419</v>
      </c>
      <c r="B420" s="9" t="s">
        <v>9</v>
      </c>
      <c r="C420" s="9">
        <v>1923</v>
      </c>
      <c r="D420" s="10">
        <v>45701</v>
      </c>
      <c r="E420" s="13" t="str">
        <f>+HYPERLINK("http://trademark.i-assist.jp/data/china/image_1923th/81675803.pdf","81675803")</f>
        <v>81675803</v>
      </c>
      <c r="F420" s="11" t="s">
        <v>1218</v>
      </c>
      <c r="G420" s="9" t="s">
        <v>1219</v>
      </c>
      <c r="H420" s="9" t="s">
        <v>1220</v>
      </c>
      <c r="I420" s="10">
        <v>45595</v>
      </c>
    </row>
    <row r="421" spans="1:9" x14ac:dyDescent="0.15">
      <c r="A421" s="9">
        <v>420</v>
      </c>
      <c r="B421" s="9" t="s">
        <v>9</v>
      </c>
      <c r="C421" s="9">
        <v>1923</v>
      </c>
      <c r="D421" s="10">
        <v>45701</v>
      </c>
      <c r="E421" s="13" t="str">
        <f>+HYPERLINK("http://trademark.i-assist.jp/data/china/image_1923th/81675836.pdf","81675836")</f>
        <v>81675836</v>
      </c>
      <c r="F421" s="9" t="s">
        <v>1221</v>
      </c>
      <c r="G421" s="9" t="s">
        <v>1222</v>
      </c>
      <c r="H421" s="9" t="s">
        <v>1223</v>
      </c>
      <c r="I421" s="10">
        <v>45595</v>
      </c>
    </row>
    <row r="422" spans="1:9" x14ac:dyDescent="0.15">
      <c r="A422" s="9">
        <v>421</v>
      </c>
      <c r="B422" s="9" t="s">
        <v>9</v>
      </c>
      <c r="C422" s="9">
        <v>1923</v>
      </c>
      <c r="D422" s="10">
        <v>45701</v>
      </c>
      <c r="E422" s="13" t="str">
        <f>+HYPERLINK("http://trademark.i-assist.jp/data/china/image_1923th/81676406.pdf","81676406")</f>
        <v>81676406</v>
      </c>
      <c r="F422" s="11" t="s">
        <v>1187</v>
      </c>
      <c r="G422" s="9" t="s">
        <v>274</v>
      </c>
      <c r="H422" s="9" t="s">
        <v>1224</v>
      </c>
      <c r="I422" s="10">
        <v>45595</v>
      </c>
    </row>
    <row r="423" spans="1:9" x14ac:dyDescent="0.15">
      <c r="A423" s="9">
        <v>422</v>
      </c>
      <c r="B423" s="9" t="s">
        <v>9</v>
      </c>
      <c r="C423" s="9">
        <v>1923</v>
      </c>
      <c r="D423" s="10">
        <v>45701</v>
      </c>
      <c r="E423" s="13" t="str">
        <f>+HYPERLINK("http://trademark.i-assist.jp/data/china/image_1923th/81676815.pdf","81676815")</f>
        <v>81676815</v>
      </c>
      <c r="F423" s="9" t="s">
        <v>1185</v>
      </c>
      <c r="G423" s="9" t="s">
        <v>274</v>
      </c>
      <c r="H423" s="9" t="s">
        <v>1225</v>
      </c>
      <c r="I423" s="10">
        <v>45595</v>
      </c>
    </row>
    <row r="424" spans="1:9" x14ac:dyDescent="0.15">
      <c r="A424" s="9">
        <v>423</v>
      </c>
      <c r="B424" s="9" t="s">
        <v>9</v>
      </c>
      <c r="C424" s="9">
        <v>1923</v>
      </c>
      <c r="D424" s="10">
        <v>45701</v>
      </c>
      <c r="E424" s="13" t="str">
        <f>+HYPERLINK("http://trademark.i-assist.jp/data/china/image_1923th/81677377.pdf","81677377")</f>
        <v>81677377</v>
      </c>
      <c r="F424" s="9" t="s">
        <v>1226</v>
      </c>
      <c r="G424" s="11" t="s">
        <v>1227</v>
      </c>
      <c r="H424" s="9" t="s">
        <v>1228</v>
      </c>
      <c r="I424" s="10">
        <v>45595</v>
      </c>
    </row>
    <row r="425" spans="1:9" x14ac:dyDescent="0.15">
      <c r="A425" s="9">
        <v>424</v>
      </c>
      <c r="B425" s="9" t="s">
        <v>9</v>
      </c>
      <c r="C425" s="9">
        <v>1923</v>
      </c>
      <c r="D425" s="10">
        <v>45701</v>
      </c>
      <c r="E425" s="13" t="str">
        <f>+HYPERLINK("http://trademark.i-assist.jp/data/china/image_1923th/81678060.pdf","81678060")</f>
        <v>81678060</v>
      </c>
      <c r="F425" s="9" t="s">
        <v>1229</v>
      </c>
      <c r="G425" s="11" t="s">
        <v>1230</v>
      </c>
      <c r="H425" s="9" t="s">
        <v>1231</v>
      </c>
      <c r="I425" s="10">
        <v>45595</v>
      </c>
    </row>
    <row r="426" spans="1:9" x14ac:dyDescent="0.15">
      <c r="A426" s="9">
        <v>425</v>
      </c>
      <c r="B426" s="9" t="s">
        <v>9</v>
      </c>
      <c r="C426" s="9">
        <v>1923</v>
      </c>
      <c r="D426" s="10">
        <v>45701</v>
      </c>
      <c r="E426" s="13" t="str">
        <f>+HYPERLINK("http://trademark.i-assist.jp/data/china/image_1923th/81678325.pdf","81678325")</f>
        <v>81678325</v>
      </c>
      <c r="F426" s="11" t="s">
        <v>1232</v>
      </c>
      <c r="G426" s="9" t="s">
        <v>1233</v>
      </c>
      <c r="H426" s="9" t="s">
        <v>1234</v>
      </c>
      <c r="I426" s="10">
        <v>45595</v>
      </c>
    </row>
    <row r="427" spans="1:9" x14ac:dyDescent="0.15">
      <c r="A427" s="9">
        <v>426</v>
      </c>
      <c r="B427" s="9" t="s">
        <v>9</v>
      </c>
      <c r="C427" s="9">
        <v>1923</v>
      </c>
      <c r="D427" s="10">
        <v>45701</v>
      </c>
      <c r="E427" s="13" t="str">
        <f>+HYPERLINK("http://trademark.i-assist.jp/data/china/image_1923th/81678427.pdf","81678427")</f>
        <v>81678427</v>
      </c>
      <c r="F427" s="9" t="s">
        <v>1235</v>
      </c>
      <c r="G427" s="9" t="s">
        <v>1236</v>
      </c>
      <c r="H427" s="9" t="s">
        <v>1237</v>
      </c>
      <c r="I427" s="10">
        <v>45595</v>
      </c>
    </row>
    <row r="428" spans="1:9" x14ac:dyDescent="0.15">
      <c r="A428" s="9">
        <v>427</v>
      </c>
      <c r="B428" s="9" t="s">
        <v>9</v>
      </c>
      <c r="C428" s="9">
        <v>1923</v>
      </c>
      <c r="D428" s="10">
        <v>45701</v>
      </c>
      <c r="E428" s="13" t="str">
        <f>+HYPERLINK("http://trademark.i-assist.jp/data/china/image_1923th/81679546.pdf","81679546")</f>
        <v>81679546</v>
      </c>
      <c r="F428" s="9" t="s">
        <v>1238</v>
      </c>
      <c r="G428" s="11" t="s">
        <v>1239</v>
      </c>
      <c r="H428" s="9" t="s">
        <v>1240</v>
      </c>
      <c r="I428" s="10">
        <v>45595</v>
      </c>
    </row>
    <row r="429" spans="1:9" x14ac:dyDescent="0.15">
      <c r="A429" s="9">
        <v>428</v>
      </c>
      <c r="B429" s="9" t="s">
        <v>9</v>
      </c>
      <c r="C429" s="9">
        <v>1923</v>
      </c>
      <c r="D429" s="10">
        <v>45701</v>
      </c>
      <c r="E429" s="13" t="str">
        <f>+HYPERLINK("http://trademark.i-assist.jp/data/china/image_1923th/81679611.pdf","81679611")</f>
        <v>81679611</v>
      </c>
      <c r="F429" s="9" t="s">
        <v>1241</v>
      </c>
      <c r="G429" s="9" t="s">
        <v>1242</v>
      </c>
      <c r="H429" s="9" t="s">
        <v>1243</v>
      </c>
      <c r="I429" s="10">
        <v>45595</v>
      </c>
    </row>
    <row r="430" spans="1:9" x14ac:dyDescent="0.15">
      <c r="A430" s="9">
        <v>429</v>
      </c>
      <c r="B430" s="9" t="s">
        <v>9</v>
      </c>
      <c r="C430" s="9">
        <v>1923</v>
      </c>
      <c r="D430" s="10">
        <v>45701</v>
      </c>
      <c r="E430" s="13" t="str">
        <f>+HYPERLINK("http://trademark.i-assist.jp/data/china/image_1923th/81679925.pdf","81679925")</f>
        <v>81679925</v>
      </c>
      <c r="F430" s="9" t="s">
        <v>1244</v>
      </c>
      <c r="G430" s="11" t="s">
        <v>1245</v>
      </c>
      <c r="H430" s="9" t="s">
        <v>1246</v>
      </c>
      <c r="I430" s="10">
        <v>45595</v>
      </c>
    </row>
    <row r="431" spans="1:9" x14ac:dyDescent="0.15">
      <c r="A431" s="9">
        <v>430</v>
      </c>
      <c r="B431" s="9" t="s">
        <v>9</v>
      </c>
      <c r="C431" s="9">
        <v>1923</v>
      </c>
      <c r="D431" s="10">
        <v>45701</v>
      </c>
      <c r="E431" s="13" t="str">
        <f>+HYPERLINK("http://trademark.i-assist.jp/data/china/image_1923th/81681301.pdf","81681301")</f>
        <v>81681301</v>
      </c>
      <c r="F431" s="9" t="s">
        <v>1247</v>
      </c>
      <c r="G431" s="9" t="s">
        <v>1248</v>
      </c>
      <c r="H431" s="9" t="s">
        <v>1249</v>
      </c>
      <c r="I431" s="10">
        <v>45595</v>
      </c>
    </row>
    <row r="432" spans="1:9" x14ac:dyDescent="0.15">
      <c r="A432" s="9">
        <v>431</v>
      </c>
      <c r="B432" s="9" t="s">
        <v>9</v>
      </c>
      <c r="C432" s="9">
        <v>1923</v>
      </c>
      <c r="D432" s="10">
        <v>45701</v>
      </c>
      <c r="E432" s="13" t="str">
        <f>+HYPERLINK("http://trademark.i-assist.jp/data/china/image_1923th/81681476.pdf","81681476")</f>
        <v>81681476</v>
      </c>
      <c r="F432" s="9" t="s">
        <v>1250</v>
      </c>
      <c r="G432" s="9" t="s">
        <v>1251</v>
      </c>
      <c r="H432" s="9" t="s">
        <v>1252</v>
      </c>
      <c r="I432" s="10">
        <v>45595</v>
      </c>
    </row>
    <row r="433" spans="1:9" x14ac:dyDescent="0.15">
      <c r="A433" s="9">
        <v>432</v>
      </c>
      <c r="B433" s="9" t="s">
        <v>9</v>
      </c>
      <c r="C433" s="9">
        <v>1923</v>
      </c>
      <c r="D433" s="10">
        <v>45701</v>
      </c>
      <c r="E433" s="13" t="str">
        <f>+HYPERLINK("http://trademark.i-assist.jp/data/china/image_1923th/81681616.pdf","81681616")</f>
        <v>81681616</v>
      </c>
      <c r="F433" s="9" t="s">
        <v>1253</v>
      </c>
      <c r="G433" s="9" t="s">
        <v>1254</v>
      </c>
      <c r="H433" s="9" t="s">
        <v>1255</v>
      </c>
      <c r="I433" s="10">
        <v>45595</v>
      </c>
    </row>
    <row r="434" spans="1:9" x14ac:dyDescent="0.15">
      <c r="A434" s="9">
        <v>433</v>
      </c>
      <c r="B434" s="9" t="s">
        <v>9</v>
      </c>
      <c r="C434" s="9">
        <v>1923</v>
      </c>
      <c r="D434" s="10">
        <v>45701</v>
      </c>
      <c r="E434" s="13" t="str">
        <f>+HYPERLINK("http://trademark.i-assist.jp/data/china/image_1923th/81681686.pdf","81681686")</f>
        <v>81681686</v>
      </c>
      <c r="F434" s="11" t="s">
        <v>126</v>
      </c>
      <c r="G434" s="9" t="s">
        <v>1256</v>
      </c>
      <c r="H434" s="9" t="s">
        <v>1257</v>
      </c>
      <c r="I434" s="10">
        <v>45595</v>
      </c>
    </row>
    <row r="435" spans="1:9" x14ac:dyDescent="0.15">
      <c r="A435" s="9">
        <v>434</v>
      </c>
      <c r="B435" s="9" t="s">
        <v>9</v>
      </c>
      <c r="C435" s="9">
        <v>1923</v>
      </c>
      <c r="D435" s="10">
        <v>45701</v>
      </c>
      <c r="E435" s="13" t="str">
        <f>+HYPERLINK("http://trademark.i-assist.jp/data/china/image_1923th/81681770.pdf","81681770")</f>
        <v>81681770</v>
      </c>
      <c r="F435" s="9" t="s">
        <v>1258</v>
      </c>
      <c r="G435" s="9" t="s">
        <v>1259</v>
      </c>
      <c r="H435" s="9" t="s">
        <v>1260</v>
      </c>
      <c r="I435" s="10">
        <v>45595</v>
      </c>
    </row>
    <row r="436" spans="1:9" x14ac:dyDescent="0.15">
      <c r="A436" s="9">
        <v>435</v>
      </c>
      <c r="B436" s="9" t="s">
        <v>9</v>
      </c>
      <c r="C436" s="9">
        <v>1923</v>
      </c>
      <c r="D436" s="10">
        <v>45701</v>
      </c>
      <c r="E436" s="13" t="str">
        <f>+HYPERLINK("http://trademark.i-assist.jp/data/china/image_1923th/81681776.pdf","81681776")</f>
        <v>81681776</v>
      </c>
      <c r="F436" s="9" t="s">
        <v>1261</v>
      </c>
      <c r="G436" s="9" t="s">
        <v>1146</v>
      </c>
      <c r="H436" s="9" t="s">
        <v>1262</v>
      </c>
      <c r="I436" s="10">
        <v>45595</v>
      </c>
    </row>
    <row r="437" spans="1:9" x14ac:dyDescent="0.15">
      <c r="A437" s="9">
        <v>436</v>
      </c>
      <c r="B437" s="9" t="s">
        <v>9</v>
      </c>
      <c r="C437" s="9">
        <v>1923</v>
      </c>
      <c r="D437" s="10">
        <v>45701</v>
      </c>
      <c r="E437" s="13" t="str">
        <f>+HYPERLINK("http://trademark.i-assist.jp/data/china/image_1923th/81682007.pdf","81682007")</f>
        <v>81682007</v>
      </c>
      <c r="F437" s="11" t="s">
        <v>1263</v>
      </c>
      <c r="G437" s="9" t="s">
        <v>1264</v>
      </c>
      <c r="H437" s="9" t="s">
        <v>1265</v>
      </c>
      <c r="I437" s="10">
        <v>45595</v>
      </c>
    </row>
    <row r="438" spans="1:9" x14ac:dyDescent="0.15">
      <c r="A438" s="9">
        <v>437</v>
      </c>
      <c r="B438" s="9" t="s">
        <v>9</v>
      </c>
      <c r="C438" s="9">
        <v>1923</v>
      </c>
      <c r="D438" s="10">
        <v>45701</v>
      </c>
      <c r="E438" s="13" t="str">
        <f>+HYPERLINK("http://trademark.i-assist.jp/data/china/image_1923th/81682578.pdf","81682578")</f>
        <v>81682578</v>
      </c>
      <c r="F438" s="9" t="s">
        <v>1266</v>
      </c>
      <c r="G438" s="11" t="s">
        <v>1199</v>
      </c>
      <c r="H438" s="9" t="s">
        <v>1267</v>
      </c>
      <c r="I438" s="10">
        <v>45595</v>
      </c>
    </row>
    <row r="439" spans="1:9" x14ac:dyDescent="0.15">
      <c r="A439" s="9">
        <v>438</v>
      </c>
      <c r="B439" s="9" t="s">
        <v>9</v>
      </c>
      <c r="C439" s="9">
        <v>1923</v>
      </c>
      <c r="D439" s="10">
        <v>45701</v>
      </c>
      <c r="E439" s="13" t="str">
        <f>+HYPERLINK("http://trademark.i-assist.jp/data/china/image_1923th/81682909.pdf","81682909")</f>
        <v>81682909</v>
      </c>
      <c r="F439" s="9" t="s">
        <v>1268</v>
      </c>
      <c r="G439" s="9" t="s">
        <v>1269</v>
      </c>
      <c r="H439" s="11" t="s">
        <v>1270</v>
      </c>
      <c r="I439" s="10">
        <v>45595</v>
      </c>
    </row>
    <row r="440" spans="1:9" x14ac:dyDescent="0.15">
      <c r="A440" s="9">
        <v>439</v>
      </c>
      <c r="B440" s="9" t="s">
        <v>9</v>
      </c>
      <c r="C440" s="9">
        <v>1923</v>
      </c>
      <c r="D440" s="10">
        <v>45701</v>
      </c>
      <c r="E440" s="13" t="str">
        <f>+HYPERLINK("http://trademark.i-assist.jp/data/china/image_1923th/81682994.pdf","81682994")</f>
        <v>81682994</v>
      </c>
      <c r="F440" s="11" t="s">
        <v>1271</v>
      </c>
      <c r="G440" s="11" t="s">
        <v>1272</v>
      </c>
      <c r="H440" s="9" t="s">
        <v>1273</v>
      </c>
      <c r="I440" s="10">
        <v>45595</v>
      </c>
    </row>
    <row r="441" spans="1:9" x14ac:dyDescent="0.15">
      <c r="A441" s="9">
        <v>440</v>
      </c>
      <c r="B441" s="9" t="s">
        <v>9</v>
      </c>
      <c r="C441" s="9">
        <v>1923</v>
      </c>
      <c r="D441" s="10">
        <v>45701</v>
      </c>
      <c r="E441" s="13" t="str">
        <f>+HYPERLINK("http://trademark.i-assist.jp/data/china/image_1923th/81683015.pdf","81683015")</f>
        <v>81683015</v>
      </c>
      <c r="F441" s="9" t="s">
        <v>1274</v>
      </c>
      <c r="G441" s="11" t="s">
        <v>1272</v>
      </c>
      <c r="H441" s="9" t="s">
        <v>1275</v>
      </c>
      <c r="I441" s="10">
        <v>45595</v>
      </c>
    </row>
    <row r="442" spans="1:9" x14ac:dyDescent="0.15">
      <c r="A442" s="9">
        <v>441</v>
      </c>
      <c r="B442" s="9" t="s">
        <v>9</v>
      </c>
      <c r="C442" s="9">
        <v>1923</v>
      </c>
      <c r="D442" s="10">
        <v>45701</v>
      </c>
      <c r="E442" s="13" t="str">
        <f>+HYPERLINK("http://trademark.i-assist.jp/data/china/image_1923th/81683928.pdf","81683928")</f>
        <v>81683928</v>
      </c>
      <c r="F442" s="11" t="s">
        <v>126</v>
      </c>
      <c r="G442" s="9" t="s">
        <v>1276</v>
      </c>
      <c r="H442" s="9" t="s">
        <v>1277</v>
      </c>
      <c r="I442" s="10">
        <v>45595</v>
      </c>
    </row>
    <row r="443" spans="1:9" x14ac:dyDescent="0.15">
      <c r="A443" s="9">
        <v>442</v>
      </c>
      <c r="B443" s="9" t="s">
        <v>9</v>
      </c>
      <c r="C443" s="9">
        <v>1923</v>
      </c>
      <c r="D443" s="10">
        <v>45701</v>
      </c>
      <c r="E443" s="13" t="str">
        <f>+HYPERLINK("http://trademark.i-assist.jp/data/china/image_1923th/81684380.pdf","81684380")</f>
        <v>81684380</v>
      </c>
      <c r="F443" s="9" t="s">
        <v>1278</v>
      </c>
      <c r="G443" s="9" t="s">
        <v>1279</v>
      </c>
      <c r="H443" s="9" t="s">
        <v>1280</v>
      </c>
      <c r="I443" s="10">
        <v>45595</v>
      </c>
    </row>
    <row r="444" spans="1:9" x14ac:dyDescent="0.15">
      <c r="A444" s="9">
        <v>443</v>
      </c>
      <c r="B444" s="9" t="s">
        <v>9</v>
      </c>
      <c r="C444" s="9">
        <v>1923</v>
      </c>
      <c r="D444" s="10">
        <v>45701</v>
      </c>
      <c r="E444" s="13" t="str">
        <f>+HYPERLINK("http://trademark.i-assist.jp/data/china/image_1923th/81684390.pdf","81684390")</f>
        <v>81684390</v>
      </c>
      <c r="F444" s="9" t="s">
        <v>1159</v>
      </c>
      <c r="G444" s="9" t="s">
        <v>274</v>
      </c>
      <c r="H444" s="9" t="s">
        <v>1281</v>
      </c>
      <c r="I444" s="10">
        <v>45595</v>
      </c>
    </row>
    <row r="445" spans="1:9" x14ac:dyDescent="0.15">
      <c r="A445" s="9">
        <v>444</v>
      </c>
      <c r="B445" s="9" t="s">
        <v>9</v>
      </c>
      <c r="C445" s="9">
        <v>1923</v>
      </c>
      <c r="D445" s="10">
        <v>45701</v>
      </c>
      <c r="E445" s="13" t="str">
        <f>+HYPERLINK("http://trademark.i-assist.jp/data/china/image_1923th/81684467.pdf","81684467")</f>
        <v>81684467</v>
      </c>
      <c r="F445" s="9" t="s">
        <v>1282</v>
      </c>
      <c r="G445" s="9" t="s">
        <v>1283</v>
      </c>
      <c r="H445" s="9" t="s">
        <v>1284</v>
      </c>
      <c r="I445" s="10">
        <v>45595</v>
      </c>
    </row>
    <row r="446" spans="1:9" x14ac:dyDescent="0.15">
      <c r="A446" s="9">
        <v>445</v>
      </c>
      <c r="B446" s="9" t="s">
        <v>9</v>
      </c>
      <c r="C446" s="9">
        <v>1923</v>
      </c>
      <c r="D446" s="10">
        <v>45701</v>
      </c>
      <c r="E446" s="13" t="str">
        <f>+HYPERLINK("http://trademark.i-assist.jp/data/china/image_1923th/81684871.pdf","81684871")</f>
        <v>81684871</v>
      </c>
      <c r="F446" s="9" t="s">
        <v>1285</v>
      </c>
      <c r="G446" s="11" t="s">
        <v>1286</v>
      </c>
      <c r="H446" s="9" t="s">
        <v>1287</v>
      </c>
      <c r="I446" s="10">
        <v>45595</v>
      </c>
    </row>
    <row r="447" spans="1:9" x14ac:dyDescent="0.15">
      <c r="A447" s="9">
        <v>446</v>
      </c>
      <c r="B447" s="9" t="s">
        <v>9</v>
      </c>
      <c r="C447" s="9">
        <v>1923</v>
      </c>
      <c r="D447" s="10">
        <v>45701</v>
      </c>
      <c r="E447" s="13" t="str">
        <f>+HYPERLINK("http://trademark.i-assist.jp/data/china/image_1923th/81685067.pdf","81685067")</f>
        <v>81685067</v>
      </c>
      <c r="F447" s="9" t="s">
        <v>1154</v>
      </c>
      <c r="G447" s="9" t="s">
        <v>274</v>
      </c>
      <c r="H447" s="9" t="s">
        <v>1288</v>
      </c>
      <c r="I447" s="10">
        <v>45595</v>
      </c>
    </row>
    <row r="448" spans="1:9" x14ac:dyDescent="0.15">
      <c r="A448" s="9">
        <v>447</v>
      </c>
      <c r="B448" s="9" t="s">
        <v>9</v>
      </c>
      <c r="C448" s="9">
        <v>1923</v>
      </c>
      <c r="D448" s="10">
        <v>45701</v>
      </c>
      <c r="E448" s="13" t="str">
        <f>+HYPERLINK("http://trademark.i-assist.jp/data/china/image_1923th/81686658.pdf","81686658")</f>
        <v>81686658</v>
      </c>
      <c r="F448" s="9" t="s">
        <v>1289</v>
      </c>
      <c r="G448" s="9" t="s">
        <v>1290</v>
      </c>
      <c r="H448" s="11" t="s">
        <v>1291</v>
      </c>
      <c r="I448" s="10">
        <v>45595</v>
      </c>
    </row>
    <row r="449" spans="1:9" x14ac:dyDescent="0.15">
      <c r="A449" s="9">
        <v>448</v>
      </c>
      <c r="B449" s="9" t="s">
        <v>9</v>
      </c>
      <c r="C449" s="9">
        <v>1923</v>
      </c>
      <c r="D449" s="10">
        <v>45701</v>
      </c>
      <c r="E449" s="13" t="str">
        <f>+HYPERLINK("http://trademark.i-assist.jp/data/china/image_1923th/81686700.pdf","81686700")</f>
        <v>81686700</v>
      </c>
      <c r="F449" s="9" t="s">
        <v>1292</v>
      </c>
      <c r="G449" s="9" t="s">
        <v>1293</v>
      </c>
      <c r="H449" s="9" t="s">
        <v>1294</v>
      </c>
      <c r="I449" s="10">
        <v>45595</v>
      </c>
    </row>
    <row r="450" spans="1:9" x14ac:dyDescent="0.15">
      <c r="A450" s="9">
        <v>449</v>
      </c>
      <c r="B450" s="9" t="s">
        <v>9</v>
      </c>
      <c r="C450" s="9">
        <v>1923</v>
      </c>
      <c r="D450" s="10">
        <v>45701</v>
      </c>
      <c r="E450" s="13" t="str">
        <f>+HYPERLINK("http://trademark.i-assist.jp/data/china/image_1923th/81687408.pdf","81687408")</f>
        <v>81687408</v>
      </c>
      <c r="F450" s="9" t="s">
        <v>1295</v>
      </c>
      <c r="G450" s="11" t="s">
        <v>1296</v>
      </c>
      <c r="H450" s="11" t="s">
        <v>1297</v>
      </c>
      <c r="I450" s="10">
        <v>45595</v>
      </c>
    </row>
    <row r="451" spans="1:9" x14ac:dyDescent="0.15">
      <c r="A451" s="9">
        <v>450</v>
      </c>
      <c r="B451" s="9" t="s">
        <v>9</v>
      </c>
      <c r="C451" s="9">
        <v>1923</v>
      </c>
      <c r="D451" s="10">
        <v>45701</v>
      </c>
      <c r="E451" s="13" t="str">
        <f>+HYPERLINK("http://trademark.i-assist.jp/data/china/image_1923th/81688370.pdf","81688370")</f>
        <v>81688370</v>
      </c>
      <c r="F451" s="9" t="s">
        <v>1298</v>
      </c>
      <c r="G451" s="11" t="s">
        <v>1299</v>
      </c>
      <c r="H451" s="9" t="s">
        <v>1300</v>
      </c>
      <c r="I451" s="10">
        <v>45596</v>
      </c>
    </row>
    <row r="452" spans="1:9" x14ac:dyDescent="0.15">
      <c r="A452" s="9">
        <v>451</v>
      </c>
      <c r="B452" s="9" t="s">
        <v>9</v>
      </c>
      <c r="C452" s="9">
        <v>1923</v>
      </c>
      <c r="D452" s="10">
        <v>45701</v>
      </c>
      <c r="E452" s="13" t="str">
        <f>+HYPERLINK("http://trademark.i-assist.jp/data/china/image_1923th/81688820.pdf","81688820")</f>
        <v>81688820</v>
      </c>
      <c r="F452" s="11" t="s">
        <v>1301</v>
      </c>
      <c r="G452" s="9" t="s">
        <v>1302</v>
      </c>
      <c r="H452" s="11" t="s">
        <v>1303</v>
      </c>
      <c r="I452" s="10">
        <v>45596</v>
      </c>
    </row>
    <row r="453" spans="1:9" x14ac:dyDescent="0.15">
      <c r="A453" s="9">
        <v>452</v>
      </c>
      <c r="B453" s="9" t="s">
        <v>9</v>
      </c>
      <c r="C453" s="9">
        <v>1923</v>
      </c>
      <c r="D453" s="10">
        <v>45701</v>
      </c>
      <c r="E453" s="13" t="str">
        <f>+HYPERLINK("http://trademark.i-assist.jp/data/china/image_1923th/81689860.pdf","81689860")</f>
        <v>81689860</v>
      </c>
      <c r="F453" s="9" t="s">
        <v>1304</v>
      </c>
      <c r="G453" s="9" t="s">
        <v>1305</v>
      </c>
      <c r="H453" s="9" t="s">
        <v>1306</v>
      </c>
      <c r="I453" s="10">
        <v>45596</v>
      </c>
    </row>
    <row r="454" spans="1:9" x14ac:dyDescent="0.15">
      <c r="A454" s="9">
        <v>453</v>
      </c>
      <c r="B454" s="9" t="s">
        <v>9</v>
      </c>
      <c r="C454" s="9">
        <v>1923</v>
      </c>
      <c r="D454" s="10">
        <v>45701</v>
      </c>
      <c r="E454" s="13" t="str">
        <f>+HYPERLINK("http://trademark.i-assist.jp/data/china/image_1923th/81690486.pdf","81690486")</f>
        <v>81690486</v>
      </c>
      <c r="F454" s="9" t="s">
        <v>1307</v>
      </c>
      <c r="G454" s="9" t="s">
        <v>1308</v>
      </c>
      <c r="H454" s="11" t="s">
        <v>1309</v>
      </c>
      <c r="I454" s="10">
        <v>45596</v>
      </c>
    </row>
    <row r="455" spans="1:9" x14ac:dyDescent="0.15">
      <c r="A455" s="9">
        <v>454</v>
      </c>
      <c r="B455" s="9" t="s">
        <v>9</v>
      </c>
      <c r="C455" s="9">
        <v>1923</v>
      </c>
      <c r="D455" s="10">
        <v>45701</v>
      </c>
      <c r="E455" s="13" t="str">
        <f>+HYPERLINK("http://trademark.i-assist.jp/data/china/image_1923th/81690624.pdf","81690624")</f>
        <v>81690624</v>
      </c>
      <c r="F455" s="9" t="s">
        <v>1310</v>
      </c>
      <c r="G455" s="9" t="s">
        <v>1311</v>
      </c>
      <c r="H455" s="9" t="s">
        <v>1312</v>
      </c>
      <c r="I455" s="10">
        <v>45596</v>
      </c>
    </row>
    <row r="456" spans="1:9" x14ac:dyDescent="0.15">
      <c r="A456" s="9">
        <v>455</v>
      </c>
      <c r="B456" s="9" t="s">
        <v>9</v>
      </c>
      <c r="C456" s="9">
        <v>1923</v>
      </c>
      <c r="D456" s="10">
        <v>45701</v>
      </c>
      <c r="E456" s="13" t="str">
        <f>+HYPERLINK("http://trademark.i-assist.jp/data/china/image_1923th/81690934.pdf","81690934")</f>
        <v>81690934</v>
      </c>
      <c r="F456" s="9" t="s">
        <v>1313</v>
      </c>
      <c r="G456" s="11" t="s">
        <v>1314</v>
      </c>
      <c r="H456" s="9" t="s">
        <v>1315</v>
      </c>
      <c r="I456" s="10">
        <v>45596</v>
      </c>
    </row>
    <row r="457" spans="1:9" x14ac:dyDescent="0.15">
      <c r="A457" s="9">
        <v>456</v>
      </c>
      <c r="B457" s="9" t="s">
        <v>9</v>
      </c>
      <c r="C457" s="9">
        <v>1923</v>
      </c>
      <c r="D457" s="10">
        <v>45701</v>
      </c>
      <c r="E457" s="13" t="str">
        <f>+HYPERLINK("http://trademark.i-assist.jp/data/china/image_1923th/81691468.pdf","81691468")</f>
        <v>81691468</v>
      </c>
      <c r="F457" s="9" t="s">
        <v>1316</v>
      </c>
      <c r="G457" s="9" t="s">
        <v>1302</v>
      </c>
      <c r="H457" s="9" t="s">
        <v>1317</v>
      </c>
      <c r="I457" s="10">
        <v>45596</v>
      </c>
    </row>
    <row r="458" spans="1:9" x14ac:dyDescent="0.15">
      <c r="A458" s="9">
        <v>457</v>
      </c>
      <c r="B458" s="9" t="s">
        <v>9</v>
      </c>
      <c r="C458" s="9">
        <v>1923</v>
      </c>
      <c r="D458" s="10">
        <v>45701</v>
      </c>
      <c r="E458" s="13" t="str">
        <f>+HYPERLINK("http://trademark.i-assist.jp/data/china/image_1923th/81691566.pdf","81691566")</f>
        <v>81691566</v>
      </c>
      <c r="F458" s="9" t="s">
        <v>1318</v>
      </c>
      <c r="G458" s="11" t="s">
        <v>1319</v>
      </c>
      <c r="H458" s="9" t="s">
        <v>1320</v>
      </c>
      <c r="I458" s="10">
        <v>45596</v>
      </c>
    </row>
    <row r="459" spans="1:9" x14ac:dyDescent="0.15">
      <c r="A459" s="9">
        <v>458</v>
      </c>
      <c r="B459" s="9" t="s">
        <v>9</v>
      </c>
      <c r="C459" s="9">
        <v>1923</v>
      </c>
      <c r="D459" s="10">
        <v>45701</v>
      </c>
      <c r="E459" s="13" t="str">
        <f>+HYPERLINK("http://trademark.i-assist.jp/data/china/image_1923th/81691915.pdf","81691915")</f>
        <v>81691915</v>
      </c>
      <c r="F459" s="9" t="s">
        <v>1321</v>
      </c>
      <c r="G459" s="9" t="s">
        <v>1322</v>
      </c>
      <c r="H459" s="9" t="s">
        <v>1323</v>
      </c>
      <c r="I459" s="10">
        <v>45596</v>
      </c>
    </row>
    <row r="460" spans="1:9" x14ac:dyDescent="0.15">
      <c r="A460" s="9">
        <v>459</v>
      </c>
      <c r="B460" s="9" t="s">
        <v>9</v>
      </c>
      <c r="C460" s="9">
        <v>1923</v>
      </c>
      <c r="D460" s="10">
        <v>45701</v>
      </c>
      <c r="E460" s="13" t="str">
        <f>+HYPERLINK("http://trademark.i-assist.jp/data/china/image_1923th/81692310.pdf","81692310")</f>
        <v>81692310</v>
      </c>
      <c r="F460" s="9" t="s">
        <v>1324</v>
      </c>
      <c r="G460" s="11" t="s">
        <v>1325</v>
      </c>
      <c r="H460" s="9" t="s">
        <v>1326</v>
      </c>
      <c r="I460" s="10">
        <v>45596</v>
      </c>
    </row>
    <row r="461" spans="1:9" x14ac:dyDescent="0.15">
      <c r="A461" s="9">
        <v>460</v>
      </c>
      <c r="B461" s="9" t="s">
        <v>9</v>
      </c>
      <c r="C461" s="9">
        <v>1923</v>
      </c>
      <c r="D461" s="10">
        <v>45701</v>
      </c>
      <c r="E461" s="13" t="str">
        <f>+HYPERLINK("http://trademark.i-assist.jp/data/china/image_1923th/81692424.pdf","81692424")</f>
        <v>81692424</v>
      </c>
      <c r="F461" s="9" t="s">
        <v>1327</v>
      </c>
      <c r="G461" s="9" t="s">
        <v>28</v>
      </c>
      <c r="H461" s="9" t="s">
        <v>1328</v>
      </c>
      <c r="I461" s="10">
        <v>45596</v>
      </c>
    </row>
    <row r="462" spans="1:9" x14ac:dyDescent="0.15">
      <c r="A462" s="9">
        <v>461</v>
      </c>
      <c r="B462" s="9" t="s">
        <v>9</v>
      </c>
      <c r="C462" s="9">
        <v>1923</v>
      </c>
      <c r="D462" s="10">
        <v>45701</v>
      </c>
      <c r="E462" s="13" t="str">
        <f>+HYPERLINK("http://trademark.i-assist.jp/data/china/image_1923th/81692777.pdf","81692777")</f>
        <v>81692777</v>
      </c>
      <c r="F462" s="9" t="s">
        <v>1329</v>
      </c>
      <c r="G462" s="9" t="s">
        <v>1330</v>
      </c>
      <c r="H462" s="9" t="s">
        <v>1331</v>
      </c>
      <c r="I462" s="10">
        <v>45596</v>
      </c>
    </row>
    <row r="463" spans="1:9" x14ac:dyDescent="0.15">
      <c r="A463" s="9">
        <v>462</v>
      </c>
      <c r="B463" s="9" t="s">
        <v>9</v>
      </c>
      <c r="C463" s="9">
        <v>1923</v>
      </c>
      <c r="D463" s="10">
        <v>45701</v>
      </c>
      <c r="E463" s="13" t="str">
        <f>+HYPERLINK("http://trademark.i-assist.jp/data/china/image_1923th/81692810.pdf","81692810")</f>
        <v>81692810</v>
      </c>
      <c r="F463" s="9" t="s">
        <v>1332</v>
      </c>
      <c r="G463" s="9" t="s">
        <v>1302</v>
      </c>
      <c r="H463" s="9" t="s">
        <v>1333</v>
      </c>
      <c r="I463" s="10">
        <v>45596</v>
      </c>
    </row>
    <row r="464" spans="1:9" x14ac:dyDescent="0.15">
      <c r="A464" s="9">
        <v>463</v>
      </c>
      <c r="B464" s="9" t="s">
        <v>9</v>
      </c>
      <c r="C464" s="9">
        <v>1923</v>
      </c>
      <c r="D464" s="10">
        <v>45701</v>
      </c>
      <c r="E464" s="13" t="str">
        <f>+HYPERLINK("http://trademark.i-assist.jp/data/china/image_1923th/81693144.pdf","81693144")</f>
        <v>81693144</v>
      </c>
      <c r="F464" s="9" t="s">
        <v>1334</v>
      </c>
      <c r="G464" s="11" t="s">
        <v>1335</v>
      </c>
      <c r="H464" s="9" t="s">
        <v>1336</v>
      </c>
      <c r="I464" s="10">
        <v>45596</v>
      </c>
    </row>
    <row r="465" spans="1:9" x14ac:dyDescent="0.15">
      <c r="A465" s="9">
        <v>464</v>
      </c>
      <c r="B465" s="9" t="s">
        <v>9</v>
      </c>
      <c r="C465" s="9">
        <v>1923</v>
      </c>
      <c r="D465" s="10">
        <v>45701</v>
      </c>
      <c r="E465" s="13" t="str">
        <f>+HYPERLINK("http://trademark.i-assist.jp/data/china/image_1923th/81693407.pdf","81693407")</f>
        <v>81693407</v>
      </c>
      <c r="F465" s="9" t="s">
        <v>1337</v>
      </c>
      <c r="G465" s="9" t="s">
        <v>1338</v>
      </c>
      <c r="H465" s="9" t="s">
        <v>1339</v>
      </c>
      <c r="I465" s="10">
        <v>45596</v>
      </c>
    </row>
    <row r="466" spans="1:9" x14ac:dyDescent="0.15">
      <c r="A466" s="9">
        <v>465</v>
      </c>
      <c r="B466" s="9" t="s">
        <v>9</v>
      </c>
      <c r="C466" s="9">
        <v>1923</v>
      </c>
      <c r="D466" s="10">
        <v>45701</v>
      </c>
      <c r="E466" s="13" t="str">
        <f>+HYPERLINK("http://trademark.i-assist.jp/data/china/image_1923th/81694431.pdf","81694431")</f>
        <v>81694431</v>
      </c>
      <c r="F466" s="9" t="s">
        <v>1340</v>
      </c>
      <c r="G466" s="9" t="s">
        <v>1341</v>
      </c>
      <c r="H466" s="9" t="s">
        <v>1342</v>
      </c>
      <c r="I466" s="10">
        <v>45596</v>
      </c>
    </row>
    <row r="467" spans="1:9" x14ac:dyDescent="0.15">
      <c r="A467" s="9">
        <v>466</v>
      </c>
      <c r="B467" s="9" t="s">
        <v>9</v>
      </c>
      <c r="C467" s="9">
        <v>1923</v>
      </c>
      <c r="D467" s="10">
        <v>45701</v>
      </c>
      <c r="E467" s="13" t="str">
        <f>+HYPERLINK("http://trademark.i-assist.jp/data/china/image_1923th/81694473.pdf","81694473")</f>
        <v>81694473</v>
      </c>
      <c r="F467" s="9" t="s">
        <v>1343</v>
      </c>
      <c r="G467" s="11" t="s">
        <v>1314</v>
      </c>
      <c r="H467" s="9" t="s">
        <v>1344</v>
      </c>
      <c r="I467" s="10">
        <v>45596</v>
      </c>
    </row>
    <row r="468" spans="1:9" x14ac:dyDescent="0.15">
      <c r="A468" s="9">
        <v>467</v>
      </c>
      <c r="B468" s="9" t="s">
        <v>9</v>
      </c>
      <c r="C468" s="9">
        <v>1923</v>
      </c>
      <c r="D468" s="10">
        <v>45701</v>
      </c>
      <c r="E468" s="13" t="str">
        <f>+HYPERLINK("http://trademark.i-assist.jp/data/china/image_1923th/81694512.pdf","81694512")</f>
        <v>81694512</v>
      </c>
      <c r="F468" s="9" t="s">
        <v>1345</v>
      </c>
      <c r="G468" s="11" t="s">
        <v>1314</v>
      </c>
      <c r="H468" s="9" t="s">
        <v>1346</v>
      </c>
      <c r="I468" s="10">
        <v>45596</v>
      </c>
    </row>
    <row r="469" spans="1:9" x14ac:dyDescent="0.15">
      <c r="A469" s="9">
        <v>468</v>
      </c>
      <c r="B469" s="9" t="s">
        <v>9</v>
      </c>
      <c r="C469" s="9">
        <v>1923</v>
      </c>
      <c r="D469" s="10">
        <v>45701</v>
      </c>
      <c r="E469" s="13" t="str">
        <f>+HYPERLINK("http://trademark.i-assist.jp/data/china/image_1923th/81694532.pdf","81694532")</f>
        <v>81694532</v>
      </c>
      <c r="F469" s="11" t="s">
        <v>1347</v>
      </c>
      <c r="G469" s="11" t="s">
        <v>1348</v>
      </c>
      <c r="H469" s="9" t="s">
        <v>1349</v>
      </c>
      <c r="I469" s="10">
        <v>45596</v>
      </c>
    </row>
    <row r="470" spans="1:9" x14ac:dyDescent="0.15">
      <c r="A470" s="9">
        <v>469</v>
      </c>
      <c r="B470" s="9" t="s">
        <v>9</v>
      </c>
      <c r="C470" s="9">
        <v>1923</v>
      </c>
      <c r="D470" s="10">
        <v>45701</v>
      </c>
      <c r="E470" s="13" t="str">
        <f>+HYPERLINK("http://trademark.i-assist.jp/data/china/image_1923th/81694675.pdf","81694675")</f>
        <v>81694675</v>
      </c>
      <c r="F470" s="9" t="s">
        <v>1350</v>
      </c>
      <c r="G470" s="11" t="s">
        <v>1351</v>
      </c>
      <c r="H470" s="9" t="s">
        <v>1352</v>
      </c>
      <c r="I470" s="10">
        <v>45596</v>
      </c>
    </row>
    <row r="471" spans="1:9" x14ac:dyDescent="0.15">
      <c r="A471" s="9">
        <v>470</v>
      </c>
      <c r="B471" s="9" t="s">
        <v>9</v>
      </c>
      <c r="C471" s="9">
        <v>1923</v>
      </c>
      <c r="D471" s="10">
        <v>45701</v>
      </c>
      <c r="E471" s="13" t="str">
        <f>+HYPERLINK("http://trademark.i-assist.jp/data/china/image_1923th/81695221.pdf","81695221")</f>
        <v>81695221</v>
      </c>
      <c r="F471" s="9" t="s">
        <v>1353</v>
      </c>
      <c r="G471" s="9" t="s">
        <v>1354</v>
      </c>
      <c r="H471" s="11" t="s">
        <v>1355</v>
      </c>
      <c r="I471" s="10">
        <v>45596</v>
      </c>
    </row>
    <row r="472" spans="1:9" x14ac:dyDescent="0.15">
      <c r="A472" s="9">
        <v>471</v>
      </c>
      <c r="B472" s="9" t="s">
        <v>9</v>
      </c>
      <c r="C472" s="9">
        <v>1923</v>
      </c>
      <c r="D472" s="10">
        <v>45701</v>
      </c>
      <c r="E472" s="13" t="str">
        <f>+HYPERLINK("http://trademark.i-assist.jp/data/china/image_1923th/81695846.pdf","81695846")</f>
        <v>81695846</v>
      </c>
      <c r="F472" s="9" t="s">
        <v>1356</v>
      </c>
      <c r="G472" s="9" t="s">
        <v>1357</v>
      </c>
      <c r="H472" s="9" t="s">
        <v>1358</v>
      </c>
      <c r="I472" s="10">
        <v>45596</v>
      </c>
    </row>
    <row r="473" spans="1:9" x14ac:dyDescent="0.15">
      <c r="A473" s="9">
        <v>472</v>
      </c>
      <c r="B473" s="9" t="s">
        <v>9</v>
      </c>
      <c r="C473" s="9">
        <v>1923</v>
      </c>
      <c r="D473" s="10">
        <v>45701</v>
      </c>
      <c r="E473" s="13" t="str">
        <f>+HYPERLINK("http://trademark.i-assist.jp/data/china/image_1923th/81696174.pdf","81696174")</f>
        <v>81696174</v>
      </c>
      <c r="F473" s="9" t="s">
        <v>1359</v>
      </c>
      <c r="G473" s="9" t="s">
        <v>1360</v>
      </c>
      <c r="H473" s="9" t="s">
        <v>1361</v>
      </c>
      <c r="I473" s="10">
        <v>45596</v>
      </c>
    </row>
    <row r="474" spans="1:9" x14ac:dyDescent="0.15">
      <c r="A474" s="9">
        <v>473</v>
      </c>
      <c r="B474" s="9" t="s">
        <v>9</v>
      </c>
      <c r="C474" s="9">
        <v>1923</v>
      </c>
      <c r="D474" s="10">
        <v>45701</v>
      </c>
      <c r="E474" s="13" t="str">
        <f>+HYPERLINK("http://trademark.i-assist.jp/data/china/image_1923th/81696212.pdf","81696212")</f>
        <v>81696212</v>
      </c>
      <c r="F474" s="11" t="s">
        <v>1362</v>
      </c>
      <c r="G474" s="9" t="s">
        <v>1363</v>
      </c>
      <c r="H474" s="9" t="s">
        <v>1364</v>
      </c>
      <c r="I474" s="10">
        <v>45596</v>
      </c>
    </row>
    <row r="475" spans="1:9" x14ac:dyDescent="0.15">
      <c r="A475" s="9">
        <v>474</v>
      </c>
      <c r="B475" s="9" t="s">
        <v>9</v>
      </c>
      <c r="C475" s="9">
        <v>1923</v>
      </c>
      <c r="D475" s="10">
        <v>45701</v>
      </c>
      <c r="E475" s="13" t="str">
        <f>+HYPERLINK("http://trademark.i-assist.jp/data/china/image_1923th/81696611.pdf","81696611")</f>
        <v>81696611</v>
      </c>
      <c r="F475" s="9">
        <v>95</v>
      </c>
      <c r="G475" s="9" t="s">
        <v>1365</v>
      </c>
      <c r="H475" s="9" t="s">
        <v>1366</v>
      </c>
      <c r="I475" s="10">
        <v>45596</v>
      </c>
    </row>
    <row r="476" spans="1:9" x14ac:dyDescent="0.15">
      <c r="A476" s="9">
        <v>475</v>
      </c>
      <c r="B476" s="9" t="s">
        <v>9</v>
      </c>
      <c r="C476" s="9">
        <v>1923</v>
      </c>
      <c r="D476" s="10">
        <v>45701</v>
      </c>
      <c r="E476" s="13" t="str">
        <f>+HYPERLINK("http://trademark.i-assist.jp/data/china/image_1923th/81697044.pdf","81697044")</f>
        <v>81697044</v>
      </c>
      <c r="F476" s="9" t="s">
        <v>1367</v>
      </c>
      <c r="G476" s="9" t="s">
        <v>1302</v>
      </c>
      <c r="H476" s="9" t="s">
        <v>1368</v>
      </c>
      <c r="I476" s="10">
        <v>45596</v>
      </c>
    </row>
    <row r="477" spans="1:9" x14ac:dyDescent="0.15">
      <c r="A477" s="9">
        <v>476</v>
      </c>
      <c r="B477" s="9" t="s">
        <v>9</v>
      </c>
      <c r="C477" s="9">
        <v>1923</v>
      </c>
      <c r="D477" s="10">
        <v>45701</v>
      </c>
      <c r="E477" s="13" t="str">
        <f>+HYPERLINK("http://trademark.i-assist.jp/data/china/image_1923th/81697986.pdf","81697986")</f>
        <v>81697986</v>
      </c>
      <c r="F477" s="9" t="s">
        <v>1369</v>
      </c>
      <c r="G477" s="9" t="s">
        <v>1370</v>
      </c>
      <c r="H477" s="9" t="s">
        <v>1371</v>
      </c>
      <c r="I477" s="10">
        <v>45596</v>
      </c>
    </row>
    <row r="478" spans="1:9" x14ac:dyDescent="0.15">
      <c r="A478" s="9">
        <v>477</v>
      </c>
      <c r="B478" s="9" t="s">
        <v>9</v>
      </c>
      <c r="C478" s="9">
        <v>1923</v>
      </c>
      <c r="D478" s="10">
        <v>45701</v>
      </c>
      <c r="E478" s="13" t="str">
        <f>+HYPERLINK("http://trademark.i-assist.jp/data/china/image_1923th/81698123.pdf","81698123")</f>
        <v>81698123</v>
      </c>
      <c r="F478" s="11" t="s">
        <v>126</v>
      </c>
      <c r="G478" s="9" t="s">
        <v>1372</v>
      </c>
      <c r="H478" s="9" t="s">
        <v>1373</v>
      </c>
      <c r="I478" s="10">
        <v>45596</v>
      </c>
    </row>
    <row r="479" spans="1:9" x14ac:dyDescent="0.15">
      <c r="A479" s="9">
        <v>478</v>
      </c>
      <c r="B479" s="9" t="s">
        <v>9</v>
      </c>
      <c r="C479" s="9">
        <v>1923</v>
      </c>
      <c r="D479" s="10">
        <v>45701</v>
      </c>
      <c r="E479" s="13" t="str">
        <f>+HYPERLINK("http://trademark.i-assist.jp/data/china/image_1923th/81698372.pdf","81698372")</f>
        <v>81698372</v>
      </c>
      <c r="F479" s="11" t="s">
        <v>1374</v>
      </c>
      <c r="G479" s="9" t="s">
        <v>1375</v>
      </c>
      <c r="H479" s="9" t="s">
        <v>1376</v>
      </c>
      <c r="I479" s="10">
        <v>45596</v>
      </c>
    </row>
    <row r="480" spans="1:9" x14ac:dyDescent="0.15">
      <c r="A480" s="9">
        <v>479</v>
      </c>
      <c r="B480" s="9" t="s">
        <v>9</v>
      </c>
      <c r="C480" s="9">
        <v>1923</v>
      </c>
      <c r="D480" s="10">
        <v>45701</v>
      </c>
      <c r="E480" s="13" t="str">
        <f>+HYPERLINK("http://trademark.i-assist.jp/data/china/image_1923th/81699299.pdf","81699299")</f>
        <v>81699299</v>
      </c>
      <c r="F480" s="9" t="s">
        <v>1377</v>
      </c>
      <c r="G480" s="9" t="s">
        <v>1378</v>
      </c>
      <c r="H480" s="9" t="s">
        <v>1379</v>
      </c>
      <c r="I480" s="10">
        <v>45596</v>
      </c>
    </row>
    <row r="481" spans="1:9" x14ac:dyDescent="0.15">
      <c r="A481" s="9">
        <v>480</v>
      </c>
      <c r="B481" s="9" t="s">
        <v>9</v>
      </c>
      <c r="C481" s="9">
        <v>1923</v>
      </c>
      <c r="D481" s="10">
        <v>45701</v>
      </c>
      <c r="E481" s="13" t="str">
        <f>+HYPERLINK("http://trademark.i-assist.jp/data/china/image_1923th/81699648.pdf","81699648")</f>
        <v>81699648</v>
      </c>
      <c r="F481" s="11" t="s">
        <v>1380</v>
      </c>
      <c r="G481" s="11" t="s">
        <v>1381</v>
      </c>
      <c r="H481" s="9" t="s">
        <v>1382</v>
      </c>
      <c r="I481" s="10">
        <v>45596</v>
      </c>
    </row>
    <row r="482" spans="1:9" x14ac:dyDescent="0.15">
      <c r="A482" s="9">
        <v>481</v>
      </c>
      <c r="B482" s="9" t="s">
        <v>9</v>
      </c>
      <c r="C482" s="9">
        <v>1923</v>
      </c>
      <c r="D482" s="10">
        <v>45701</v>
      </c>
      <c r="E482" s="13" t="str">
        <f>+HYPERLINK("http://trademark.i-assist.jp/data/china/image_1923th/81701291.pdf","81701291")</f>
        <v>81701291</v>
      </c>
      <c r="F482" s="12" t="s">
        <v>1383</v>
      </c>
      <c r="G482" s="9" t="s">
        <v>1384</v>
      </c>
      <c r="H482" s="9" t="s">
        <v>1385</v>
      </c>
      <c r="I482" s="10">
        <v>45596</v>
      </c>
    </row>
    <row r="483" spans="1:9" x14ac:dyDescent="0.15">
      <c r="A483" s="9">
        <v>482</v>
      </c>
      <c r="B483" s="9" t="s">
        <v>9</v>
      </c>
      <c r="C483" s="9">
        <v>1923</v>
      </c>
      <c r="D483" s="10">
        <v>45701</v>
      </c>
      <c r="E483" s="13" t="str">
        <f>+HYPERLINK("http://trademark.i-assist.jp/data/china/image_1923th/81701381.pdf","81701381")</f>
        <v>81701381</v>
      </c>
      <c r="F483" s="9" t="s">
        <v>1386</v>
      </c>
      <c r="G483" s="11" t="s">
        <v>1387</v>
      </c>
      <c r="H483" s="9" t="s">
        <v>1388</v>
      </c>
      <c r="I483" s="10">
        <v>45596</v>
      </c>
    </row>
    <row r="484" spans="1:9" x14ac:dyDescent="0.15">
      <c r="A484" s="9">
        <v>483</v>
      </c>
      <c r="B484" s="9" t="s">
        <v>9</v>
      </c>
      <c r="C484" s="9">
        <v>1923</v>
      </c>
      <c r="D484" s="10">
        <v>45701</v>
      </c>
      <c r="E484" s="13" t="str">
        <f>+HYPERLINK("http://trademark.i-assist.jp/data/china/image_1923th/81702151.pdf","81702151")</f>
        <v>81702151</v>
      </c>
      <c r="F484" s="11" t="s">
        <v>1389</v>
      </c>
      <c r="G484" s="11" t="s">
        <v>1390</v>
      </c>
      <c r="H484" s="9" t="s">
        <v>1391</v>
      </c>
      <c r="I484" s="10">
        <v>45596</v>
      </c>
    </row>
    <row r="485" spans="1:9" x14ac:dyDescent="0.15">
      <c r="A485" s="9">
        <v>484</v>
      </c>
      <c r="B485" s="9" t="s">
        <v>9</v>
      </c>
      <c r="C485" s="9">
        <v>1923</v>
      </c>
      <c r="D485" s="10">
        <v>45701</v>
      </c>
      <c r="E485" s="13" t="str">
        <f>+HYPERLINK("http://trademark.i-assist.jp/data/china/image_1923th/81702197.pdf","81702197")</f>
        <v>81702197</v>
      </c>
      <c r="F485" s="9" t="s">
        <v>1392</v>
      </c>
      <c r="G485" s="9" t="s">
        <v>1393</v>
      </c>
      <c r="H485" s="9" t="s">
        <v>1394</v>
      </c>
      <c r="I485" s="10">
        <v>45596</v>
      </c>
    </row>
    <row r="486" spans="1:9" x14ac:dyDescent="0.15">
      <c r="A486" s="9">
        <v>485</v>
      </c>
      <c r="B486" s="9" t="s">
        <v>9</v>
      </c>
      <c r="C486" s="9">
        <v>1923</v>
      </c>
      <c r="D486" s="10">
        <v>45701</v>
      </c>
      <c r="E486" s="13" t="str">
        <f>+HYPERLINK("http://trademark.i-assist.jp/data/china/image_1923th/81702376.pdf","81702376")</f>
        <v>81702376</v>
      </c>
      <c r="F486" s="9" t="s">
        <v>1395</v>
      </c>
      <c r="G486" s="9" t="s">
        <v>1396</v>
      </c>
      <c r="H486" s="9" t="s">
        <v>1397</v>
      </c>
      <c r="I486" s="10">
        <v>45596</v>
      </c>
    </row>
    <row r="487" spans="1:9" x14ac:dyDescent="0.15">
      <c r="A487" s="9">
        <v>486</v>
      </c>
      <c r="B487" s="9" t="s">
        <v>9</v>
      </c>
      <c r="C487" s="9">
        <v>1923</v>
      </c>
      <c r="D487" s="10">
        <v>45701</v>
      </c>
      <c r="E487" s="13" t="str">
        <f>+HYPERLINK("http://trademark.i-assist.jp/data/china/image_1923th/81702545.pdf","81702545")</f>
        <v>81702545</v>
      </c>
      <c r="F487" s="9" t="s">
        <v>1398</v>
      </c>
      <c r="G487" s="11" t="s">
        <v>1399</v>
      </c>
      <c r="H487" s="9" t="s">
        <v>1400</v>
      </c>
      <c r="I487" s="10">
        <v>45596</v>
      </c>
    </row>
    <row r="488" spans="1:9" x14ac:dyDescent="0.15">
      <c r="A488" s="9">
        <v>487</v>
      </c>
      <c r="B488" s="9" t="s">
        <v>9</v>
      </c>
      <c r="C488" s="9">
        <v>1923</v>
      </c>
      <c r="D488" s="10">
        <v>45701</v>
      </c>
      <c r="E488" s="13" t="str">
        <f>+HYPERLINK("http://trademark.i-assist.jp/data/china/image_1923th/81702602.pdf","81702602")</f>
        <v>81702602</v>
      </c>
      <c r="F488" s="9" t="s">
        <v>1401</v>
      </c>
      <c r="G488" s="9" t="s">
        <v>1402</v>
      </c>
      <c r="H488" s="11" t="s">
        <v>1403</v>
      </c>
      <c r="I488" s="10">
        <v>45596</v>
      </c>
    </row>
    <row r="489" spans="1:9" x14ac:dyDescent="0.15">
      <c r="A489" s="9">
        <v>488</v>
      </c>
      <c r="B489" s="9" t="s">
        <v>9</v>
      </c>
      <c r="C489" s="9">
        <v>1923</v>
      </c>
      <c r="D489" s="10">
        <v>45701</v>
      </c>
      <c r="E489" s="13" t="str">
        <f>+HYPERLINK("http://trademark.i-assist.jp/data/china/image_1923th/81702675.pdf","81702675")</f>
        <v>81702675</v>
      </c>
      <c r="F489" s="9" t="s">
        <v>1404</v>
      </c>
      <c r="G489" s="9" t="s">
        <v>1330</v>
      </c>
      <c r="H489" s="9" t="s">
        <v>1405</v>
      </c>
      <c r="I489" s="10">
        <v>45596</v>
      </c>
    </row>
    <row r="490" spans="1:9" x14ac:dyDescent="0.15">
      <c r="A490" s="9">
        <v>489</v>
      </c>
      <c r="B490" s="9" t="s">
        <v>9</v>
      </c>
      <c r="C490" s="9">
        <v>1923</v>
      </c>
      <c r="D490" s="10">
        <v>45701</v>
      </c>
      <c r="E490" s="13" t="str">
        <f>+HYPERLINK("http://trademark.i-assist.jp/data/china/image_1923th/81702875.pdf","81702875")</f>
        <v>81702875</v>
      </c>
      <c r="F490" s="9" t="s">
        <v>1406</v>
      </c>
      <c r="G490" s="11" t="s">
        <v>1407</v>
      </c>
      <c r="H490" s="9" t="s">
        <v>1408</v>
      </c>
      <c r="I490" s="10">
        <v>45596</v>
      </c>
    </row>
    <row r="491" spans="1:9" x14ac:dyDescent="0.15">
      <c r="A491" s="9">
        <v>490</v>
      </c>
      <c r="B491" s="9" t="s">
        <v>9</v>
      </c>
      <c r="C491" s="9">
        <v>1923</v>
      </c>
      <c r="D491" s="10">
        <v>45701</v>
      </c>
      <c r="E491" s="13" t="str">
        <f>+HYPERLINK("http://trademark.i-assist.jp/data/china/image_1923th/81703059.pdf","81703059")</f>
        <v>81703059</v>
      </c>
      <c r="F491" s="9" t="s">
        <v>1409</v>
      </c>
      <c r="G491" s="11" t="s">
        <v>1410</v>
      </c>
      <c r="H491" s="9" t="s">
        <v>1411</v>
      </c>
      <c r="I491" s="10">
        <v>45596</v>
      </c>
    </row>
    <row r="492" spans="1:9" x14ac:dyDescent="0.15">
      <c r="A492" s="9">
        <v>491</v>
      </c>
      <c r="B492" s="9" t="s">
        <v>9</v>
      </c>
      <c r="C492" s="9">
        <v>1923</v>
      </c>
      <c r="D492" s="10">
        <v>45701</v>
      </c>
      <c r="E492" s="13" t="str">
        <f>+HYPERLINK("http://trademark.i-assist.jp/data/china/image_1923th/81703075.pdf","81703075")</f>
        <v>81703075</v>
      </c>
      <c r="F492" s="9" t="s">
        <v>1412</v>
      </c>
      <c r="G492" s="9" t="s">
        <v>1413</v>
      </c>
      <c r="H492" s="9" t="s">
        <v>1414</v>
      </c>
      <c r="I492" s="10">
        <v>45596</v>
      </c>
    </row>
    <row r="493" spans="1:9" x14ac:dyDescent="0.15">
      <c r="A493" s="9">
        <v>492</v>
      </c>
      <c r="B493" s="9" t="s">
        <v>9</v>
      </c>
      <c r="C493" s="9">
        <v>1923</v>
      </c>
      <c r="D493" s="10">
        <v>45701</v>
      </c>
      <c r="E493" s="13" t="str">
        <f>+HYPERLINK("http://trademark.i-assist.jp/data/china/image_1923th/81703496.pdf","81703496")</f>
        <v>81703496</v>
      </c>
      <c r="F493" s="9" t="s">
        <v>1415</v>
      </c>
      <c r="G493" s="9" t="s">
        <v>1416</v>
      </c>
      <c r="H493" s="9" t="s">
        <v>1417</v>
      </c>
      <c r="I493" s="10">
        <v>45596</v>
      </c>
    </row>
    <row r="494" spans="1:9" x14ac:dyDescent="0.15">
      <c r="A494" s="9">
        <v>493</v>
      </c>
      <c r="B494" s="9" t="s">
        <v>9</v>
      </c>
      <c r="C494" s="9">
        <v>1923</v>
      </c>
      <c r="D494" s="10">
        <v>45701</v>
      </c>
      <c r="E494" s="13" t="str">
        <f>+HYPERLINK("http://trademark.i-assist.jp/data/china/image_1923th/81704207.pdf","81704207")</f>
        <v>81704207</v>
      </c>
      <c r="F494" s="9" t="s">
        <v>1418</v>
      </c>
      <c r="G494" s="9" t="s">
        <v>1419</v>
      </c>
      <c r="H494" s="9" t="s">
        <v>1420</v>
      </c>
      <c r="I494" s="10">
        <v>45596</v>
      </c>
    </row>
    <row r="495" spans="1:9" x14ac:dyDescent="0.15">
      <c r="A495" s="9">
        <v>494</v>
      </c>
      <c r="B495" s="9" t="s">
        <v>9</v>
      </c>
      <c r="C495" s="9">
        <v>1923</v>
      </c>
      <c r="D495" s="10">
        <v>45701</v>
      </c>
      <c r="E495" s="13" t="str">
        <f>+HYPERLINK("http://trademark.i-assist.jp/data/china/image_1923th/81704210.pdf","81704210")</f>
        <v>81704210</v>
      </c>
      <c r="F495" s="12" t="s">
        <v>1421</v>
      </c>
      <c r="G495" s="11" t="s">
        <v>1422</v>
      </c>
      <c r="H495" s="11" t="s">
        <v>1423</v>
      </c>
      <c r="I495" s="10">
        <v>45596</v>
      </c>
    </row>
    <row r="496" spans="1:9" x14ac:dyDescent="0.15">
      <c r="A496" s="9">
        <v>495</v>
      </c>
      <c r="B496" s="9" t="s">
        <v>9</v>
      </c>
      <c r="C496" s="9">
        <v>1923</v>
      </c>
      <c r="D496" s="10">
        <v>45701</v>
      </c>
      <c r="E496" s="13" t="str">
        <f>+HYPERLINK("http://trademark.i-assist.jp/data/china/image_1923th/81704798.pdf","81704798")</f>
        <v>81704798</v>
      </c>
      <c r="F496" s="9" t="s">
        <v>1424</v>
      </c>
      <c r="G496" s="11" t="s">
        <v>1425</v>
      </c>
      <c r="H496" s="9" t="s">
        <v>1426</v>
      </c>
      <c r="I496" s="10">
        <v>45596</v>
      </c>
    </row>
    <row r="497" spans="1:9" x14ac:dyDescent="0.15">
      <c r="A497" s="9">
        <v>496</v>
      </c>
      <c r="B497" s="9" t="s">
        <v>9</v>
      </c>
      <c r="C497" s="9">
        <v>1923</v>
      </c>
      <c r="D497" s="10">
        <v>45701</v>
      </c>
      <c r="E497" s="13" t="str">
        <f>+HYPERLINK("http://trademark.i-assist.jp/data/china/image_1923th/81705086.pdf","81705086")</f>
        <v>81705086</v>
      </c>
      <c r="F497" s="9" t="s">
        <v>1427</v>
      </c>
      <c r="G497" s="9" t="s">
        <v>1428</v>
      </c>
      <c r="H497" s="9" t="s">
        <v>1429</v>
      </c>
      <c r="I497" s="10">
        <v>45596</v>
      </c>
    </row>
    <row r="498" spans="1:9" x14ac:dyDescent="0.15">
      <c r="A498" s="9">
        <v>497</v>
      </c>
      <c r="B498" s="9" t="s">
        <v>9</v>
      </c>
      <c r="C498" s="9">
        <v>1923</v>
      </c>
      <c r="D498" s="10">
        <v>45701</v>
      </c>
      <c r="E498" s="13" t="str">
        <f>+HYPERLINK("http://trademark.i-assist.jp/data/china/image_1923th/81705561.pdf","81705561")</f>
        <v>81705561</v>
      </c>
      <c r="F498" s="9" t="s">
        <v>1430</v>
      </c>
      <c r="G498" s="11" t="s">
        <v>1431</v>
      </c>
      <c r="H498" s="9" t="s">
        <v>1432</v>
      </c>
      <c r="I498" s="10">
        <v>45596</v>
      </c>
    </row>
    <row r="499" spans="1:9" x14ac:dyDescent="0.15">
      <c r="A499" s="9">
        <v>498</v>
      </c>
      <c r="B499" s="9" t="s">
        <v>9</v>
      </c>
      <c r="C499" s="9">
        <v>1923</v>
      </c>
      <c r="D499" s="10">
        <v>45701</v>
      </c>
      <c r="E499" s="13" t="str">
        <f>+HYPERLINK("http://trademark.i-assist.jp/data/china/image_1923th/81705807.pdf","81705807")</f>
        <v>81705807</v>
      </c>
      <c r="F499" s="9" t="s">
        <v>1433</v>
      </c>
      <c r="G499" s="9" t="s">
        <v>1434</v>
      </c>
      <c r="H499" s="9" t="s">
        <v>1435</v>
      </c>
      <c r="I499" s="10">
        <v>45596</v>
      </c>
    </row>
    <row r="500" spans="1:9" x14ac:dyDescent="0.15">
      <c r="A500" s="9">
        <v>499</v>
      </c>
      <c r="B500" s="9" t="s">
        <v>9</v>
      </c>
      <c r="C500" s="9">
        <v>1923</v>
      </c>
      <c r="D500" s="10">
        <v>45701</v>
      </c>
      <c r="E500" s="13" t="str">
        <f>+HYPERLINK("http://trademark.i-assist.jp/data/china/image_1923th/81706433.pdf","81706433")</f>
        <v>81706433</v>
      </c>
      <c r="F500" s="9" t="s">
        <v>1436</v>
      </c>
      <c r="G500" s="11" t="s">
        <v>1335</v>
      </c>
      <c r="H500" s="9" t="s">
        <v>1437</v>
      </c>
      <c r="I500" s="10">
        <v>45596</v>
      </c>
    </row>
    <row r="501" spans="1:9" x14ac:dyDescent="0.15">
      <c r="A501" s="9">
        <v>500</v>
      </c>
      <c r="B501" s="9" t="s">
        <v>9</v>
      </c>
      <c r="C501" s="9">
        <v>1923</v>
      </c>
      <c r="D501" s="10">
        <v>45701</v>
      </c>
      <c r="E501" s="13" t="str">
        <f>+HYPERLINK("http://trademark.i-assist.jp/data/china/image_1923th/81707351.pdf","81707351")</f>
        <v>81707351</v>
      </c>
      <c r="F501" s="9" t="s">
        <v>1438</v>
      </c>
      <c r="G501" s="9" t="s">
        <v>1439</v>
      </c>
      <c r="H501" s="9" t="s">
        <v>1440</v>
      </c>
      <c r="I501" s="10">
        <v>45596</v>
      </c>
    </row>
    <row r="502" spans="1:9" x14ac:dyDescent="0.15">
      <c r="A502" s="9">
        <v>501</v>
      </c>
      <c r="B502" s="9" t="s">
        <v>9</v>
      </c>
      <c r="C502" s="9">
        <v>1923</v>
      </c>
      <c r="D502" s="10">
        <v>45701</v>
      </c>
      <c r="E502" s="13" t="str">
        <f>+HYPERLINK("http://trademark.i-assist.jp/data/china/image_1923th/81707836.pdf","81707836")</f>
        <v>81707836</v>
      </c>
      <c r="F502" s="9" t="s">
        <v>1441</v>
      </c>
      <c r="G502" s="9" t="s">
        <v>1442</v>
      </c>
      <c r="H502" s="9" t="s">
        <v>1443</v>
      </c>
      <c r="I502" s="10">
        <v>45596</v>
      </c>
    </row>
    <row r="503" spans="1:9" x14ac:dyDescent="0.15">
      <c r="A503" s="9">
        <v>502</v>
      </c>
      <c r="B503" s="9" t="s">
        <v>9</v>
      </c>
      <c r="C503" s="9">
        <v>1923</v>
      </c>
      <c r="D503" s="10">
        <v>45701</v>
      </c>
      <c r="E503" s="13" t="str">
        <f>+HYPERLINK("http://trademark.i-assist.jp/data/china/image_1923th/81707892.pdf","81707892")</f>
        <v>81707892</v>
      </c>
      <c r="F503" s="11" t="s">
        <v>1444</v>
      </c>
      <c r="G503" s="9" t="s">
        <v>1445</v>
      </c>
      <c r="H503" s="9" t="s">
        <v>1446</v>
      </c>
      <c r="I503" s="10">
        <v>45596</v>
      </c>
    </row>
    <row r="504" spans="1:9" x14ac:dyDescent="0.15">
      <c r="A504" s="9">
        <v>503</v>
      </c>
      <c r="B504" s="9" t="s">
        <v>9</v>
      </c>
      <c r="C504" s="9">
        <v>1923</v>
      </c>
      <c r="D504" s="10">
        <v>45701</v>
      </c>
      <c r="E504" s="13" t="str">
        <f>+HYPERLINK("http://trademark.i-assist.jp/data/china/image_1923th/81708089.pdf","81708089")</f>
        <v>81708089</v>
      </c>
      <c r="F504" s="9" t="s">
        <v>1447</v>
      </c>
      <c r="G504" s="9" t="s">
        <v>1448</v>
      </c>
      <c r="H504" s="9" t="s">
        <v>1449</v>
      </c>
      <c r="I504" s="10">
        <v>45596</v>
      </c>
    </row>
    <row r="505" spans="1:9" x14ac:dyDescent="0.15">
      <c r="A505" s="9">
        <v>504</v>
      </c>
      <c r="B505" s="9" t="s">
        <v>9</v>
      </c>
      <c r="C505" s="9">
        <v>1923</v>
      </c>
      <c r="D505" s="10">
        <v>45701</v>
      </c>
      <c r="E505" s="13" t="str">
        <f>+HYPERLINK("http://trademark.i-assist.jp/data/china/image_1923th/81708143.pdf","81708143")</f>
        <v>81708143</v>
      </c>
      <c r="F505" s="9" t="s">
        <v>1450</v>
      </c>
      <c r="G505" s="9" t="s">
        <v>740</v>
      </c>
      <c r="H505" s="9" t="s">
        <v>1451</v>
      </c>
      <c r="I505" s="10">
        <v>45596</v>
      </c>
    </row>
    <row r="506" spans="1:9" x14ac:dyDescent="0.15">
      <c r="A506" s="9">
        <v>505</v>
      </c>
      <c r="B506" s="9" t="s">
        <v>9</v>
      </c>
      <c r="C506" s="9">
        <v>1923</v>
      </c>
      <c r="D506" s="10">
        <v>45701</v>
      </c>
      <c r="E506" s="13" t="str">
        <f>+HYPERLINK("http://trademark.i-assist.jp/data/china/image_1923th/81708183.pdf","81708183")</f>
        <v>81708183</v>
      </c>
      <c r="F506" s="9" t="s">
        <v>1452</v>
      </c>
      <c r="G506" s="9" t="s">
        <v>1453</v>
      </c>
      <c r="H506" s="9" t="s">
        <v>1454</v>
      </c>
      <c r="I506" s="10">
        <v>45596</v>
      </c>
    </row>
    <row r="507" spans="1:9" x14ac:dyDescent="0.15">
      <c r="A507" s="9">
        <v>506</v>
      </c>
      <c r="B507" s="9" t="s">
        <v>9</v>
      </c>
      <c r="C507" s="9">
        <v>1923</v>
      </c>
      <c r="D507" s="10">
        <v>45701</v>
      </c>
      <c r="E507" s="13" t="str">
        <f>+HYPERLINK("http://trademark.i-assist.jp/data/china/image_1923th/81708329.pdf","81708329")</f>
        <v>81708329</v>
      </c>
      <c r="F507" s="9" t="s">
        <v>1455</v>
      </c>
      <c r="G507" s="9" t="s">
        <v>1456</v>
      </c>
      <c r="H507" s="9" t="s">
        <v>1457</v>
      </c>
      <c r="I507" s="10">
        <v>45596</v>
      </c>
    </row>
    <row r="508" spans="1:9" x14ac:dyDescent="0.15">
      <c r="A508" s="9">
        <v>507</v>
      </c>
      <c r="B508" s="9" t="s">
        <v>9</v>
      </c>
      <c r="C508" s="9">
        <v>1923</v>
      </c>
      <c r="D508" s="10">
        <v>45701</v>
      </c>
      <c r="E508" s="13" t="str">
        <f>+HYPERLINK("http://trademark.i-assist.jp/data/china/image_1923th/81708448.pdf","81708448")</f>
        <v>81708448</v>
      </c>
      <c r="F508" s="11" t="s">
        <v>1458</v>
      </c>
      <c r="G508" s="9" t="s">
        <v>1459</v>
      </c>
      <c r="H508" s="9" t="s">
        <v>1460</v>
      </c>
      <c r="I508" s="10">
        <v>45596</v>
      </c>
    </row>
    <row r="509" spans="1:9" x14ac:dyDescent="0.15">
      <c r="A509" s="9">
        <v>508</v>
      </c>
      <c r="B509" s="9" t="s">
        <v>9</v>
      </c>
      <c r="C509" s="9">
        <v>1923</v>
      </c>
      <c r="D509" s="10">
        <v>45701</v>
      </c>
      <c r="E509" s="13" t="str">
        <f>+HYPERLINK("http://trademark.i-assist.jp/data/china/image_1923th/81708455.pdf","81708455")</f>
        <v>81708455</v>
      </c>
      <c r="F509" s="9" t="s">
        <v>1461</v>
      </c>
      <c r="G509" s="9" t="s">
        <v>30</v>
      </c>
      <c r="H509" s="9" t="s">
        <v>1462</v>
      </c>
      <c r="I509" s="10">
        <v>45596</v>
      </c>
    </row>
    <row r="510" spans="1:9" x14ac:dyDescent="0.15">
      <c r="A510" s="9">
        <v>509</v>
      </c>
      <c r="B510" s="9" t="s">
        <v>9</v>
      </c>
      <c r="C510" s="9">
        <v>1923</v>
      </c>
      <c r="D510" s="10">
        <v>45701</v>
      </c>
      <c r="E510" s="13" t="str">
        <f>+HYPERLINK("http://trademark.i-assist.jp/data/china/image_1923th/81709118.pdf","81709118")</f>
        <v>81709118</v>
      </c>
      <c r="F510" s="9" t="s">
        <v>1463</v>
      </c>
      <c r="G510" s="11" t="s">
        <v>1464</v>
      </c>
      <c r="H510" s="9" t="s">
        <v>1465</v>
      </c>
      <c r="I510" s="10">
        <v>45596</v>
      </c>
    </row>
    <row r="511" spans="1:9" x14ac:dyDescent="0.15">
      <c r="A511" s="9">
        <v>510</v>
      </c>
      <c r="B511" s="9" t="s">
        <v>9</v>
      </c>
      <c r="C511" s="9">
        <v>1923</v>
      </c>
      <c r="D511" s="10">
        <v>45701</v>
      </c>
      <c r="E511" s="13" t="str">
        <f>+HYPERLINK("http://trademark.i-assist.jp/data/china/image_1923th/81709491.pdf","81709491")</f>
        <v>81709491</v>
      </c>
      <c r="F511" s="9" t="s">
        <v>1466</v>
      </c>
      <c r="G511" s="11" t="s">
        <v>1467</v>
      </c>
      <c r="H511" s="9" t="s">
        <v>1468</v>
      </c>
      <c r="I511" s="10">
        <v>45596</v>
      </c>
    </row>
    <row r="512" spans="1:9" x14ac:dyDescent="0.15">
      <c r="A512" s="9">
        <v>511</v>
      </c>
      <c r="B512" s="9" t="s">
        <v>9</v>
      </c>
      <c r="C512" s="9">
        <v>1923</v>
      </c>
      <c r="D512" s="10">
        <v>45701</v>
      </c>
      <c r="E512" s="13" t="str">
        <f>+HYPERLINK("http://trademark.i-assist.jp/data/china/image_1923th/81709644.pdf","81709644")</f>
        <v>81709644</v>
      </c>
      <c r="F512" s="9" t="s">
        <v>1469</v>
      </c>
      <c r="G512" s="9" t="s">
        <v>1448</v>
      </c>
      <c r="H512" s="9" t="s">
        <v>1470</v>
      </c>
      <c r="I512" s="10">
        <v>45596</v>
      </c>
    </row>
    <row r="513" spans="1:9" x14ac:dyDescent="0.15">
      <c r="A513" s="9">
        <v>512</v>
      </c>
      <c r="B513" s="9" t="s">
        <v>9</v>
      </c>
      <c r="C513" s="9">
        <v>1923</v>
      </c>
      <c r="D513" s="10">
        <v>45701</v>
      </c>
      <c r="E513" s="13" t="str">
        <f>+HYPERLINK("http://trademark.i-assist.jp/data/china/image_1923th/81710691.pdf","81710691")</f>
        <v>81710691</v>
      </c>
      <c r="F513" s="9" t="s">
        <v>1471</v>
      </c>
      <c r="G513" s="9" t="s">
        <v>1472</v>
      </c>
      <c r="H513" s="9" t="s">
        <v>1473</v>
      </c>
      <c r="I513" s="10">
        <v>45596</v>
      </c>
    </row>
    <row r="514" spans="1:9" x14ac:dyDescent="0.15">
      <c r="A514" s="9">
        <v>513</v>
      </c>
      <c r="B514" s="9" t="s">
        <v>9</v>
      </c>
      <c r="C514" s="9">
        <v>1923</v>
      </c>
      <c r="D514" s="10">
        <v>45701</v>
      </c>
      <c r="E514" s="13" t="str">
        <f>+HYPERLINK("http://trademark.i-assist.jp/data/china/image_1923th/81710705.pdf","81710705")</f>
        <v>81710705</v>
      </c>
      <c r="F514" s="9" t="s">
        <v>1474</v>
      </c>
      <c r="G514" s="9" t="s">
        <v>1475</v>
      </c>
      <c r="H514" s="9" t="s">
        <v>1476</v>
      </c>
      <c r="I514" s="10">
        <v>45596</v>
      </c>
    </row>
    <row r="515" spans="1:9" x14ac:dyDescent="0.15">
      <c r="A515" s="9">
        <v>514</v>
      </c>
      <c r="B515" s="9" t="s">
        <v>9</v>
      </c>
      <c r="C515" s="9">
        <v>1923</v>
      </c>
      <c r="D515" s="10">
        <v>45701</v>
      </c>
      <c r="E515" s="13" t="str">
        <f>+HYPERLINK("http://trademark.i-assist.jp/data/china/image_1923th/81710993.pdf","81710993")</f>
        <v>81710993</v>
      </c>
      <c r="F515" s="9" t="s">
        <v>1477</v>
      </c>
      <c r="G515" s="9" t="s">
        <v>1478</v>
      </c>
      <c r="H515" s="9" t="s">
        <v>1479</v>
      </c>
      <c r="I515" s="10">
        <v>45596</v>
      </c>
    </row>
    <row r="516" spans="1:9" x14ac:dyDescent="0.15">
      <c r="A516" s="9">
        <v>515</v>
      </c>
      <c r="B516" s="9" t="s">
        <v>9</v>
      </c>
      <c r="C516" s="9">
        <v>1923</v>
      </c>
      <c r="D516" s="10">
        <v>45701</v>
      </c>
      <c r="E516" s="13" t="str">
        <f>+HYPERLINK("http://trademark.i-assist.jp/data/china/image_1923th/81711215.pdf","81711215")</f>
        <v>81711215</v>
      </c>
      <c r="F516" s="9" t="s">
        <v>1480</v>
      </c>
      <c r="G516" s="9" t="s">
        <v>1481</v>
      </c>
      <c r="H516" s="9" t="s">
        <v>1482</v>
      </c>
      <c r="I516" s="10">
        <v>45596</v>
      </c>
    </row>
    <row r="517" spans="1:9" x14ac:dyDescent="0.15">
      <c r="A517" s="9">
        <v>516</v>
      </c>
      <c r="B517" s="9" t="s">
        <v>9</v>
      </c>
      <c r="C517" s="9">
        <v>1923</v>
      </c>
      <c r="D517" s="10">
        <v>45701</v>
      </c>
      <c r="E517" s="13" t="str">
        <f>+HYPERLINK("http://trademark.i-assist.jp/data/china/image_1923th/81711270.pdf","81711270")</f>
        <v>81711270</v>
      </c>
      <c r="F517" s="9" t="s">
        <v>1483</v>
      </c>
      <c r="G517" s="9" t="s">
        <v>1484</v>
      </c>
      <c r="H517" s="11" t="s">
        <v>1485</v>
      </c>
      <c r="I517" s="10">
        <v>45596</v>
      </c>
    </row>
    <row r="518" spans="1:9" x14ac:dyDescent="0.15">
      <c r="A518" s="9">
        <v>517</v>
      </c>
      <c r="B518" s="9" t="s">
        <v>9</v>
      </c>
      <c r="C518" s="9">
        <v>1923</v>
      </c>
      <c r="D518" s="10">
        <v>45701</v>
      </c>
      <c r="E518" s="13" t="str">
        <f>+HYPERLINK("http://trademark.i-assist.jp/data/china/image_1923th/81711838.pdf","81711838")</f>
        <v>81711838</v>
      </c>
      <c r="F518" s="11" t="s">
        <v>126</v>
      </c>
      <c r="G518" s="11" t="s">
        <v>1486</v>
      </c>
      <c r="H518" s="9" t="s">
        <v>1487</v>
      </c>
      <c r="I518" s="10">
        <v>45596</v>
      </c>
    </row>
    <row r="519" spans="1:9" x14ac:dyDescent="0.15">
      <c r="A519" s="9">
        <v>518</v>
      </c>
      <c r="B519" s="9" t="s">
        <v>9</v>
      </c>
      <c r="C519" s="9">
        <v>1923</v>
      </c>
      <c r="D519" s="10">
        <v>45701</v>
      </c>
      <c r="E519" s="13" t="str">
        <f>+HYPERLINK("http://trademark.i-assist.jp/data/china/image_1923th/81712417.pdf","81712417")</f>
        <v>81712417</v>
      </c>
      <c r="F519" s="11" t="s">
        <v>1488</v>
      </c>
      <c r="G519" s="9" t="s">
        <v>1489</v>
      </c>
      <c r="H519" s="9" t="s">
        <v>1490</v>
      </c>
      <c r="I519" s="10">
        <v>45597</v>
      </c>
    </row>
    <row r="520" spans="1:9" x14ac:dyDescent="0.15">
      <c r="A520" s="9">
        <v>519</v>
      </c>
      <c r="B520" s="9" t="s">
        <v>9</v>
      </c>
      <c r="C520" s="9">
        <v>1923</v>
      </c>
      <c r="D520" s="10">
        <v>45701</v>
      </c>
      <c r="E520" s="13" t="str">
        <f>+HYPERLINK("http://trademark.i-assist.jp/data/china/image_1923th/81712641.pdf","81712641")</f>
        <v>81712641</v>
      </c>
      <c r="F520" s="9" t="s">
        <v>1491</v>
      </c>
      <c r="G520" s="9" t="s">
        <v>1492</v>
      </c>
      <c r="H520" s="9" t="s">
        <v>1493</v>
      </c>
      <c r="I520" s="10">
        <v>45597</v>
      </c>
    </row>
    <row r="521" spans="1:9" x14ac:dyDescent="0.15">
      <c r="A521" s="9">
        <v>520</v>
      </c>
      <c r="B521" s="9" t="s">
        <v>9</v>
      </c>
      <c r="C521" s="9">
        <v>1923</v>
      </c>
      <c r="D521" s="10">
        <v>45701</v>
      </c>
      <c r="E521" s="13" t="str">
        <f>+HYPERLINK("http://trademark.i-assist.jp/data/china/image_1923th/81713280.pdf","81713280")</f>
        <v>81713280</v>
      </c>
      <c r="F521" s="9" t="s">
        <v>1494</v>
      </c>
      <c r="G521" s="9" t="s">
        <v>1495</v>
      </c>
      <c r="H521" s="9" t="s">
        <v>1496</v>
      </c>
      <c r="I521" s="10">
        <v>45597</v>
      </c>
    </row>
    <row r="522" spans="1:9" x14ac:dyDescent="0.15">
      <c r="A522" s="9">
        <v>521</v>
      </c>
      <c r="B522" s="9" t="s">
        <v>9</v>
      </c>
      <c r="C522" s="9">
        <v>1923</v>
      </c>
      <c r="D522" s="10">
        <v>45701</v>
      </c>
      <c r="E522" s="13" t="str">
        <f>+HYPERLINK("http://trademark.i-assist.jp/data/china/image_1923th/81714234.pdf","81714234")</f>
        <v>81714234</v>
      </c>
      <c r="F522" s="9" t="s">
        <v>1497</v>
      </c>
      <c r="G522" s="9" t="s">
        <v>1498</v>
      </c>
      <c r="H522" s="9" t="s">
        <v>1499</v>
      </c>
      <c r="I522" s="10">
        <v>45597</v>
      </c>
    </row>
    <row r="523" spans="1:9" x14ac:dyDescent="0.15">
      <c r="A523" s="9">
        <v>522</v>
      </c>
      <c r="B523" s="9" t="s">
        <v>9</v>
      </c>
      <c r="C523" s="9">
        <v>1923</v>
      </c>
      <c r="D523" s="10">
        <v>45701</v>
      </c>
      <c r="E523" s="13" t="str">
        <f>+HYPERLINK("http://trademark.i-assist.jp/data/china/image_1923th/81714272.pdf","81714272")</f>
        <v>81714272</v>
      </c>
      <c r="F523" s="9" t="s">
        <v>1500</v>
      </c>
      <c r="G523" s="11" t="s">
        <v>1501</v>
      </c>
      <c r="H523" s="9" t="s">
        <v>1502</v>
      </c>
      <c r="I523" s="10">
        <v>45597</v>
      </c>
    </row>
    <row r="524" spans="1:9" x14ac:dyDescent="0.15">
      <c r="A524" s="9">
        <v>523</v>
      </c>
      <c r="B524" s="9" t="s">
        <v>9</v>
      </c>
      <c r="C524" s="9">
        <v>1923</v>
      </c>
      <c r="D524" s="10">
        <v>45701</v>
      </c>
      <c r="E524" s="13" t="str">
        <f>+HYPERLINK("http://trademark.i-assist.jp/data/china/image_1923th/81714273.pdf","81714273")</f>
        <v>81714273</v>
      </c>
      <c r="F524" s="11" t="s">
        <v>1503</v>
      </c>
      <c r="G524" s="9" t="s">
        <v>51</v>
      </c>
      <c r="H524" s="9" t="s">
        <v>1504</v>
      </c>
      <c r="I524" s="10">
        <v>45597</v>
      </c>
    </row>
    <row r="525" spans="1:9" x14ac:dyDescent="0.15">
      <c r="A525" s="9">
        <v>524</v>
      </c>
      <c r="B525" s="9" t="s">
        <v>9</v>
      </c>
      <c r="C525" s="9">
        <v>1923</v>
      </c>
      <c r="D525" s="10">
        <v>45701</v>
      </c>
      <c r="E525" s="13" t="str">
        <f>+HYPERLINK("http://trademark.i-assist.jp/data/china/image_1923th/81714427.pdf","81714427")</f>
        <v>81714427</v>
      </c>
      <c r="F525" s="9" t="s">
        <v>1505</v>
      </c>
      <c r="G525" s="9" t="s">
        <v>1506</v>
      </c>
      <c r="H525" s="9" t="s">
        <v>1507</v>
      </c>
      <c r="I525" s="10">
        <v>45597</v>
      </c>
    </row>
    <row r="526" spans="1:9" x14ac:dyDescent="0.15">
      <c r="A526" s="9">
        <v>525</v>
      </c>
      <c r="B526" s="9" t="s">
        <v>9</v>
      </c>
      <c r="C526" s="9">
        <v>1923</v>
      </c>
      <c r="D526" s="10">
        <v>45701</v>
      </c>
      <c r="E526" s="13" t="str">
        <f>+HYPERLINK("http://trademark.i-assist.jp/data/china/image_1923th/81714750.pdf","81714750")</f>
        <v>81714750</v>
      </c>
      <c r="F526" s="9" t="s">
        <v>1508</v>
      </c>
      <c r="G526" s="9" t="s">
        <v>1509</v>
      </c>
      <c r="H526" s="11" t="s">
        <v>1510</v>
      </c>
      <c r="I526" s="10">
        <v>45597</v>
      </c>
    </row>
    <row r="527" spans="1:9" x14ac:dyDescent="0.15">
      <c r="A527" s="9">
        <v>526</v>
      </c>
      <c r="B527" s="9" t="s">
        <v>9</v>
      </c>
      <c r="C527" s="9">
        <v>1923</v>
      </c>
      <c r="D527" s="10">
        <v>45701</v>
      </c>
      <c r="E527" s="13" t="str">
        <f>+HYPERLINK("http://trademark.i-assist.jp/data/china/image_1923th/81715954.pdf","81715954")</f>
        <v>81715954</v>
      </c>
      <c r="F527" s="9" t="s">
        <v>1511</v>
      </c>
      <c r="G527" s="9" t="s">
        <v>1512</v>
      </c>
      <c r="H527" s="11" t="s">
        <v>1513</v>
      </c>
      <c r="I527" s="10">
        <v>45597</v>
      </c>
    </row>
    <row r="528" spans="1:9" x14ac:dyDescent="0.15">
      <c r="A528" s="9">
        <v>527</v>
      </c>
      <c r="B528" s="9" t="s">
        <v>9</v>
      </c>
      <c r="C528" s="9">
        <v>1923</v>
      </c>
      <c r="D528" s="10">
        <v>45701</v>
      </c>
      <c r="E528" s="13" t="str">
        <f>+HYPERLINK("http://trademark.i-assist.jp/data/china/image_1923th/81716331.pdf","81716331")</f>
        <v>81716331</v>
      </c>
      <c r="F528" s="9" t="s">
        <v>1514</v>
      </c>
      <c r="G528" s="9" t="s">
        <v>1515</v>
      </c>
      <c r="H528" s="9" t="s">
        <v>1516</v>
      </c>
      <c r="I528" s="10">
        <v>45597</v>
      </c>
    </row>
    <row r="529" spans="1:9" x14ac:dyDescent="0.15">
      <c r="A529" s="9">
        <v>528</v>
      </c>
      <c r="B529" s="9" t="s">
        <v>9</v>
      </c>
      <c r="C529" s="9">
        <v>1923</v>
      </c>
      <c r="D529" s="10">
        <v>45701</v>
      </c>
      <c r="E529" s="13" t="str">
        <f>+HYPERLINK("http://trademark.i-assist.jp/data/china/image_1923th/81717774.pdf","81717774")</f>
        <v>81717774</v>
      </c>
      <c r="F529" s="11" t="s">
        <v>1517</v>
      </c>
      <c r="G529" s="9" t="s">
        <v>1518</v>
      </c>
      <c r="H529" s="9" t="s">
        <v>1519</v>
      </c>
      <c r="I529" s="10">
        <v>45597</v>
      </c>
    </row>
    <row r="530" spans="1:9" x14ac:dyDescent="0.15">
      <c r="A530" s="9">
        <v>529</v>
      </c>
      <c r="B530" s="9" t="s">
        <v>9</v>
      </c>
      <c r="C530" s="9">
        <v>1923</v>
      </c>
      <c r="D530" s="10">
        <v>45701</v>
      </c>
      <c r="E530" s="13" t="str">
        <f>+HYPERLINK("http://trademark.i-assist.jp/data/china/image_1923th/81718240.pdf","81718240")</f>
        <v>81718240</v>
      </c>
      <c r="F530" s="11" t="s">
        <v>126</v>
      </c>
      <c r="G530" s="9" t="s">
        <v>1520</v>
      </c>
      <c r="H530" s="11" t="s">
        <v>1521</v>
      </c>
      <c r="I530" s="10">
        <v>45597</v>
      </c>
    </row>
    <row r="531" spans="1:9" x14ac:dyDescent="0.15">
      <c r="A531" s="9">
        <v>530</v>
      </c>
      <c r="B531" s="9" t="s">
        <v>9</v>
      </c>
      <c r="C531" s="9">
        <v>1923</v>
      </c>
      <c r="D531" s="10">
        <v>45701</v>
      </c>
      <c r="E531" s="13" t="str">
        <f>+HYPERLINK("http://trademark.i-assist.jp/data/china/image_1923th/81718294.pdf","81718294")</f>
        <v>81718294</v>
      </c>
      <c r="F531" s="9" t="s">
        <v>1522</v>
      </c>
      <c r="G531" s="9" t="s">
        <v>1523</v>
      </c>
      <c r="H531" s="9" t="s">
        <v>1524</v>
      </c>
      <c r="I531" s="10">
        <v>45597</v>
      </c>
    </row>
    <row r="532" spans="1:9" x14ac:dyDescent="0.15">
      <c r="A532" s="9">
        <v>531</v>
      </c>
      <c r="B532" s="9" t="s">
        <v>9</v>
      </c>
      <c r="C532" s="9">
        <v>1923</v>
      </c>
      <c r="D532" s="10">
        <v>45701</v>
      </c>
      <c r="E532" s="13" t="str">
        <f>+HYPERLINK("http://trademark.i-assist.jp/data/china/image_1923th/81718388.pdf","81718388")</f>
        <v>81718388</v>
      </c>
      <c r="F532" s="9" t="s">
        <v>1525</v>
      </c>
      <c r="G532" s="11" t="s">
        <v>1526</v>
      </c>
      <c r="H532" s="9" t="s">
        <v>1527</v>
      </c>
      <c r="I532" s="10">
        <v>45597</v>
      </c>
    </row>
    <row r="533" spans="1:9" x14ac:dyDescent="0.15">
      <c r="A533" s="9">
        <v>532</v>
      </c>
      <c r="B533" s="9" t="s">
        <v>9</v>
      </c>
      <c r="C533" s="9">
        <v>1923</v>
      </c>
      <c r="D533" s="10">
        <v>45701</v>
      </c>
      <c r="E533" s="13" t="str">
        <f>+HYPERLINK("http://trademark.i-assist.jp/data/china/image_1923th/81718768.pdf","81718768")</f>
        <v>81718768</v>
      </c>
      <c r="F533" s="9" t="s">
        <v>1528</v>
      </c>
      <c r="G533" s="9" t="s">
        <v>1529</v>
      </c>
      <c r="H533" s="9" t="s">
        <v>1530</v>
      </c>
      <c r="I533" s="10">
        <v>45597</v>
      </c>
    </row>
    <row r="534" spans="1:9" x14ac:dyDescent="0.15">
      <c r="A534" s="9">
        <v>533</v>
      </c>
      <c r="B534" s="9" t="s">
        <v>9</v>
      </c>
      <c r="C534" s="9">
        <v>1923</v>
      </c>
      <c r="D534" s="10">
        <v>45701</v>
      </c>
      <c r="E534" s="13" t="str">
        <f>+HYPERLINK("http://trademark.i-assist.jp/data/china/image_1923th/81719060.pdf","81719060")</f>
        <v>81719060</v>
      </c>
      <c r="F534" s="9" t="s">
        <v>1531</v>
      </c>
      <c r="G534" s="11" t="s">
        <v>1532</v>
      </c>
      <c r="H534" s="9" t="s">
        <v>1533</v>
      </c>
      <c r="I534" s="10">
        <v>45597</v>
      </c>
    </row>
    <row r="535" spans="1:9" x14ac:dyDescent="0.15">
      <c r="A535" s="9">
        <v>534</v>
      </c>
      <c r="B535" s="9" t="s">
        <v>9</v>
      </c>
      <c r="C535" s="9">
        <v>1923</v>
      </c>
      <c r="D535" s="10">
        <v>45701</v>
      </c>
      <c r="E535" s="13" t="str">
        <f>+HYPERLINK("http://trademark.i-assist.jp/data/china/image_1923th/81719083.pdf","81719083")</f>
        <v>81719083</v>
      </c>
      <c r="F535" s="9" t="s">
        <v>1534</v>
      </c>
      <c r="G535" s="11" t="s">
        <v>1535</v>
      </c>
      <c r="H535" s="9" t="s">
        <v>1536</v>
      </c>
      <c r="I535" s="10">
        <v>45597</v>
      </c>
    </row>
    <row r="536" spans="1:9" x14ac:dyDescent="0.15">
      <c r="A536" s="9">
        <v>535</v>
      </c>
      <c r="B536" s="9" t="s">
        <v>9</v>
      </c>
      <c r="C536" s="9">
        <v>1923</v>
      </c>
      <c r="D536" s="10">
        <v>45701</v>
      </c>
      <c r="E536" s="13" t="str">
        <f>+HYPERLINK("http://trademark.i-assist.jp/data/china/image_1923th/81719088.pdf","81719088")</f>
        <v>81719088</v>
      </c>
      <c r="F536" s="9" t="s">
        <v>1537</v>
      </c>
      <c r="G536" s="11" t="s">
        <v>1538</v>
      </c>
      <c r="H536" s="9" t="s">
        <v>1539</v>
      </c>
      <c r="I536" s="10">
        <v>45597</v>
      </c>
    </row>
    <row r="537" spans="1:9" x14ac:dyDescent="0.15">
      <c r="A537" s="9">
        <v>536</v>
      </c>
      <c r="B537" s="9" t="s">
        <v>9</v>
      </c>
      <c r="C537" s="9">
        <v>1923</v>
      </c>
      <c r="D537" s="10">
        <v>45701</v>
      </c>
      <c r="E537" s="13" t="str">
        <f>+HYPERLINK("http://trademark.i-assist.jp/data/china/image_1923th/81719302.pdf","81719302")</f>
        <v>81719302</v>
      </c>
      <c r="F537" s="9" t="s">
        <v>1540</v>
      </c>
      <c r="G537" s="9" t="s">
        <v>1541</v>
      </c>
      <c r="H537" s="9" t="s">
        <v>1542</v>
      </c>
      <c r="I537" s="10">
        <v>45597</v>
      </c>
    </row>
    <row r="538" spans="1:9" x14ac:dyDescent="0.15">
      <c r="A538" s="9">
        <v>537</v>
      </c>
      <c r="B538" s="9" t="s">
        <v>9</v>
      </c>
      <c r="C538" s="9">
        <v>1923</v>
      </c>
      <c r="D538" s="10">
        <v>45701</v>
      </c>
      <c r="E538" s="13" t="str">
        <f>+HYPERLINK("http://trademark.i-assist.jp/data/china/image_1923th/81720022.pdf","81720022")</f>
        <v>81720022</v>
      </c>
      <c r="F538" s="9" t="s">
        <v>1543</v>
      </c>
      <c r="G538" s="9" t="s">
        <v>1544</v>
      </c>
      <c r="H538" s="11" t="s">
        <v>1545</v>
      </c>
      <c r="I538" s="10">
        <v>45597</v>
      </c>
    </row>
    <row r="539" spans="1:9" x14ac:dyDescent="0.15">
      <c r="A539" s="9">
        <v>538</v>
      </c>
      <c r="B539" s="9" t="s">
        <v>9</v>
      </c>
      <c r="C539" s="9">
        <v>1923</v>
      </c>
      <c r="D539" s="10">
        <v>45701</v>
      </c>
      <c r="E539" s="13" t="str">
        <f>+HYPERLINK("http://trademark.i-assist.jp/data/china/image_1923th/81720026.pdf","81720026")</f>
        <v>81720026</v>
      </c>
      <c r="F539" s="9" t="s">
        <v>1546</v>
      </c>
      <c r="G539" s="9" t="s">
        <v>1547</v>
      </c>
      <c r="H539" s="9" t="s">
        <v>1548</v>
      </c>
      <c r="I539" s="10">
        <v>45597</v>
      </c>
    </row>
    <row r="540" spans="1:9" x14ac:dyDescent="0.15">
      <c r="A540" s="9">
        <v>539</v>
      </c>
      <c r="B540" s="9" t="s">
        <v>9</v>
      </c>
      <c r="C540" s="9">
        <v>1923</v>
      </c>
      <c r="D540" s="10">
        <v>45701</v>
      </c>
      <c r="E540" s="13" t="str">
        <f>+HYPERLINK("http://trademark.i-assist.jp/data/china/image_1923th/81720748.pdf","81720748")</f>
        <v>81720748</v>
      </c>
      <c r="F540" s="9" t="s">
        <v>1549</v>
      </c>
      <c r="G540" s="9" t="s">
        <v>1512</v>
      </c>
      <c r="H540" s="9" t="s">
        <v>1550</v>
      </c>
      <c r="I540" s="10">
        <v>45597</v>
      </c>
    </row>
    <row r="541" spans="1:9" x14ac:dyDescent="0.15">
      <c r="A541" s="9">
        <v>540</v>
      </c>
      <c r="B541" s="9" t="s">
        <v>9</v>
      </c>
      <c r="C541" s="9">
        <v>1923</v>
      </c>
      <c r="D541" s="10">
        <v>45701</v>
      </c>
      <c r="E541" s="13" t="str">
        <f>+HYPERLINK("http://trademark.i-assist.jp/data/china/image_1923th/81722343.pdf","81722343")</f>
        <v>81722343</v>
      </c>
      <c r="F541" s="9" t="s">
        <v>1551</v>
      </c>
      <c r="G541" s="9" t="s">
        <v>1552</v>
      </c>
      <c r="H541" s="9" t="s">
        <v>1553</v>
      </c>
      <c r="I541" s="10">
        <v>45597</v>
      </c>
    </row>
    <row r="542" spans="1:9" x14ac:dyDescent="0.15">
      <c r="A542" s="9">
        <v>541</v>
      </c>
      <c r="B542" s="9" t="s">
        <v>9</v>
      </c>
      <c r="C542" s="9">
        <v>1923</v>
      </c>
      <c r="D542" s="10">
        <v>45701</v>
      </c>
      <c r="E542" s="13" t="str">
        <f>+HYPERLINK("http://trademark.i-assist.jp/data/china/image_1923th/81722941.pdf","81722941")</f>
        <v>81722941</v>
      </c>
      <c r="F542" s="9" t="s">
        <v>1554</v>
      </c>
      <c r="G542" s="9" t="s">
        <v>1555</v>
      </c>
      <c r="H542" s="9" t="s">
        <v>1556</v>
      </c>
      <c r="I542" s="10">
        <v>45597</v>
      </c>
    </row>
    <row r="543" spans="1:9" x14ac:dyDescent="0.15">
      <c r="A543" s="9">
        <v>542</v>
      </c>
      <c r="B543" s="9" t="s">
        <v>9</v>
      </c>
      <c r="C543" s="9">
        <v>1923</v>
      </c>
      <c r="D543" s="10">
        <v>45701</v>
      </c>
      <c r="E543" s="13" t="str">
        <f>+HYPERLINK("http://trademark.i-assist.jp/data/china/image_1923th/81724108.pdf","81724108")</f>
        <v>81724108</v>
      </c>
      <c r="F543" s="11" t="s">
        <v>1557</v>
      </c>
      <c r="G543" s="9" t="s">
        <v>1558</v>
      </c>
      <c r="H543" s="9" t="s">
        <v>1559</v>
      </c>
      <c r="I543" s="10">
        <v>45597</v>
      </c>
    </row>
    <row r="544" spans="1:9" x14ac:dyDescent="0.15">
      <c r="A544" s="9">
        <v>543</v>
      </c>
      <c r="B544" s="9" t="s">
        <v>9</v>
      </c>
      <c r="C544" s="9">
        <v>1923</v>
      </c>
      <c r="D544" s="10">
        <v>45701</v>
      </c>
      <c r="E544" s="13" t="str">
        <f>+HYPERLINK("http://trademark.i-assist.jp/data/china/image_1923th/81724263.pdf","81724263")</f>
        <v>81724263</v>
      </c>
      <c r="F544" s="9" t="s">
        <v>1560</v>
      </c>
      <c r="G544" s="9" t="s">
        <v>1561</v>
      </c>
      <c r="H544" s="9" t="s">
        <v>1562</v>
      </c>
      <c r="I544" s="10">
        <v>45597</v>
      </c>
    </row>
    <row r="545" spans="1:9" x14ac:dyDescent="0.15">
      <c r="A545" s="9">
        <v>544</v>
      </c>
      <c r="B545" s="9" t="s">
        <v>9</v>
      </c>
      <c r="C545" s="9">
        <v>1923</v>
      </c>
      <c r="D545" s="10">
        <v>45701</v>
      </c>
      <c r="E545" s="13" t="str">
        <f>+HYPERLINK("http://trademark.i-assist.jp/data/china/image_1923th/81724961.pdf","81724961")</f>
        <v>81724961</v>
      </c>
      <c r="F545" s="11" t="s">
        <v>1563</v>
      </c>
      <c r="G545" s="11" t="s">
        <v>1564</v>
      </c>
      <c r="H545" s="9" t="s">
        <v>1565</v>
      </c>
      <c r="I545" s="10">
        <v>45597</v>
      </c>
    </row>
    <row r="546" spans="1:9" x14ac:dyDescent="0.15">
      <c r="A546" s="9">
        <v>545</v>
      </c>
      <c r="B546" s="9" t="s">
        <v>9</v>
      </c>
      <c r="C546" s="9">
        <v>1923</v>
      </c>
      <c r="D546" s="10">
        <v>45701</v>
      </c>
      <c r="E546" s="13" t="str">
        <f>+HYPERLINK("http://trademark.i-assist.jp/data/china/image_1923th/81725537.pdf","81725537")</f>
        <v>81725537</v>
      </c>
      <c r="F546" s="11" t="s">
        <v>1566</v>
      </c>
      <c r="G546" s="9" t="s">
        <v>1498</v>
      </c>
      <c r="H546" s="9" t="s">
        <v>1567</v>
      </c>
      <c r="I546" s="10">
        <v>45597</v>
      </c>
    </row>
    <row r="547" spans="1:9" x14ac:dyDescent="0.15">
      <c r="A547" s="9">
        <v>546</v>
      </c>
      <c r="B547" s="9" t="s">
        <v>9</v>
      </c>
      <c r="C547" s="9">
        <v>1923</v>
      </c>
      <c r="D547" s="10">
        <v>45701</v>
      </c>
      <c r="E547" s="13" t="str">
        <f>+HYPERLINK("http://trademark.i-assist.jp/data/china/image_1923th/81725781.pdf","81725781")</f>
        <v>81725781</v>
      </c>
      <c r="F547" s="9" t="s">
        <v>1568</v>
      </c>
      <c r="G547" s="9" t="s">
        <v>1541</v>
      </c>
      <c r="H547" s="9" t="s">
        <v>1569</v>
      </c>
      <c r="I547" s="10">
        <v>45597</v>
      </c>
    </row>
    <row r="548" spans="1:9" x14ac:dyDescent="0.15">
      <c r="A548" s="9">
        <v>547</v>
      </c>
      <c r="B548" s="9" t="s">
        <v>9</v>
      </c>
      <c r="C548" s="9">
        <v>1923</v>
      </c>
      <c r="D548" s="10">
        <v>45701</v>
      </c>
      <c r="E548" s="13" t="str">
        <f>+HYPERLINK("http://trademark.i-assist.jp/data/china/image_1923th/81726132.pdf","81726132")</f>
        <v>81726132</v>
      </c>
      <c r="F548" s="9" t="s">
        <v>1570</v>
      </c>
      <c r="G548" s="9" t="s">
        <v>1512</v>
      </c>
      <c r="H548" s="11" t="s">
        <v>1571</v>
      </c>
      <c r="I548" s="10">
        <v>45597</v>
      </c>
    </row>
    <row r="549" spans="1:9" x14ac:dyDescent="0.15">
      <c r="A549" s="9">
        <v>548</v>
      </c>
      <c r="B549" s="9" t="s">
        <v>9</v>
      </c>
      <c r="C549" s="9">
        <v>1923</v>
      </c>
      <c r="D549" s="10">
        <v>45701</v>
      </c>
      <c r="E549" s="13" t="str">
        <f>+HYPERLINK("http://trademark.i-assist.jp/data/china/image_1923th/81726845.pdf","81726845")</f>
        <v>81726845</v>
      </c>
      <c r="F549" s="9" t="s">
        <v>1572</v>
      </c>
      <c r="G549" s="11" t="s">
        <v>1573</v>
      </c>
      <c r="H549" s="9" t="s">
        <v>1574</v>
      </c>
      <c r="I549" s="10">
        <v>45597</v>
      </c>
    </row>
    <row r="550" spans="1:9" x14ac:dyDescent="0.15">
      <c r="A550" s="9">
        <v>549</v>
      </c>
      <c r="B550" s="9" t="s">
        <v>9</v>
      </c>
      <c r="C550" s="9">
        <v>1923</v>
      </c>
      <c r="D550" s="10">
        <v>45701</v>
      </c>
      <c r="E550" s="13" t="str">
        <f>+HYPERLINK("http://trademark.i-assist.jp/data/china/image_1923th/81726938.pdf","81726938")</f>
        <v>81726938</v>
      </c>
      <c r="F550" s="9" t="s">
        <v>1575</v>
      </c>
      <c r="G550" s="11" t="s">
        <v>1576</v>
      </c>
      <c r="H550" s="9" t="s">
        <v>1577</v>
      </c>
      <c r="I550" s="10">
        <v>45597</v>
      </c>
    </row>
    <row r="551" spans="1:9" x14ac:dyDescent="0.15">
      <c r="A551" s="9">
        <v>550</v>
      </c>
      <c r="B551" s="9" t="s">
        <v>9</v>
      </c>
      <c r="C551" s="9">
        <v>1923</v>
      </c>
      <c r="D551" s="10">
        <v>45701</v>
      </c>
      <c r="E551" s="13" t="str">
        <f>+HYPERLINK("http://trademark.i-assist.jp/data/china/image_1923th/81727172.pdf","81727172")</f>
        <v>81727172</v>
      </c>
      <c r="F551" s="9" t="s">
        <v>1578</v>
      </c>
      <c r="G551" s="9" t="s">
        <v>1579</v>
      </c>
      <c r="H551" s="9" t="s">
        <v>1580</v>
      </c>
      <c r="I551" s="10">
        <v>45597</v>
      </c>
    </row>
    <row r="552" spans="1:9" x14ac:dyDescent="0.15">
      <c r="A552" s="9">
        <v>551</v>
      </c>
      <c r="B552" s="9" t="s">
        <v>9</v>
      </c>
      <c r="C552" s="9">
        <v>1923</v>
      </c>
      <c r="D552" s="10">
        <v>45701</v>
      </c>
      <c r="E552" s="13" t="str">
        <f>+HYPERLINK("http://trademark.i-assist.jp/data/china/image_1923th/81728328.pdf","81728328")</f>
        <v>81728328</v>
      </c>
      <c r="F552" s="9" t="s">
        <v>1581</v>
      </c>
      <c r="G552" s="9" t="s">
        <v>1582</v>
      </c>
      <c r="H552" s="9" t="s">
        <v>1583</v>
      </c>
      <c r="I552" s="10">
        <v>45597</v>
      </c>
    </row>
    <row r="553" spans="1:9" x14ac:dyDescent="0.15">
      <c r="A553" s="9">
        <v>552</v>
      </c>
      <c r="B553" s="9" t="s">
        <v>9</v>
      </c>
      <c r="C553" s="9">
        <v>1923</v>
      </c>
      <c r="D553" s="10">
        <v>45701</v>
      </c>
      <c r="E553" s="13" t="str">
        <f>+HYPERLINK("http://trademark.i-assist.jp/data/china/image_1923th/81728446.pdf","81728446")</f>
        <v>81728446</v>
      </c>
      <c r="F553" s="9" t="s">
        <v>1584</v>
      </c>
      <c r="G553" s="9" t="s">
        <v>1585</v>
      </c>
      <c r="H553" s="9" t="s">
        <v>1586</v>
      </c>
      <c r="I553" s="10">
        <v>45597</v>
      </c>
    </row>
    <row r="554" spans="1:9" x14ac:dyDescent="0.15">
      <c r="A554" s="9">
        <v>553</v>
      </c>
      <c r="B554" s="9" t="s">
        <v>9</v>
      </c>
      <c r="C554" s="9">
        <v>1923</v>
      </c>
      <c r="D554" s="10">
        <v>45701</v>
      </c>
      <c r="E554" s="13" t="str">
        <f>+HYPERLINK("http://trademark.i-assist.jp/data/china/image_1923th/81728881.pdf","81728881")</f>
        <v>81728881</v>
      </c>
      <c r="F554" s="9" t="s">
        <v>1587</v>
      </c>
      <c r="G554" s="9" t="s">
        <v>12</v>
      </c>
      <c r="H554" s="9" t="s">
        <v>1588</v>
      </c>
      <c r="I554" s="10">
        <v>45597</v>
      </c>
    </row>
    <row r="555" spans="1:9" x14ac:dyDescent="0.15">
      <c r="A555" s="9">
        <v>554</v>
      </c>
      <c r="B555" s="9" t="s">
        <v>9</v>
      </c>
      <c r="C555" s="9">
        <v>1923</v>
      </c>
      <c r="D555" s="10">
        <v>45701</v>
      </c>
      <c r="E555" s="13" t="str">
        <f>+HYPERLINK("http://trademark.i-assist.jp/data/china/image_1923th/81728975.pdf","81728975")</f>
        <v>81728975</v>
      </c>
      <c r="F555" s="11" t="s">
        <v>1589</v>
      </c>
      <c r="G555" s="9" t="s">
        <v>1590</v>
      </c>
      <c r="H555" s="9" t="s">
        <v>1591</v>
      </c>
      <c r="I555" s="10">
        <v>45597</v>
      </c>
    </row>
    <row r="556" spans="1:9" x14ac:dyDescent="0.15">
      <c r="A556" s="9">
        <v>555</v>
      </c>
      <c r="B556" s="9" t="s">
        <v>9</v>
      </c>
      <c r="C556" s="9">
        <v>1923</v>
      </c>
      <c r="D556" s="10">
        <v>45701</v>
      </c>
      <c r="E556" s="13" t="str">
        <f>+HYPERLINK("http://trademark.i-assist.jp/data/china/image_1923th/81729094.pdf","81729094")</f>
        <v>81729094</v>
      </c>
      <c r="F556" s="9" t="s">
        <v>1592</v>
      </c>
      <c r="G556" s="9" t="s">
        <v>1593</v>
      </c>
      <c r="H556" s="9" t="s">
        <v>1594</v>
      </c>
      <c r="I556" s="10">
        <v>45597</v>
      </c>
    </row>
    <row r="557" spans="1:9" x14ac:dyDescent="0.15">
      <c r="A557" s="9">
        <v>556</v>
      </c>
      <c r="B557" s="9" t="s">
        <v>9</v>
      </c>
      <c r="C557" s="9">
        <v>1923</v>
      </c>
      <c r="D557" s="10">
        <v>45701</v>
      </c>
      <c r="E557" s="13" t="str">
        <f>+HYPERLINK("http://trademark.i-assist.jp/data/china/image_1923th/81729396.pdf","81729396")</f>
        <v>81729396</v>
      </c>
      <c r="F557" s="9" t="s">
        <v>1595</v>
      </c>
      <c r="G557" s="9" t="s">
        <v>1558</v>
      </c>
      <c r="H557" s="9" t="s">
        <v>1596</v>
      </c>
      <c r="I557" s="10">
        <v>45597</v>
      </c>
    </row>
    <row r="558" spans="1:9" x14ac:dyDescent="0.15">
      <c r="A558" s="9">
        <v>557</v>
      </c>
      <c r="B558" s="9" t="s">
        <v>9</v>
      </c>
      <c r="C558" s="9">
        <v>1923</v>
      </c>
      <c r="D558" s="10">
        <v>45701</v>
      </c>
      <c r="E558" s="13" t="str">
        <f>+HYPERLINK("http://trademark.i-assist.jp/data/china/image_1923th/81729621.pdf","81729621")</f>
        <v>81729621</v>
      </c>
      <c r="F558" s="9" t="s">
        <v>1597</v>
      </c>
      <c r="G558" s="11" t="s">
        <v>1598</v>
      </c>
      <c r="H558" s="9" t="s">
        <v>1599</v>
      </c>
      <c r="I558" s="10">
        <v>45597</v>
      </c>
    </row>
    <row r="559" spans="1:9" x14ac:dyDescent="0.15">
      <c r="A559" s="9">
        <v>558</v>
      </c>
      <c r="B559" s="9" t="s">
        <v>9</v>
      </c>
      <c r="C559" s="9">
        <v>1923</v>
      </c>
      <c r="D559" s="10">
        <v>45701</v>
      </c>
      <c r="E559" s="13" t="str">
        <f>+HYPERLINK("http://trademark.i-assist.jp/data/china/image_1923th/81729648.pdf","81729648")</f>
        <v>81729648</v>
      </c>
      <c r="F559" s="9" t="s">
        <v>1600</v>
      </c>
      <c r="G559" s="9" t="s">
        <v>1601</v>
      </c>
      <c r="H559" s="9" t="s">
        <v>1602</v>
      </c>
      <c r="I559" s="10">
        <v>45597</v>
      </c>
    </row>
    <row r="560" spans="1:9" x14ac:dyDescent="0.15">
      <c r="A560" s="9">
        <v>559</v>
      </c>
      <c r="B560" s="9" t="s">
        <v>9</v>
      </c>
      <c r="C560" s="9">
        <v>1923</v>
      </c>
      <c r="D560" s="10">
        <v>45701</v>
      </c>
      <c r="E560" s="13" t="str">
        <f>+HYPERLINK("http://trademark.i-assist.jp/data/china/image_1923th/81729689.pdf","81729689")</f>
        <v>81729689</v>
      </c>
      <c r="F560" s="9" t="s">
        <v>1528</v>
      </c>
      <c r="G560" s="9" t="s">
        <v>1529</v>
      </c>
      <c r="H560" s="9" t="s">
        <v>1603</v>
      </c>
      <c r="I560" s="10">
        <v>45597</v>
      </c>
    </row>
    <row r="561" spans="1:9" x14ac:dyDescent="0.15">
      <c r="A561" s="9">
        <v>560</v>
      </c>
      <c r="B561" s="9" t="s">
        <v>9</v>
      </c>
      <c r="C561" s="9">
        <v>1923</v>
      </c>
      <c r="D561" s="10">
        <v>45701</v>
      </c>
      <c r="E561" s="13" t="str">
        <f>+HYPERLINK("http://trademark.i-assist.jp/data/china/image_1923th/81729857.pdf","81729857")</f>
        <v>81729857</v>
      </c>
      <c r="F561" s="9" t="s">
        <v>1604</v>
      </c>
      <c r="G561" s="9" t="s">
        <v>1605</v>
      </c>
      <c r="H561" s="9" t="s">
        <v>1606</v>
      </c>
      <c r="I561" s="10">
        <v>45597</v>
      </c>
    </row>
    <row r="562" spans="1:9" x14ac:dyDescent="0.15">
      <c r="A562" s="9">
        <v>561</v>
      </c>
      <c r="B562" s="9" t="s">
        <v>9</v>
      </c>
      <c r="C562" s="9">
        <v>1923</v>
      </c>
      <c r="D562" s="10">
        <v>45701</v>
      </c>
      <c r="E562" s="13" t="str">
        <f>+HYPERLINK("http://trademark.i-assist.jp/data/china/image_1923th/81730229.pdf","81730229")</f>
        <v>81730229</v>
      </c>
      <c r="F562" s="9" t="s">
        <v>1607</v>
      </c>
      <c r="G562" s="9" t="s">
        <v>1608</v>
      </c>
      <c r="H562" s="9" t="s">
        <v>1609</v>
      </c>
      <c r="I562" s="10">
        <v>45597</v>
      </c>
    </row>
    <row r="563" spans="1:9" x14ac:dyDescent="0.15">
      <c r="A563" s="9">
        <v>562</v>
      </c>
      <c r="B563" s="9" t="s">
        <v>9</v>
      </c>
      <c r="C563" s="9">
        <v>1923</v>
      </c>
      <c r="D563" s="10">
        <v>45701</v>
      </c>
      <c r="E563" s="13" t="str">
        <f>+HYPERLINK("http://trademark.i-assist.jp/data/china/image_1923th/81730655.pdf","81730655")</f>
        <v>81730655</v>
      </c>
      <c r="F563" s="9" t="s">
        <v>1610</v>
      </c>
      <c r="G563" s="9" t="s">
        <v>1611</v>
      </c>
      <c r="H563" s="9" t="s">
        <v>1612</v>
      </c>
      <c r="I563" s="10">
        <v>45597</v>
      </c>
    </row>
    <row r="564" spans="1:9" x14ac:dyDescent="0.15">
      <c r="A564" s="9">
        <v>563</v>
      </c>
      <c r="B564" s="9" t="s">
        <v>9</v>
      </c>
      <c r="C564" s="9">
        <v>1923</v>
      </c>
      <c r="D564" s="10">
        <v>45701</v>
      </c>
      <c r="E564" s="13" t="str">
        <f>+HYPERLINK("http://trademark.i-assist.jp/data/china/image_1923th/81730940.pdf","81730940")</f>
        <v>81730940</v>
      </c>
      <c r="F564" s="11" t="s">
        <v>1613</v>
      </c>
      <c r="G564" s="9" t="s">
        <v>1614</v>
      </c>
      <c r="H564" s="9" t="s">
        <v>1615</v>
      </c>
      <c r="I564" s="10">
        <v>45597</v>
      </c>
    </row>
    <row r="565" spans="1:9" x14ac:dyDescent="0.15">
      <c r="A565" s="9">
        <v>564</v>
      </c>
      <c r="B565" s="9" t="s">
        <v>9</v>
      </c>
      <c r="C565" s="9">
        <v>1923</v>
      </c>
      <c r="D565" s="10">
        <v>45701</v>
      </c>
      <c r="E565" s="13" t="str">
        <f>+HYPERLINK("http://trademark.i-assist.jp/data/china/image_1923th/81731366.pdf","81731366")</f>
        <v>81731366</v>
      </c>
      <c r="F565" s="11" t="s">
        <v>1616</v>
      </c>
      <c r="G565" s="9" t="s">
        <v>1617</v>
      </c>
      <c r="H565" s="9" t="s">
        <v>1618</v>
      </c>
      <c r="I565" s="10">
        <v>45597</v>
      </c>
    </row>
    <row r="566" spans="1:9" x14ac:dyDescent="0.15">
      <c r="A566" s="9">
        <v>565</v>
      </c>
      <c r="B566" s="9" t="s">
        <v>9</v>
      </c>
      <c r="C566" s="9">
        <v>1923</v>
      </c>
      <c r="D566" s="10">
        <v>45701</v>
      </c>
      <c r="E566" s="13" t="str">
        <f>+HYPERLINK("http://trademark.i-assist.jp/data/china/image_1923th/81731482.pdf","81731482")</f>
        <v>81731482</v>
      </c>
      <c r="F566" s="9" t="s">
        <v>1619</v>
      </c>
      <c r="G566" s="11" t="s">
        <v>1620</v>
      </c>
      <c r="H566" s="9" t="s">
        <v>1621</v>
      </c>
      <c r="I566" s="10">
        <v>45597</v>
      </c>
    </row>
    <row r="567" spans="1:9" x14ac:dyDescent="0.15">
      <c r="A567" s="9">
        <v>566</v>
      </c>
      <c r="B567" s="9" t="s">
        <v>9</v>
      </c>
      <c r="C567" s="9">
        <v>1923</v>
      </c>
      <c r="D567" s="10">
        <v>45701</v>
      </c>
      <c r="E567" s="13" t="str">
        <f>+HYPERLINK("http://trademark.i-assist.jp/data/china/image_1923th/81731551.pdf","81731551")</f>
        <v>81731551</v>
      </c>
      <c r="F567" s="9" t="s">
        <v>1622</v>
      </c>
      <c r="G567" s="9" t="s">
        <v>1623</v>
      </c>
      <c r="H567" s="9" t="s">
        <v>1624</v>
      </c>
      <c r="I567" s="10">
        <v>45597</v>
      </c>
    </row>
    <row r="568" spans="1:9" x14ac:dyDescent="0.15">
      <c r="A568" s="9">
        <v>567</v>
      </c>
      <c r="B568" s="9" t="s">
        <v>9</v>
      </c>
      <c r="C568" s="9">
        <v>1923</v>
      </c>
      <c r="D568" s="10">
        <v>45701</v>
      </c>
      <c r="E568" s="13" t="str">
        <f>+HYPERLINK("http://trademark.i-assist.jp/data/china/image_1923th/81731850.pdf","81731850")</f>
        <v>81731850</v>
      </c>
      <c r="F568" s="9" t="s">
        <v>1625</v>
      </c>
      <c r="G568" s="11" t="s">
        <v>1626</v>
      </c>
      <c r="H568" s="9" t="s">
        <v>1627</v>
      </c>
      <c r="I568" s="10">
        <v>45597</v>
      </c>
    </row>
    <row r="569" spans="1:9" x14ac:dyDescent="0.15">
      <c r="A569" s="9">
        <v>568</v>
      </c>
      <c r="B569" s="9" t="s">
        <v>9</v>
      </c>
      <c r="C569" s="9">
        <v>1923</v>
      </c>
      <c r="D569" s="10">
        <v>45701</v>
      </c>
      <c r="E569" s="13" t="str">
        <f>+HYPERLINK("http://trademark.i-assist.jp/data/china/image_1923th/81732348.pdf","81732348")</f>
        <v>81732348</v>
      </c>
      <c r="F569" s="9" t="s">
        <v>1628</v>
      </c>
      <c r="G569" s="9" t="s">
        <v>1629</v>
      </c>
      <c r="H569" s="9" t="s">
        <v>1630</v>
      </c>
      <c r="I569" s="10">
        <v>45597</v>
      </c>
    </row>
    <row r="570" spans="1:9" x14ac:dyDescent="0.15">
      <c r="A570" s="9">
        <v>569</v>
      </c>
      <c r="B570" s="9" t="s">
        <v>9</v>
      </c>
      <c r="C570" s="9">
        <v>1923</v>
      </c>
      <c r="D570" s="10">
        <v>45701</v>
      </c>
      <c r="E570" s="13" t="str">
        <f>+HYPERLINK("http://trademark.i-assist.jp/data/china/image_1923th/81732522.pdf","81732522")</f>
        <v>81732522</v>
      </c>
      <c r="F570" s="9" t="s">
        <v>1631</v>
      </c>
      <c r="G570" s="11" t="s">
        <v>1564</v>
      </c>
      <c r="H570" s="9" t="s">
        <v>1632</v>
      </c>
      <c r="I570" s="10">
        <v>45597</v>
      </c>
    </row>
    <row r="571" spans="1:9" x14ac:dyDescent="0.15">
      <c r="A571" s="9">
        <v>570</v>
      </c>
      <c r="B571" s="9" t="s">
        <v>9</v>
      </c>
      <c r="C571" s="9">
        <v>1923</v>
      </c>
      <c r="D571" s="10">
        <v>45701</v>
      </c>
      <c r="E571" s="13" t="str">
        <f>+HYPERLINK("http://trademark.i-assist.jp/data/china/image_1923th/81732895.pdf","81732895")</f>
        <v>81732895</v>
      </c>
      <c r="F571" s="9" t="s">
        <v>1633</v>
      </c>
      <c r="G571" s="9" t="s">
        <v>1590</v>
      </c>
      <c r="H571" s="9" t="s">
        <v>1634</v>
      </c>
      <c r="I571" s="10">
        <v>45597</v>
      </c>
    </row>
    <row r="572" spans="1:9" x14ac:dyDescent="0.15">
      <c r="A572" s="9">
        <v>571</v>
      </c>
      <c r="B572" s="9" t="s">
        <v>9</v>
      </c>
      <c r="C572" s="9">
        <v>1923</v>
      </c>
      <c r="D572" s="10">
        <v>45701</v>
      </c>
      <c r="E572" s="13" t="str">
        <f>+HYPERLINK("http://trademark.i-assist.jp/data/china/image_1923th/81733525.pdf","81733525")</f>
        <v>81733525</v>
      </c>
      <c r="F572" s="9" t="s">
        <v>1635</v>
      </c>
      <c r="G572" s="11" t="s">
        <v>1636</v>
      </c>
      <c r="H572" s="9" t="s">
        <v>1637</v>
      </c>
      <c r="I572" s="10">
        <v>45597</v>
      </c>
    </row>
    <row r="573" spans="1:9" x14ac:dyDescent="0.15">
      <c r="A573" s="9">
        <v>572</v>
      </c>
      <c r="B573" s="9" t="s">
        <v>9</v>
      </c>
      <c r="C573" s="9">
        <v>1923</v>
      </c>
      <c r="D573" s="10">
        <v>45701</v>
      </c>
      <c r="E573" s="13" t="str">
        <f>+HYPERLINK("http://trademark.i-assist.jp/data/china/image_1923th/81734112.pdf","81734112")</f>
        <v>81734112</v>
      </c>
      <c r="F573" s="11" t="s">
        <v>1638</v>
      </c>
      <c r="G573" s="11" t="s">
        <v>1564</v>
      </c>
      <c r="H573" s="9" t="s">
        <v>1639</v>
      </c>
      <c r="I573" s="10">
        <v>45597</v>
      </c>
    </row>
    <row r="574" spans="1:9" x14ac:dyDescent="0.15">
      <c r="A574" s="9">
        <v>573</v>
      </c>
      <c r="B574" s="9" t="s">
        <v>9</v>
      </c>
      <c r="C574" s="9">
        <v>1923</v>
      </c>
      <c r="D574" s="10">
        <v>45701</v>
      </c>
      <c r="E574" s="13" t="str">
        <f>+HYPERLINK("http://trademark.i-assist.jp/data/china/image_1923th/81734296.pdf","81734296")</f>
        <v>81734296</v>
      </c>
      <c r="F574" s="9" t="s">
        <v>1640</v>
      </c>
      <c r="G574" s="9" t="s">
        <v>1641</v>
      </c>
      <c r="H574" s="11" t="s">
        <v>1642</v>
      </c>
      <c r="I574" s="10">
        <v>45597</v>
      </c>
    </row>
    <row r="575" spans="1:9" x14ac:dyDescent="0.15">
      <c r="A575" s="9">
        <v>574</v>
      </c>
      <c r="B575" s="9" t="s">
        <v>9</v>
      </c>
      <c r="C575" s="9">
        <v>1923</v>
      </c>
      <c r="D575" s="10">
        <v>45701</v>
      </c>
      <c r="E575" s="13" t="str">
        <f>+HYPERLINK("http://trademark.i-assist.jp/data/china/image_1923th/81735694.pdf","81735694")</f>
        <v>81735694</v>
      </c>
      <c r="F575" s="9" t="s">
        <v>1643</v>
      </c>
      <c r="G575" s="9" t="s">
        <v>31</v>
      </c>
      <c r="H575" s="9" t="s">
        <v>1644</v>
      </c>
      <c r="I575" s="10">
        <v>45597</v>
      </c>
    </row>
    <row r="576" spans="1:9" x14ac:dyDescent="0.15">
      <c r="A576" s="9">
        <v>575</v>
      </c>
      <c r="B576" s="9" t="s">
        <v>9</v>
      </c>
      <c r="C576" s="9">
        <v>1923</v>
      </c>
      <c r="D576" s="10">
        <v>45701</v>
      </c>
      <c r="E576" s="13" t="str">
        <f>+HYPERLINK("http://trademark.i-assist.jp/data/china/image_1923th/81736093.pdf","81736093")</f>
        <v>81736093</v>
      </c>
      <c r="F576" s="9" t="s">
        <v>1528</v>
      </c>
      <c r="G576" s="9" t="s">
        <v>1529</v>
      </c>
      <c r="H576" s="9" t="s">
        <v>1645</v>
      </c>
      <c r="I576" s="10">
        <v>45597</v>
      </c>
    </row>
    <row r="577" spans="1:9" x14ac:dyDescent="0.15">
      <c r="A577" s="9">
        <v>576</v>
      </c>
      <c r="B577" s="9" t="s">
        <v>9</v>
      </c>
      <c r="C577" s="9">
        <v>1923</v>
      </c>
      <c r="D577" s="10">
        <v>45701</v>
      </c>
      <c r="E577" s="13" t="str">
        <f>+HYPERLINK("http://trademark.i-assist.jp/data/china/image_1923th/81736605.pdf","81736605")</f>
        <v>81736605</v>
      </c>
      <c r="F577" s="9" t="s">
        <v>1646</v>
      </c>
      <c r="G577" s="9" t="s">
        <v>1647</v>
      </c>
      <c r="H577" s="9" t="s">
        <v>1648</v>
      </c>
      <c r="I577" s="10">
        <v>45598</v>
      </c>
    </row>
    <row r="578" spans="1:9" x14ac:dyDescent="0.15">
      <c r="A578" s="9">
        <v>577</v>
      </c>
      <c r="B578" s="9" t="s">
        <v>9</v>
      </c>
      <c r="C578" s="9">
        <v>1923</v>
      </c>
      <c r="D578" s="10">
        <v>45701</v>
      </c>
      <c r="E578" s="13" t="str">
        <f>+HYPERLINK("http://trademark.i-assist.jp/data/china/image_1923th/81736698.pdf","81736698")</f>
        <v>81736698</v>
      </c>
      <c r="F578" s="9" t="s">
        <v>1649</v>
      </c>
      <c r="G578" s="11" t="s">
        <v>1650</v>
      </c>
      <c r="H578" s="9" t="s">
        <v>1651</v>
      </c>
      <c r="I578" s="10">
        <v>45598</v>
      </c>
    </row>
    <row r="579" spans="1:9" x14ac:dyDescent="0.15">
      <c r="A579" s="9">
        <v>578</v>
      </c>
      <c r="B579" s="9" t="s">
        <v>9</v>
      </c>
      <c r="C579" s="9">
        <v>1923</v>
      </c>
      <c r="D579" s="10">
        <v>45701</v>
      </c>
      <c r="E579" s="13" t="str">
        <f>+HYPERLINK("http://trademark.i-assist.jp/data/china/image_1923th/81736777.pdf","81736777")</f>
        <v>81736777</v>
      </c>
      <c r="F579" s="9" t="s">
        <v>1652</v>
      </c>
      <c r="G579" s="9" t="s">
        <v>1653</v>
      </c>
      <c r="H579" s="9" t="s">
        <v>1654</v>
      </c>
      <c r="I579" s="10">
        <v>45598</v>
      </c>
    </row>
    <row r="580" spans="1:9" x14ac:dyDescent="0.15">
      <c r="A580" s="9">
        <v>579</v>
      </c>
      <c r="B580" s="9" t="s">
        <v>9</v>
      </c>
      <c r="C580" s="9">
        <v>1923</v>
      </c>
      <c r="D580" s="10">
        <v>45701</v>
      </c>
      <c r="E580" s="13" t="str">
        <f>+HYPERLINK("http://trademark.i-assist.jp/data/china/image_1923th/81736979.pdf","81736979")</f>
        <v>81736979</v>
      </c>
      <c r="F580" s="9" t="s">
        <v>1655</v>
      </c>
      <c r="G580" s="11" t="s">
        <v>1656</v>
      </c>
      <c r="H580" s="9" t="s">
        <v>1657</v>
      </c>
      <c r="I580" s="10">
        <v>45598</v>
      </c>
    </row>
    <row r="581" spans="1:9" x14ac:dyDescent="0.15">
      <c r="A581" s="9">
        <v>580</v>
      </c>
      <c r="B581" s="9" t="s">
        <v>9</v>
      </c>
      <c r="C581" s="9">
        <v>1923</v>
      </c>
      <c r="D581" s="10">
        <v>45701</v>
      </c>
      <c r="E581" s="13" t="str">
        <f>+HYPERLINK("http://trademark.i-assist.jp/data/china/image_1923th/81737033.pdf","81737033")</f>
        <v>81737033</v>
      </c>
      <c r="F581" s="9" t="s">
        <v>1658</v>
      </c>
      <c r="G581" s="9" t="s">
        <v>1659</v>
      </c>
      <c r="H581" s="11" t="s">
        <v>1660</v>
      </c>
      <c r="I581" s="10">
        <v>45598</v>
      </c>
    </row>
    <row r="582" spans="1:9" x14ac:dyDescent="0.15">
      <c r="A582" s="9">
        <v>581</v>
      </c>
      <c r="B582" s="9" t="s">
        <v>9</v>
      </c>
      <c r="C582" s="9">
        <v>1923</v>
      </c>
      <c r="D582" s="10">
        <v>45701</v>
      </c>
      <c r="E582" s="13" t="str">
        <f>+HYPERLINK("http://trademark.i-assist.jp/data/china/image_1923th/81739017.pdf","81739017")</f>
        <v>81739017</v>
      </c>
      <c r="F582" s="11" t="s">
        <v>126</v>
      </c>
      <c r="G582" s="9" t="s">
        <v>1661</v>
      </c>
      <c r="H582" s="9" t="s">
        <v>1662</v>
      </c>
      <c r="I582" s="10">
        <v>45598</v>
      </c>
    </row>
    <row r="583" spans="1:9" x14ac:dyDescent="0.15">
      <c r="A583" s="9">
        <v>582</v>
      </c>
      <c r="B583" s="9" t="s">
        <v>9</v>
      </c>
      <c r="C583" s="9">
        <v>1923</v>
      </c>
      <c r="D583" s="10">
        <v>45701</v>
      </c>
      <c r="E583" s="13" t="str">
        <f>+HYPERLINK("http://trademark.i-assist.jp/data/china/image_1923th/81739496.pdf","81739496")</f>
        <v>81739496</v>
      </c>
      <c r="F583" s="9" t="s">
        <v>1663</v>
      </c>
      <c r="G583" s="9" t="s">
        <v>1664</v>
      </c>
      <c r="H583" s="9" t="s">
        <v>1665</v>
      </c>
      <c r="I583" s="10">
        <v>45598</v>
      </c>
    </row>
    <row r="584" spans="1:9" x14ac:dyDescent="0.15">
      <c r="A584" s="9">
        <v>583</v>
      </c>
      <c r="B584" s="9" t="s">
        <v>9</v>
      </c>
      <c r="C584" s="9">
        <v>1923</v>
      </c>
      <c r="D584" s="10">
        <v>45701</v>
      </c>
      <c r="E584" s="13" t="str">
        <f>+HYPERLINK("http://trademark.i-assist.jp/data/china/image_1923th/81739862.pdf","81739862")</f>
        <v>81739862</v>
      </c>
      <c r="F584" s="9" t="s">
        <v>1666</v>
      </c>
      <c r="G584" s="9" t="s">
        <v>1667</v>
      </c>
      <c r="H584" s="9" t="s">
        <v>1668</v>
      </c>
      <c r="I584" s="10">
        <v>45598</v>
      </c>
    </row>
    <row r="585" spans="1:9" x14ac:dyDescent="0.15">
      <c r="A585" s="9">
        <v>584</v>
      </c>
      <c r="B585" s="9" t="s">
        <v>9</v>
      </c>
      <c r="C585" s="9">
        <v>1923</v>
      </c>
      <c r="D585" s="10">
        <v>45701</v>
      </c>
      <c r="E585" s="13" t="str">
        <f>+HYPERLINK("http://trademark.i-assist.jp/data/china/image_1923th/81740691.pdf","81740691")</f>
        <v>81740691</v>
      </c>
      <c r="F585" s="9" t="s">
        <v>1669</v>
      </c>
      <c r="G585" s="9" t="s">
        <v>1670</v>
      </c>
      <c r="H585" s="9" t="s">
        <v>1671</v>
      </c>
      <c r="I585" s="10">
        <v>45598</v>
      </c>
    </row>
    <row r="586" spans="1:9" x14ac:dyDescent="0.15">
      <c r="A586" s="9">
        <v>585</v>
      </c>
      <c r="B586" s="9" t="s">
        <v>9</v>
      </c>
      <c r="C586" s="9">
        <v>1923</v>
      </c>
      <c r="D586" s="10">
        <v>45701</v>
      </c>
      <c r="E586" s="13" t="str">
        <f>+HYPERLINK("http://trademark.i-assist.jp/data/china/image_1923th/81740800.pdf","81740800")</f>
        <v>81740800</v>
      </c>
      <c r="F586" s="11" t="s">
        <v>1672</v>
      </c>
      <c r="G586" s="11" t="s">
        <v>1673</v>
      </c>
      <c r="H586" s="9" t="s">
        <v>1674</v>
      </c>
      <c r="I586" s="10">
        <v>45598</v>
      </c>
    </row>
    <row r="587" spans="1:9" x14ac:dyDescent="0.15">
      <c r="A587" s="9">
        <v>586</v>
      </c>
      <c r="B587" s="9" t="s">
        <v>9</v>
      </c>
      <c r="C587" s="9">
        <v>1923</v>
      </c>
      <c r="D587" s="10">
        <v>45701</v>
      </c>
      <c r="E587" s="13" t="str">
        <f>+HYPERLINK("http://trademark.i-assist.jp/data/china/image_1923th/81741042.pdf","81741042")</f>
        <v>81741042</v>
      </c>
      <c r="F587" s="9" t="s">
        <v>1675</v>
      </c>
      <c r="G587" s="9" t="s">
        <v>584</v>
      </c>
      <c r="H587" s="11" t="s">
        <v>1676</v>
      </c>
      <c r="I587" s="10">
        <v>45598</v>
      </c>
    </row>
    <row r="588" spans="1:9" x14ac:dyDescent="0.15">
      <c r="A588" s="9">
        <v>587</v>
      </c>
      <c r="B588" s="9" t="s">
        <v>9</v>
      </c>
      <c r="C588" s="9">
        <v>1923</v>
      </c>
      <c r="D588" s="10">
        <v>45701</v>
      </c>
      <c r="E588" s="13" t="str">
        <f>+HYPERLINK("http://trademark.i-assist.jp/data/china/image_1923th/81741082.pdf","81741082")</f>
        <v>81741082</v>
      </c>
      <c r="F588" s="9" t="s">
        <v>1677</v>
      </c>
      <c r="G588" s="9" t="s">
        <v>1678</v>
      </c>
      <c r="H588" s="9" t="s">
        <v>1679</v>
      </c>
      <c r="I588" s="10">
        <v>45598</v>
      </c>
    </row>
    <row r="589" spans="1:9" x14ac:dyDescent="0.15">
      <c r="A589" s="9">
        <v>588</v>
      </c>
      <c r="B589" s="9" t="s">
        <v>9</v>
      </c>
      <c r="C589" s="9">
        <v>1923</v>
      </c>
      <c r="D589" s="10">
        <v>45701</v>
      </c>
      <c r="E589" s="13" t="str">
        <f>+HYPERLINK("http://trademark.i-assist.jp/data/china/image_1923th/81741584.pdf","81741584")</f>
        <v>81741584</v>
      </c>
      <c r="F589" s="9" t="s">
        <v>1680</v>
      </c>
      <c r="G589" s="9" t="s">
        <v>1681</v>
      </c>
      <c r="H589" s="9" t="s">
        <v>1682</v>
      </c>
      <c r="I589" s="10">
        <v>45598</v>
      </c>
    </row>
    <row r="590" spans="1:9" x14ac:dyDescent="0.15">
      <c r="A590" s="9">
        <v>589</v>
      </c>
      <c r="B590" s="9" t="s">
        <v>9</v>
      </c>
      <c r="C590" s="9">
        <v>1923</v>
      </c>
      <c r="D590" s="10">
        <v>45701</v>
      </c>
      <c r="E590" s="13" t="str">
        <f>+HYPERLINK("http://trademark.i-assist.jp/data/china/image_1923th/81741645.pdf","81741645")</f>
        <v>81741645</v>
      </c>
      <c r="F590" s="9" t="s">
        <v>1683</v>
      </c>
      <c r="G590" s="9" t="s">
        <v>1681</v>
      </c>
      <c r="H590" s="9" t="s">
        <v>1684</v>
      </c>
      <c r="I590" s="10">
        <v>45598</v>
      </c>
    </row>
    <row r="591" spans="1:9" x14ac:dyDescent="0.15">
      <c r="A591" s="9">
        <v>590</v>
      </c>
      <c r="B591" s="9" t="s">
        <v>9</v>
      </c>
      <c r="C591" s="9">
        <v>1923</v>
      </c>
      <c r="D591" s="10">
        <v>45701</v>
      </c>
      <c r="E591" s="13" t="str">
        <f>+HYPERLINK("http://trademark.i-assist.jp/data/china/image_1923th/81742676.pdf","81742676")</f>
        <v>81742676</v>
      </c>
      <c r="F591" s="11" t="s">
        <v>1685</v>
      </c>
      <c r="G591" s="11" t="s">
        <v>1686</v>
      </c>
      <c r="H591" s="9" t="s">
        <v>1687</v>
      </c>
      <c r="I591" s="10">
        <v>45599</v>
      </c>
    </row>
    <row r="592" spans="1:9" x14ac:dyDescent="0.15">
      <c r="A592" s="9">
        <v>591</v>
      </c>
      <c r="B592" s="9" t="s">
        <v>9</v>
      </c>
      <c r="C592" s="9">
        <v>1923</v>
      </c>
      <c r="D592" s="10">
        <v>45701</v>
      </c>
      <c r="E592" s="13" t="str">
        <f>+HYPERLINK("http://trademark.i-assist.jp/data/china/image_1923th/81743725.pdf","81743725")</f>
        <v>81743725</v>
      </c>
      <c r="F592" s="9" t="s">
        <v>1688</v>
      </c>
      <c r="G592" s="9" t="s">
        <v>32</v>
      </c>
      <c r="H592" s="9" t="s">
        <v>1689</v>
      </c>
      <c r="I592" s="10">
        <v>45599</v>
      </c>
    </row>
    <row r="593" spans="1:9" x14ac:dyDescent="0.15">
      <c r="A593" s="9">
        <v>592</v>
      </c>
      <c r="B593" s="9" t="s">
        <v>9</v>
      </c>
      <c r="C593" s="9">
        <v>1923</v>
      </c>
      <c r="D593" s="10">
        <v>45701</v>
      </c>
      <c r="E593" s="13" t="str">
        <f>+HYPERLINK("http://trademark.i-assist.jp/data/china/image_1923th/81743967.pdf","81743967")</f>
        <v>81743967</v>
      </c>
      <c r="F593" s="9" t="s">
        <v>1690</v>
      </c>
      <c r="G593" s="9" t="s">
        <v>1691</v>
      </c>
      <c r="H593" s="9" t="s">
        <v>1692</v>
      </c>
      <c r="I593" s="10">
        <v>45599</v>
      </c>
    </row>
    <row r="594" spans="1:9" x14ac:dyDescent="0.15">
      <c r="A594" s="9">
        <v>593</v>
      </c>
      <c r="B594" s="9" t="s">
        <v>9</v>
      </c>
      <c r="C594" s="9">
        <v>1923</v>
      </c>
      <c r="D594" s="10">
        <v>45701</v>
      </c>
      <c r="E594" s="13" t="str">
        <f>+HYPERLINK("http://trademark.i-assist.jp/data/china/image_1923th/81744550.pdf","81744550")</f>
        <v>81744550</v>
      </c>
      <c r="F594" s="9" t="s">
        <v>1693</v>
      </c>
      <c r="G594" s="11" t="s">
        <v>1694</v>
      </c>
      <c r="H594" s="11" t="s">
        <v>1695</v>
      </c>
      <c r="I594" s="10">
        <v>45600</v>
      </c>
    </row>
    <row r="595" spans="1:9" x14ac:dyDescent="0.15">
      <c r="A595" s="9">
        <v>594</v>
      </c>
      <c r="B595" s="9" t="s">
        <v>9</v>
      </c>
      <c r="C595" s="9">
        <v>1923</v>
      </c>
      <c r="D595" s="10">
        <v>45701</v>
      </c>
      <c r="E595" s="13" t="str">
        <f>+HYPERLINK("http://trademark.i-assist.jp/data/china/image_1923th/81745005.pdf","81745005")</f>
        <v>81745005</v>
      </c>
      <c r="F595" s="9" t="s">
        <v>1696</v>
      </c>
      <c r="G595" s="9" t="s">
        <v>1697</v>
      </c>
      <c r="H595" s="9" t="s">
        <v>1698</v>
      </c>
      <c r="I595" s="10">
        <v>45600</v>
      </c>
    </row>
    <row r="596" spans="1:9" x14ac:dyDescent="0.15">
      <c r="A596" s="9">
        <v>595</v>
      </c>
      <c r="B596" s="9" t="s">
        <v>9</v>
      </c>
      <c r="C596" s="9">
        <v>1923</v>
      </c>
      <c r="D596" s="10">
        <v>45701</v>
      </c>
      <c r="E596" s="13" t="str">
        <f>+HYPERLINK("http://trademark.i-assist.jp/data/china/image_1923th/81745232.pdf","81745232")</f>
        <v>81745232</v>
      </c>
      <c r="F596" s="9" t="s">
        <v>1699</v>
      </c>
      <c r="G596" s="11" t="s">
        <v>1700</v>
      </c>
      <c r="H596" s="9" t="s">
        <v>1701</v>
      </c>
      <c r="I596" s="10">
        <v>45600</v>
      </c>
    </row>
    <row r="597" spans="1:9" x14ac:dyDescent="0.15">
      <c r="A597" s="9">
        <v>596</v>
      </c>
      <c r="B597" s="9" t="s">
        <v>9</v>
      </c>
      <c r="C597" s="9">
        <v>1923</v>
      </c>
      <c r="D597" s="10">
        <v>45701</v>
      </c>
      <c r="E597" s="13" t="str">
        <f>+HYPERLINK("http://trademark.i-assist.jp/data/china/image_1923th/81746072.pdf","81746072")</f>
        <v>81746072</v>
      </c>
      <c r="F597" s="9" t="s">
        <v>1702</v>
      </c>
      <c r="G597" s="9" t="s">
        <v>1703</v>
      </c>
      <c r="H597" s="9" t="s">
        <v>1704</v>
      </c>
      <c r="I597" s="10">
        <v>45600</v>
      </c>
    </row>
    <row r="598" spans="1:9" x14ac:dyDescent="0.15">
      <c r="A598" s="9">
        <v>597</v>
      </c>
      <c r="B598" s="9" t="s">
        <v>9</v>
      </c>
      <c r="C598" s="9">
        <v>1923</v>
      </c>
      <c r="D598" s="10">
        <v>45701</v>
      </c>
      <c r="E598" s="13" t="str">
        <f>+HYPERLINK("http://trademark.i-assist.jp/data/china/image_1923th/81746078.pdf","81746078")</f>
        <v>81746078</v>
      </c>
      <c r="F598" s="9" t="s">
        <v>1705</v>
      </c>
      <c r="G598" s="9" t="s">
        <v>1706</v>
      </c>
      <c r="H598" s="9" t="s">
        <v>1707</v>
      </c>
      <c r="I598" s="10">
        <v>45600</v>
      </c>
    </row>
    <row r="599" spans="1:9" x14ac:dyDescent="0.15">
      <c r="A599" s="9">
        <v>598</v>
      </c>
      <c r="B599" s="9" t="s">
        <v>9</v>
      </c>
      <c r="C599" s="9">
        <v>1923</v>
      </c>
      <c r="D599" s="10">
        <v>45701</v>
      </c>
      <c r="E599" s="13" t="str">
        <f>+HYPERLINK("http://trademark.i-assist.jp/data/china/image_1923th/81746416.pdf","81746416")</f>
        <v>81746416</v>
      </c>
      <c r="F599" s="9" t="s">
        <v>1708</v>
      </c>
      <c r="G599" s="9" t="s">
        <v>1709</v>
      </c>
      <c r="H599" s="9" t="s">
        <v>1710</v>
      </c>
      <c r="I599" s="10">
        <v>45600</v>
      </c>
    </row>
    <row r="600" spans="1:9" x14ac:dyDescent="0.15">
      <c r="A600" s="9">
        <v>599</v>
      </c>
      <c r="B600" s="9" t="s">
        <v>9</v>
      </c>
      <c r="C600" s="9">
        <v>1923</v>
      </c>
      <c r="D600" s="10">
        <v>45701</v>
      </c>
      <c r="E600" s="13" t="str">
        <f>+HYPERLINK("http://trademark.i-assist.jp/data/china/image_1923th/81746663.pdf","81746663")</f>
        <v>81746663</v>
      </c>
      <c r="F600" s="9" t="s">
        <v>1711</v>
      </c>
      <c r="G600" s="11" t="s">
        <v>1712</v>
      </c>
      <c r="H600" s="9" t="s">
        <v>1713</v>
      </c>
      <c r="I600" s="10">
        <v>45600</v>
      </c>
    </row>
    <row r="601" spans="1:9" x14ac:dyDescent="0.15">
      <c r="A601" s="9">
        <v>600</v>
      </c>
      <c r="B601" s="9" t="s">
        <v>9</v>
      </c>
      <c r="C601" s="9">
        <v>1923</v>
      </c>
      <c r="D601" s="10">
        <v>45701</v>
      </c>
      <c r="E601" s="13" t="str">
        <f>+HYPERLINK("http://trademark.i-assist.jp/data/china/image_1923th/81746832.pdf","81746832")</f>
        <v>81746832</v>
      </c>
      <c r="F601" s="9" t="s">
        <v>1714</v>
      </c>
      <c r="G601" s="9" t="s">
        <v>1715</v>
      </c>
      <c r="H601" s="9" t="s">
        <v>1716</v>
      </c>
      <c r="I601" s="10">
        <v>45600</v>
      </c>
    </row>
    <row r="602" spans="1:9" x14ac:dyDescent="0.15">
      <c r="A602" s="9">
        <v>601</v>
      </c>
      <c r="B602" s="9" t="s">
        <v>9</v>
      </c>
      <c r="C602" s="9">
        <v>1923</v>
      </c>
      <c r="D602" s="10">
        <v>45701</v>
      </c>
      <c r="E602" s="13" t="str">
        <f>+HYPERLINK("http://trademark.i-assist.jp/data/china/image_1923th/81746933.pdf","81746933")</f>
        <v>81746933</v>
      </c>
      <c r="F602" s="9" t="s">
        <v>1717</v>
      </c>
      <c r="G602" s="11" t="s">
        <v>1718</v>
      </c>
      <c r="H602" s="9" t="s">
        <v>1719</v>
      </c>
      <c r="I602" s="10">
        <v>45600</v>
      </c>
    </row>
    <row r="603" spans="1:9" x14ac:dyDescent="0.15">
      <c r="A603" s="9">
        <v>602</v>
      </c>
      <c r="B603" s="9" t="s">
        <v>9</v>
      </c>
      <c r="C603" s="9">
        <v>1923</v>
      </c>
      <c r="D603" s="10">
        <v>45701</v>
      </c>
      <c r="E603" s="13" t="str">
        <f>+HYPERLINK("http://trademark.i-assist.jp/data/china/image_1923th/81747811.pdf","81747811")</f>
        <v>81747811</v>
      </c>
      <c r="F603" s="9" t="s">
        <v>1720</v>
      </c>
      <c r="G603" s="9" t="s">
        <v>1709</v>
      </c>
      <c r="H603" s="9" t="s">
        <v>1721</v>
      </c>
      <c r="I603" s="10">
        <v>45600</v>
      </c>
    </row>
    <row r="604" spans="1:9" x14ac:dyDescent="0.15">
      <c r="A604" s="9">
        <v>603</v>
      </c>
      <c r="B604" s="9" t="s">
        <v>9</v>
      </c>
      <c r="C604" s="9">
        <v>1923</v>
      </c>
      <c r="D604" s="10">
        <v>45701</v>
      </c>
      <c r="E604" s="13" t="str">
        <f>+HYPERLINK("http://trademark.i-assist.jp/data/china/image_1923th/81748025.pdf","81748025")</f>
        <v>81748025</v>
      </c>
      <c r="F604" s="11" t="s">
        <v>1722</v>
      </c>
      <c r="G604" s="11" t="s">
        <v>1723</v>
      </c>
      <c r="H604" s="9" t="s">
        <v>1724</v>
      </c>
      <c r="I604" s="10">
        <v>45600</v>
      </c>
    </row>
    <row r="605" spans="1:9" x14ac:dyDescent="0.15">
      <c r="A605" s="9">
        <v>604</v>
      </c>
      <c r="B605" s="9" t="s">
        <v>9</v>
      </c>
      <c r="C605" s="9">
        <v>1923</v>
      </c>
      <c r="D605" s="10">
        <v>45701</v>
      </c>
      <c r="E605" s="13" t="str">
        <f>+HYPERLINK("http://trademark.i-assist.jp/data/china/image_1923th/81748109.pdf","81748109")</f>
        <v>81748109</v>
      </c>
      <c r="F605" s="11" t="s">
        <v>126</v>
      </c>
      <c r="G605" s="9" t="s">
        <v>1725</v>
      </c>
      <c r="H605" s="11" t="s">
        <v>1726</v>
      </c>
      <c r="I605" s="10">
        <v>45600</v>
      </c>
    </row>
    <row r="606" spans="1:9" x14ac:dyDescent="0.15">
      <c r="A606" s="9">
        <v>605</v>
      </c>
      <c r="B606" s="9" t="s">
        <v>9</v>
      </c>
      <c r="C606" s="9">
        <v>1923</v>
      </c>
      <c r="D606" s="10">
        <v>45701</v>
      </c>
      <c r="E606" s="13" t="str">
        <f>+HYPERLINK("http://trademark.i-assist.jp/data/china/image_1923th/81748157.pdf","81748157")</f>
        <v>81748157</v>
      </c>
      <c r="F606" s="9" t="s">
        <v>1727</v>
      </c>
      <c r="G606" s="9" t="s">
        <v>1728</v>
      </c>
      <c r="H606" s="9" t="s">
        <v>1729</v>
      </c>
      <c r="I606" s="10">
        <v>45600</v>
      </c>
    </row>
    <row r="607" spans="1:9" x14ac:dyDescent="0.15">
      <c r="A607" s="9">
        <v>606</v>
      </c>
      <c r="B607" s="9" t="s">
        <v>9</v>
      </c>
      <c r="C607" s="9">
        <v>1923</v>
      </c>
      <c r="D607" s="10">
        <v>45701</v>
      </c>
      <c r="E607" s="13" t="str">
        <f>+HYPERLINK("http://trademark.i-assist.jp/data/china/image_1923th/81748357.pdf","81748357")</f>
        <v>81748357</v>
      </c>
      <c r="F607" s="9" t="s">
        <v>1730</v>
      </c>
      <c r="G607" s="9" t="s">
        <v>25</v>
      </c>
      <c r="H607" s="9" t="s">
        <v>1731</v>
      </c>
      <c r="I607" s="10">
        <v>45600</v>
      </c>
    </row>
    <row r="608" spans="1:9" x14ac:dyDescent="0.15">
      <c r="A608" s="9">
        <v>607</v>
      </c>
      <c r="B608" s="9" t="s">
        <v>9</v>
      </c>
      <c r="C608" s="9">
        <v>1923</v>
      </c>
      <c r="D608" s="10">
        <v>45701</v>
      </c>
      <c r="E608" s="13" t="str">
        <f>+HYPERLINK("http://trademark.i-assist.jp/data/china/image_1923th/81748365.pdf","81748365")</f>
        <v>81748365</v>
      </c>
      <c r="F608" s="9" t="s">
        <v>1732</v>
      </c>
      <c r="G608" s="9" t="s">
        <v>25</v>
      </c>
      <c r="H608" s="9" t="s">
        <v>1733</v>
      </c>
      <c r="I608" s="10">
        <v>45600</v>
      </c>
    </row>
    <row r="609" spans="1:9" x14ac:dyDescent="0.15">
      <c r="A609" s="9">
        <v>608</v>
      </c>
      <c r="B609" s="9" t="s">
        <v>9</v>
      </c>
      <c r="C609" s="9">
        <v>1923</v>
      </c>
      <c r="D609" s="10">
        <v>45701</v>
      </c>
      <c r="E609" s="13" t="str">
        <f>+HYPERLINK("http://trademark.i-assist.jp/data/china/image_1923th/81748405.pdf","81748405")</f>
        <v>81748405</v>
      </c>
      <c r="F609" s="9" t="s">
        <v>1734</v>
      </c>
      <c r="G609" s="9" t="s">
        <v>1735</v>
      </c>
      <c r="H609" s="9" t="s">
        <v>1736</v>
      </c>
      <c r="I609" s="10">
        <v>45600</v>
      </c>
    </row>
    <row r="610" spans="1:9" x14ac:dyDescent="0.15">
      <c r="A610" s="9">
        <v>609</v>
      </c>
      <c r="B610" s="9" t="s">
        <v>9</v>
      </c>
      <c r="C610" s="9">
        <v>1923</v>
      </c>
      <c r="D610" s="10">
        <v>45701</v>
      </c>
      <c r="E610" s="13" t="str">
        <f>+HYPERLINK("http://trademark.i-assist.jp/data/china/image_1923th/81749550.pdf","81749550")</f>
        <v>81749550</v>
      </c>
      <c r="F610" s="9" t="s">
        <v>1737</v>
      </c>
      <c r="G610" s="9" t="s">
        <v>25</v>
      </c>
      <c r="H610" s="9" t="s">
        <v>1738</v>
      </c>
      <c r="I610" s="10">
        <v>45600</v>
      </c>
    </row>
    <row r="611" spans="1:9" x14ac:dyDescent="0.15">
      <c r="A611" s="9">
        <v>610</v>
      </c>
      <c r="B611" s="9" t="s">
        <v>9</v>
      </c>
      <c r="C611" s="9">
        <v>1923</v>
      </c>
      <c r="D611" s="10">
        <v>45701</v>
      </c>
      <c r="E611" s="13" t="str">
        <f>+HYPERLINK("http://trademark.i-assist.jp/data/china/image_1923th/81749677.pdf","81749677")</f>
        <v>81749677</v>
      </c>
      <c r="F611" s="9" t="s">
        <v>1739</v>
      </c>
      <c r="G611" s="11" t="s">
        <v>1740</v>
      </c>
      <c r="H611" s="9" t="s">
        <v>1741</v>
      </c>
      <c r="I611" s="10">
        <v>45600</v>
      </c>
    </row>
    <row r="612" spans="1:9" x14ac:dyDescent="0.15">
      <c r="A612" s="9">
        <v>611</v>
      </c>
      <c r="B612" s="9" t="s">
        <v>9</v>
      </c>
      <c r="C612" s="9">
        <v>1923</v>
      </c>
      <c r="D612" s="10">
        <v>45701</v>
      </c>
      <c r="E612" s="13" t="str">
        <f>+HYPERLINK("http://trademark.i-assist.jp/data/china/image_1923th/81750311.pdf","81750311")</f>
        <v>81750311</v>
      </c>
      <c r="F612" s="9" t="s">
        <v>1742</v>
      </c>
      <c r="G612" s="9" t="s">
        <v>1743</v>
      </c>
      <c r="H612" s="11" t="s">
        <v>1744</v>
      </c>
      <c r="I612" s="10">
        <v>45600</v>
      </c>
    </row>
    <row r="613" spans="1:9" x14ac:dyDescent="0.15">
      <c r="A613" s="9">
        <v>612</v>
      </c>
      <c r="B613" s="9" t="s">
        <v>9</v>
      </c>
      <c r="C613" s="9">
        <v>1923</v>
      </c>
      <c r="D613" s="10">
        <v>45701</v>
      </c>
      <c r="E613" s="13" t="str">
        <f>+HYPERLINK("http://trademark.i-assist.jp/data/china/image_1923th/81751792.pdf","81751792")</f>
        <v>81751792</v>
      </c>
      <c r="F613" s="9" t="s">
        <v>1745</v>
      </c>
      <c r="G613" s="11" t="s">
        <v>1746</v>
      </c>
      <c r="H613" s="9" t="s">
        <v>1747</v>
      </c>
      <c r="I613" s="10">
        <v>45600</v>
      </c>
    </row>
    <row r="614" spans="1:9" x14ac:dyDescent="0.15">
      <c r="A614" s="9">
        <v>613</v>
      </c>
      <c r="B614" s="9" t="s">
        <v>9</v>
      </c>
      <c r="C614" s="9">
        <v>1923</v>
      </c>
      <c r="D614" s="10">
        <v>45701</v>
      </c>
      <c r="E614" s="13" t="str">
        <f>+HYPERLINK("http://trademark.i-assist.jp/data/china/image_1923th/81752531.pdf","81752531")</f>
        <v>81752531</v>
      </c>
      <c r="F614" s="9" t="s">
        <v>1748</v>
      </c>
      <c r="G614" s="9" t="s">
        <v>1749</v>
      </c>
      <c r="H614" s="9" t="s">
        <v>1750</v>
      </c>
      <c r="I614" s="10">
        <v>45600</v>
      </c>
    </row>
    <row r="615" spans="1:9" x14ac:dyDescent="0.15">
      <c r="A615" s="9">
        <v>614</v>
      </c>
      <c r="B615" s="9" t="s">
        <v>9</v>
      </c>
      <c r="C615" s="9">
        <v>1923</v>
      </c>
      <c r="D615" s="10">
        <v>45701</v>
      </c>
      <c r="E615" s="13" t="str">
        <f>+HYPERLINK("http://trademark.i-assist.jp/data/china/image_1923th/81753169.pdf","81753169")</f>
        <v>81753169</v>
      </c>
      <c r="F615" s="11" t="s">
        <v>1751</v>
      </c>
      <c r="G615" s="9" t="s">
        <v>1752</v>
      </c>
      <c r="H615" s="9" t="s">
        <v>1753</v>
      </c>
      <c r="I615" s="10">
        <v>45600</v>
      </c>
    </row>
    <row r="616" spans="1:9" x14ac:dyDescent="0.15">
      <c r="A616" s="9">
        <v>615</v>
      </c>
      <c r="B616" s="9" t="s">
        <v>9</v>
      </c>
      <c r="C616" s="9">
        <v>1923</v>
      </c>
      <c r="D616" s="10">
        <v>45701</v>
      </c>
      <c r="E616" s="13" t="str">
        <f>+HYPERLINK("http://trademark.i-assist.jp/data/china/image_1923th/81753172.pdf","81753172")</f>
        <v>81753172</v>
      </c>
      <c r="F616" s="9" t="s">
        <v>1754</v>
      </c>
      <c r="G616" s="9" t="s">
        <v>1755</v>
      </c>
      <c r="H616" s="11" t="s">
        <v>1756</v>
      </c>
      <c r="I616" s="10">
        <v>45600</v>
      </c>
    </row>
    <row r="617" spans="1:9" x14ac:dyDescent="0.15">
      <c r="A617" s="9">
        <v>616</v>
      </c>
      <c r="B617" s="9" t="s">
        <v>9</v>
      </c>
      <c r="C617" s="9">
        <v>1923</v>
      </c>
      <c r="D617" s="10">
        <v>45701</v>
      </c>
      <c r="E617" s="13" t="str">
        <f>+HYPERLINK("http://trademark.i-assist.jp/data/china/image_1923th/81754024.pdf","81754024")</f>
        <v>81754024</v>
      </c>
      <c r="F617" s="9" t="s">
        <v>1757</v>
      </c>
      <c r="G617" s="9" t="s">
        <v>1758</v>
      </c>
      <c r="H617" s="9" t="s">
        <v>1759</v>
      </c>
      <c r="I617" s="10">
        <v>45601</v>
      </c>
    </row>
    <row r="618" spans="1:9" x14ac:dyDescent="0.15">
      <c r="A618" s="9">
        <v>617</v>
      </c>
      <c r="B618" s="9" t="s">
        <v>9</v>
      </c>
      <c r="C618" s="9">
        <v>1923</v>
      </c>
      <c r="D618" s="10">
        <v>45701</v>
      </c>
      <c r="E618" s="13" t="str">
        <f>+HYPERLINK("http://trademark.i-assist.jp/data/china/image_1923th/81754435.pdf","81754435")</f>
        <v>81754435</v>
      </c>
      <c r="F618" s="9" t="s">
        <v>1760</v>
      </c>
      <c r="G618" s="9" t="s">
        <v>1761</v>
      </c>
      <c r="H618" s="11" t="s">
        <v>1762</v>
      </c>
      <c r="I618" s="10">
        <v>45601</v>
      </c>
    </row>
    <row r="619" spans="1:9" x14ac:dyDescent="0.15">
      <c r="A619" s="9">
        <v>618</v>
      </c>
      <c r="B619" s="9" t="s">
        <v>9</v>
      </c>
      <c r="C619" s="9">
        <v>1923</v>
      </c>
      <c r="D619" s="10">
        <v>45701</v>
      </c>
      <c r="E619" s="13" t="str">
        <f>+HYPERLINK("http://trademark.i-assist.jp/data/china/image_1923th/81754596.pdf","81754596")</f>
        <v>81754596</v>
      </c>
      <c r="F619" s="9" t="s">
        <v>1763</v>
      </c>
      <c r="G619" s="11" t="s">
        <v>1764</v>
      </c>
      <c r="H619" s="9" t="s">
        <v>1765</v>
      </c>
      <c r="I619" s="10">
        <v>45601</v>
      </c>
    </row>
    <row r="620" spans="1:9" x14ac:dyDescent="0.15">
      <c r="A620" s="9">
        <v>619</v>
      </c>
      <c r="B620" s="9" t="s">
        <v>9</v>
      </c>
      <c r="C620" s="9">
        <v>1923</v>
      </c>
      <c r="D620" s="10">
        <v>45701</v>
      </c>
      <c r="E620" s="13" t="str">
        <f>+HYPERLINK("http://trademark.i-assist.jp/data/china/image_1923th/81755189.pdf","81755189")</f>
        <v>81755189</v>
      </c>
      <c r="F620" s="9" t="s">
        <v>1766</v>
      </c>
      <c r="G620" s="11" t="s">
        <v>1767</v>
      </c>
      <c r="H620" s="9" t="s">
        <v>1768</v>
      </c>
      <c r="I620" s="10">
        <v>45600</v>
      </c>
    </row>
    <row r="621" spans="1:9" x14ac:dyDescent="0.15">
      <c r="A621" s="9">
        <v>620</v>
      </c>
      <c r="B621" s="9" t="s">
        <v>9</v>
      </c>
      <c r="C621" s="9">
        <v>1923</v>
      </c>
      <c r="D621" s="10">
        <v>45701</v>
      </c>
      <c r="E621" s="13" t="str">
        <f>+HYPERLINK("http://trademark.i-assist.jp/data/china/image_1923th/81755295.pdf","81755295")</f>
        <v>81755295</v>
      </c>
      <c r="F621" s="11" t="s">
        <v>1769</v>
      </c>
      <c r="G621" s="11" t="s">
        <v>1770</v>
      </c>
      <c r="H621" s="9" t="s">
        <v>1771</v>
      </c>
      <c r="I621" s="10">
        <v>45600</v>
      </c>
    </row>
    <row r="622" spans="1:9" x14ac:dyDescent="0.15">
      <c r="A622" s="9">
        <v>621</v>
      </c>
      <c r="B622" s="9" t="s">
        <v>9</v>
      </c>
      <c r="C622" s="9">
        <v>1923</v>
      </c>
      <c r="D622" s="10">
        <v>45701</v>
      </c>
      <c r="E622" s="13" t="str">
        <f>+HYPERLINK("http://trademark.i-assist.jp/data/china/image_1923th/81755394.pdf","81755394")</f>
        <v>81755394</v>
      </c>
      <c r="F622" s="9" t="s">
        <v>1772</v>
      </c>
      <c r="G622" s="11" t="s">
        <v>1773</v>
      </c>
      <c r="H622" s="9" t="s">
        <v>1774</v>
      </c>
      <c r="I622" s="10">
        <v>45600</v>
      </c>
    </row>
    <row r="623" spans="1:9" x14ac:dyDescent="0.15">
      <c r="A623" s="9">
        <v>622</v>
      </c>
      <c r="B623" s="9" t="s">
        <v>9</v>
      </c>
      <c r="C623" s="9">
        <v>1923</v>
      </c>
      <c r="D623" s="10">
        <v>45701</v>
      </c>
      <c r="E623" s="13" t="str">
        <f>+HYPERLINK("http://trademark.i-assist.jp/data/china/image_1923th/81755597.pdf","81755597")</f>
        <v>81755597</v>
      </c>
      <c r="F623" s="11" t="s">
        <v>1775</v>
      </c>
      <c r="G623" s="9" t="s">
        <v>1776</v>
      </c>
      <c r="H623" s="11" t="s">
        <v>1777</v>
      </c>
      <c r="I623" s="10">
        <v>45601</v>
      </c>
    </row>
    <row r="624" spans="1:9" x14ac:dyDescent="0.15">
      <c r="A624" s="9">
        <v>623</v>
      </c>
      <c r="B624" s="9" t="s">
        <v>9</v>
      </c>
      <c r="C624" s="9">
        <v>1923</v>
      </c>
      <c r="D624" s="10">
        <v>45701</v>
      </c>
      <c r="E624" s="13" t="str">
        <f>+HYPERLINK("http://trademark.i-assist.jp/data/china/image_1923th/81755941.pdf","81755941")</f>
        <v>81755941</v>
      </c>
      <c r="F624" s="9" t="s">
        <v>1778</v>
      </c>
      <c r="G624" s="9" t="s">
        <v>1779</v>
      </c>
      <c r="H624" s="11" t="s">
        <v>1780</v>
      </c>
      <c r="I624" s="10">
        <v>45601</v>
      </c>
    </row>
    <row r="625" spans="1:9" x14ac:dyDescent="0.15">
      <c r="A625" s="9">
        <v>624</v>
      </c>
      <c r="B625" s="9" t="s">
        <v>9</v>
      </c>
      <c r="C625" s="9">
        <v>1923</v>
      </c>
      <c r="D625" s="10">
        <v>45701</v>
      </c>
      <c r="E625" s="13" t="str">
        <f>+HYPERLINK("http://trademark.i-assist.jp/data/china/image_1923th/81755984.pdf","81755984")</f>
        <v>81755984</v>
      </c>
      <c r="F625" s="9" t="s">
        <v>1781</v>
      </c>
      <c r="G625" s="9" t="s">
        <v>1782</v>
      </c>
      <c r="H625" s="9" t="s">
        <v>1783</v>
      </c>
      <c r="I625" s="10">
        <v>45601</v>
      </c>
    </row>
    <row r="626" spans="1:9" x14ac:dyDescent="0.15">
      <c r="A626" s="9">
        <v>625</v>
      </c>
      <c r="B626" s="9" t="s">
        <v>9</v>
      </c>
      <c r="C626" s="9">
        <v>1923</v>
      </c>
      <c r="D626" s="10">
        <v>45701</v>
      </c>
      <c r="E626" s="13" t="str">
        <f>+HYPERLINK("http://trademark.i-assist.jp/data/china/image_1923th/81756059.pdf","81756059")</f>
        <v>81756059</v>
      </c>
      <c r="F626" s="11" t="s">
        <v>1784</v>
      </c>
      <c r="G626" s="9" t="s">
        <v>1785</v>
      </c>
      <c r="H626" s="9" t="s">
        <v>1786</v>
      </c>
      <c r="I626" s="10">
        <v>45601</v>
      </c>
    </row>
    <row r="627" spans="1:9" x14ac:dyDescent="0.15">
      <c r="A627" s="9">
        <v>626</v>
      </c>
      <c r="B627" s="9" t="s">
        <v>9</v>
      </c>
      <c r="C627" s="9">
        <v>1923</v>
      </c>
      <c r="D627" s="10">
        <v>45701</v>
      </c>
      <c r="E627" s="13" t="str">
        <f>+HYPERLINK("http://trademark.i-assist.jp/data/china/image_1923th/81756671.pdf","81756671")</f>
        <v>81756671</v>
      </c>
      <c r="F627" s="9" t="s">
        <v>1787</v>
      </c>
      <c r="G627" s="9" t="s">
        <v>1788</v>
      </c>
      <c r="H627" s="9" t="s">
        <v>1789</v>
      </c>
      <c r="I627" s="10">
        <v>45600</v>
      </c>
    </row>
    <row r="628" spans="1:9" x14ac:dyDescent="0.15">
      <c r="A628" s="9">
        <v>627</v>
      </c>
      <c r="B628" s="9" t="s">
        <v>9</v>
      </c>
      <c r="C628" s="9">
        <v>1923</v>
      </c>
      <c r="D628" s="10">
        <v>45701</v>
      </c>
      <c r="E628" s="13" t="str">
        <f>+HYPERLINK("http://trademark.i-assist.jp/data/china/image_1923th/81756887.pdf","81756887")</f>
        <v>81756887</v>
      </c>
      <c r="F628" s="9" t="s">
        <v>1790</v>
      </c>
      <c r="G628" s="9" t="s">
        <v>1791</v>
      </c>
      <c r="H628" s="9" t="s">
        <v>1792</v>
      </c>
      <c r="I628" s="10">
        <v>45600</v>
      </c>
    </row>
    <row r="629" spans="1:9" x14ac:dyDescent="0.15">
      <c r="A629" s="9">
        <v>628</v>
      </c>
      <c r="B629" s="9" t="s">
        <v>9</v>
      </c>
      <c r="C629" s="9">
        <v>1923</v>
      </c>
      <c r="D629" s="10">
        <v>45701</v>
      </c>
      <c r="E629" s="13" t="str">
        <f>+HYPERLINK("http://trademark.i-assist.jp/data/china/image_1923th/81757076.pdf","81757076")</f>
        <v>81757076</v>
      </c>
      <c r="F629" s="9" t="s">
        <v>1793</v>
      </c>
      <c r="G629" s="9" t="s">
        <v>1794</v>
      </c>
      <c r="H629" s="9" t="s">
        <v>1795</v>
      </c>
      <c r="I629" s="10">
        <v>45601</v>
      </c>
    </row>
    <row r="630" spans="1:9" x14ac:dyDescent="0.15">
      <c r="A630" s="9">
        <v>629</v>
      </c>
      <c r="B630" s="9" t="s">
        <v>9</v>
      </c>
      <c r="C630" s="9">
        <v>1923</v>
      </c>
      <c r="D630" s="10">
        <v>45701</v>
      </c>
      <c r="E630" s="13" t="str">
        <f>+HYPERLINK("http://trademark.i-assist.jp/data/china/image_1923th/81757458.pdf","81757458")</f>
        <v>81757458</v>
      </c>
      <c r="F630" s="9" t="s">
        <v>1796</v>
      </c>
      <c r="G630" s="9" t="s">
        <v>36</v>
      </c>
      <c r="H630" s="9" t="s">
        <v>1797</v>
      </c>
      <c r="I630" s="10">
        <v>45601</v>
      </c>
    </row>
    <row r="631" spans="1:9" x14ac:dyDescent="0.15">
      <c r="A631" s="9">
        <v>630</v>
      </c>
      <c r="B631" s="9" t="s">
        <v>9</v>
      </c>
      <c r="C631" s="9">
        <v>1923</v>
      </c>
      <c r="D631" s="10">
        <v>45701</v>
      </c>
      <c r="E631" s="13" t="str">
        <f>+HYPERLINK("http://trademark.i-assist.jp/data/china/image_1923th/81757797.pdf","81757797")</f>
        <v>81757797</v>
      </c>
      <c r="F631" s="9" t="s">
        <v>1798</v>
      </c>
      <c r="G631" s="9" t="s">
        <v>1799</v>
      </c>
      <c r="H631" s="9" t="s">
        <v>1800</v>
      </c>
      <c r="I631" s="10">
        <v>45601</v>
      </c>
    </row>
    <row r="632" spans="1:9" x14ac:dyDescent="0.15">
      <c r="A632" s="9">
        <v>631</v>
      </c>
      <c r="B632" s="9" t="s">
        <v>9</v>
      </c>
      <c r="C632" s="9">
        <v>1923</v>
      </c>
      <c r="D632" s="10">
        <v>45701</v>
      </c>
      <c r="E632" s="13" t="str">
        <f>+HYPERLINK("http://trademark.i-assist.jp/data/china/image_1923th/81757941.pdf","81757941")</f>
        <v>81757941</v>
      </c>
      <c r="F632" s="11" t="s">
        <v>1801</v>
      </c>
      <c r="G632" s="9" t="s">
        <v>1802</v>
      </c>
      <c r="H632" s="9" t="s">
        <v>1803</v>
      </c>
      <c r="I632" s="10">
        <v>45600</v>
      </c>
    </row>
    <row r="633" spans="1:9" x14ac:dyDescent="0.15">
      <c r="A633" s="9">
        <v>632</v>
      </c>
      <c r="B633" s="9" t="s">
        <v>9</v>
      </c>
      <c r="C633" s="9">
        <v>1923</v>
      </c>
      <c r="D633" s="10">
        <v>45701</v>
      </c>
      <c r="E633" s="13" t="str">
        <f>+HYPERLINK("http://trademark.i-assist.jp/data/china/image_1923th/81758228.pdf","81758228")</f>
        <v>81758228</v>
      </c>
      <c r="F633" s="11" t="s">
        <v>1804</v>
      </c>
      <c r="G633" s="9" t="s">
        <v>1805</v>
      </c>
      <c r="H633" s="9" t="s">
        <v>1806</v>
      </c>
      <c r="I633" s="10">
        <v>45600</v>
      </c>
    </row>
    <row r="634" spans="1:9" x14ac:dyDescent="0.15">
      <c r="A634" s="9">
        <v>633</v>
      </c>
      <c r="B634" s="9" t="s">
        <v>9</v>
      </c>
      <c r="C634" s="9">
        <v>1923</v>
      </c>
      <c r="D634" s="10">
        <v>45701</v>
      </c>
      <c r="E634" s="13" t="str">
        <f>+HYPERLINK("http://trademark.i-assist.jp/data/china/image_1923th/81758878.pdf","81758878")</f>
        <v>81758878</v>
      </c>
      <c r="F634" s="9" t="s">
        <v>1807</v>
      </c>
      <c r="G634" s="9" t="s">
        <v>1808</v>
      </c>
      <c r="H634" s="9" t="s">
        <v>1809</v>
      </c>
      <c r="I634" s="10">
        <v>45601</v>
      </c>
    </row>
    <row r="635" spans="1:9" x14ac:dyDescent="0.15">
      <c r="A635" s="9">
        <v>634</v>
      </c>
      <c r="B635" s="9" t="s">
        <v>9</v>
      </c>
      <c r="C635" s="9">
        <v>1923</v>
      </c>
      <c r="D635" s="10">
        <v>45701</v>
      </c>
      <c r="E635" s="13" t="str">
        <f>+HYPERLINK("http://trademark.i-assist.jp/data/china/image_1923th/81759199.pdf","81759199")</f>
        <v>81759199</v>
      </c>
      <c r="F635" s="11" t="s">
        <v>1810</v>
      </c>
      <c r="G635" s="9" t="s">
        <v>1811</v>
      </c>
      <c r="H635" s="9" t="s">
        <v>1812</v>
      </c>
      <c r="I635" s="10">
        <v>45601</v>
      </c>
    </row>
    <row r="636" spans="1:9" x14ac:dyDescent="0.15">
      <c r="A636" s="9">
        <v>635</v>
      </c>
      <c r="B636" s="9" t="s">
        <v>9</v>
      </c>
      <c r="C636" s="9">
        <v>1923</v>
      </c>
      <c r="D636" s="10">
        <v>45701</v>
      </c>
      <c r="E636" s="13" t="str">
        <f>+HYPERLINK("http://trademark.i-assist.jp/data/china/image_1923th/81760493.pdf","81760493")</f>
        <v>81760493</v>
      </c>
      <c r="F636" s="9" t="s">
        <v>1813</v>
      </c>
      <c r="G636" s="11" t="s">
        <v>1814</v>
      </c>
      <c r="H636" s="9" t="s">
        <v>1815</v>
      </c>
      <c r="I636" s="10">
        <v>45601</v>
      </c>
    </row>
    <row r="637" spans="1:9" x14ac:dyDescent="0.15">
      <c r="A637" s="9">
        <v>636</v>
      </c>
      <c r="B637" s="9" t="s">
        <v>9</v>
      </c>
      <c r="C637" s="9">
        <v>1923</v>
      </c>
      <c r="D637" s="10">
        <v>45701</v>
      </c>
      <c r="E637" s="13" t="str">
        <f>+HYPERLINK("http://trademark.i-assist.jp/data/china/image_1923th/81760560.pdf","81760560")</f>
        <v>81760560</v>
      </c>
      <c r="F637" s="9" t="s">
        <v>1816</v>
      </c>
      <c r="G637" s="11" t="s">
        <v>1817</v>
      </c>
      <c r="H637" s="9" t="s">
        <v>1818</v>
      </c>
      <c r="I637" s="10">
        <v>45601</v>
      </c>
    </row>
    <row r="638" spans="1:9" x14ac:dyDescent="0.15">
      <c r="A638" s="9">
        <v>637</v>
      </c>
      <c r="B638" s="9" t="s">
        <v>9</v>
      </c>
      <c r="C638" s="9">
        <v>1923</v>
      </c>
      <c r="D638" s="10">
        <v>45701</v>
      </c>
      <c r="E638" s="13" t="str">
        <f>+HYPERLINK("http://trademark.i-assist.jp/data/china/image_1923th/81760679.pdf","81760679")</f>
        <v>81760679</v>
      </c>
      <c r="F638" s="9" t="s">
        <v>1819</v>
      </c>
      <c r="G638" s="9" t="s">
        <v>1820</v>
      </c>
      <c r="H638" s="9" t="s">
        <v>1821</v>
      </c>
      <c r="I638" s="10">
        <v>45601</v>
      </c>
    </row>
    <row r="639" spans="1:9" x14ac:dyDescent="0.15">
      <c r="A639" s="9">
        <v>638</v>
      </c>
      <c r="B639" s="9" t="s">
        <v>9</v>
      </c>
      <c r="C639" s="9">
        <v>1923</v>
      </c>
      <c r="D639" s="10">
        <v>45701</v>
      </c>
      <c r="E639" s="13" t="str">
        <f>+HYPERLINK("http://trademark.i-assist.jp/data/china/image_1923th/81760729.pdf","81760729")</f>
        <v>81760729</v>
      </c>
      <c r="F639" s="9" t="s">
        <v>1822</v>
      </c>
      <c r="G639" s="9" t="s">
        <v>1823</v>
      </c>
      <c r="H639" s="9" t="s">
        <v>1824</v>
      </c>
      <c r="I639" s="10">
        <v>45601</v>
      </c>
    </row>
    <row r="640" spans="1:9" x14ac:dyDescent="0.15">
      <c r="A640" s="9">
        <v>639</v>
      </c>
      <c r="B640" s="9" t="s">
        <v>9</v>
      </c>
      <c r="C640" s="9">
        <v>1923</v>
      </c>
      <c r="D640" s="10">
        <v>45701</v>
      </c>
      <c r="E640" s="13" t="str">
        <f>+HYPERLINK("http://trademark.i-assist.jp/data/china/image_1923th/81760957.pdf","81760957")</f>
        <v>81760957</v>
      </c>
      <c r="F640" s="12" t="s">
        <v>1825</v>
      </c>
      <c r="G640" s="11" t="s">
        <v>1826</v>
      </c>
      <c r="H640" s="9" t="s">
        <v>1827</v>
      </c>
      <c r="I640" s="10">
        <v>45601</v>
      </c>
    </row>
    <row r="641" spans="1:9" x14ac:dyDescent="0.15">
      <c r="A641" s="9">
        <v>640</v>
      </c>
      <c r="B641" s="9" t="s">
        <v>9</v>
      </c>
      <c r="C641" s="9">
        <v>1923</v>
      </c>
      <c r="D641" s="10">
        <v>45701</v>
      </c>
      <c r="E641" s="13" t="str">
        <f>+HYPERLINK("http://trademark.i-assist.jp/data/china/image_1923th/81761189.pdf","81761189")</f>
        <v>81761189</v>
      </c>
      <c r="F641" s="9" t="s">
        <v>1828</v>
      </c>
      <c r="G641" s="11" t="s">
        <v>1829</v>
      </c>
      <c r="H641" s="9" t="s">
        <v>1830</v>
      </c>
      <c r="I641" s="10">
        <v>45601</v>
      </c>
    </row>
    <row r="642" spans="1:9" x14ac:dyDescent="0.15">
      <c r="A642" s="9">
        <v>641</v>
      </c>
      <c r="B642" s="9" t="s">
        <v>9</v>
      </c>
      <c r="C642" s="9">
        <v>1923</v>
      </c>
      <c r="D642" s="10">
        <v>45701</v>
      </c>
      <c r="E642" s="13" t="str">
        <f>+HYPERLINK("http://trademark.i-assist.jp/data/china/image_1923th/81761882.pdf","81761882")</f>
        <v>81761882</v>
      </c>
      <c r="F642" s="9" t="s">
        <v>1831</v>
      </c>
      <c r="G642" s="11" t="s">
        <v>1832</v>
      </c>
      <c r="H642" s="9" t="s">
        <v>1833</v>
      </c>
      <c r="I642" s="10">
        <v>45601</v>
      </c>
    </row>
    <row r="643" spans="1:9" x14ac:dyDescent="0.15">
      <c r="A643" s="9">
        <v>642</v>
      </c>
      <c r="B643" s="9" t="s">
        <v>9</v>
      </c>
      <c r="C643" s="9">
        <v>1923</v>
      </c>
      <c r="D643" s="10">
        <v>45701</v>
      </c>
      <c r="E643" s="13" t="str">
        <f>+HYPERLINK("http://trademark.i-assist.jp/data/china/image_1923th/81763122.pdf","81763122")</f>
        <v>81763122</v>
      </c>
      <c r="F643" s="9" t="s">
        <v>1834</v>
      </c>
      <c r="G643" s="9" t="s">
        <v>1785</v>
      </c>
      <c r="H643" s="9" t="s">
        <v>1835</v>
      </c>
      <c r="I643" s="10">
        <v>45601</v>
      </c>
    </row>
    <row r="644" spans="1:9" x14ac:dyDescent="0.15">
      <c r="A644" s="9">
        <v>643</v>
      </c>
      <c r="B644" s="9" t="s">
        <v>9</v>
      </c>
      <c r="C644" s="9">
        <v>1923</v>
      </c>
      <c r="D644" s="10">
        <v>45701</v>
      </c>
      <c r="E644" s="13" t="str">
        <f>+HYPERLINK("http://trademark.i-assist.jp/data/china/image_1923th/81763282.pdf","81763282")</f>
        <v>81763282</v>
      </c>
      <c r="F644" s="11" t="s">
        <v>1836</v>
      </c>
      <c r="G644" s="9" t="s">
        <v>1837</v>
      </c>
      <c r="H644" s="11" t="s">
        <v>1838</v>
      </c>
      <c r="I644" s="10">
        <v>45601</v>
      </c>
    </row>
    <row r="645" spans="1:9" x14ac:dyDescent="0.15">
      <c r="A645" s="9">
        <v>644</v>
      </c>
      <c r="B645" s="9" t="s">
        <v>9</v>
      </c>
      <c r="C645" s="9">
        <v>1923</v>
      </c>
      <c r="D645" s="10">
        <v>45701</v>
      </c>
      <c r="E645" s="13" t="str">
        <f>+HYPERLINK("http://trademark.i-assist.jp/data/china/image_1923th/81763409.pdf","81763409")</f>
        <v>81763409</v>
      </c>
      <c r="F645" s="9" t="s">
        <v>1839</v>
      </c>
      <c r="G645" s="9" t="s">
        <v>1840</v>
      </c>
      <c r="H645" s="9" t="s">
        <v>1841</v>
      </c>
      <c r="I645" s="10">
        <v>45601</v>
      </c>
    </row>
    <row r="646" spans="1:9" x14ac:dyDescent="0.15">
      <c r="A646" s="9">
        <v>645</v>
      </c>
      <c r="B646" s="9" t="s">
        <v>9</v>
      </c>
      <c r="C646" s="9">
        <v>1923</v>
      </c>
      <c r="D646" s="10">
        <v>45701</v>
      </c>
      <c r="E646" s="13" t="str">
        <f>+HYPERLINK("http://trademark.i-assist.jp/data/china/image_1923th/81763856.pdf","81763856")</f>
        <v>81763856</v>
      </c>
      <c r="F646" s="9" t="s">
        <v>1842</v>
      </c>
      <c r="G646" s="11" t="s">
        <v>1843</v>
      </c>
      <c r="H646" s="9" t="s">
        <v>1844</v>
      </c>
      <c r="I646" s="10">
        <v>45601</v>
      </c>
    </row>
    <row r="647" spans="1:9" x14ac:dyDescent="0.15">
      <c r="A647" s="9">
        <v>646</v>
      </c>
      <c r="B647" s="9" t="s">
        <v>9</v>
      </c>
      <c r="C647" s="9">
        <v>1923</v>
      </c>
      <c r="D647" s="10">
        <v>45701</v>
      </c>
      <c r="E647" s="13" t="str">
        <f>+HYPERLINK("http://trademark.i-assist.jp/data/china/image_1923th/81763935.pdf","81763935")</f>
        <v>81763935</v>
      </c>
      <c r="F647" s="9" t="s">
        <v>1845</v>
      </c>
      <c r="G647" s="11" t="s">
        <v>1829</v>
      </c>
      <c r="H647" s="9" t="s">
        <v>1846</v>
      </c>
      <c r="I647" s="10">
        <v>45601</v>
      </c>
    </row>
    <row r="648" spans="1:9" x14ac:dyDescent="0.15">
      <c r="A648" s="9">
        <v>647</v>
      </c>
      <c r="B648" s="9" t="s">
        <v>9</v>
      </c>
      <c r="C648" s="9">
        <v>1923</v>
      </c>
      <c r="D648" s="10">
        <v>45701</v>
      </c>
      <c r="E648" s="13" t="str">
        <f>+HYPERLINK("http://trademark.i-assist.jp/data/china/image_1923th/81765042.pdf","81765042")</f>
        <v>81765042</v>
      </c>
      <c r="F648" s="9" t="s">
        <v>1847</v>
      </c>
      <c r="G648" s="9" t="s">
        <v>1848</v>
      </c>
      <c r="H648" s="9" t="s">
        <v>1849</v>
      </c>
      <c r="I648" s="10">
        <v>45601</v>
      </c>
    </row>
    <row r="649" spans="1:9" x14ac:dyDescent="0.15">
      <c r="A649" s="9">
        <v>648</v>
      </c>
      <c r="B649" s="9" t="s">
        <v>9</v>
      </c>
      <c r="C649" s="9">
        <v>1923</v>
      </c>
      <c r="D649" s="10">
        <v>45701</v>
      </c>
      <c r="E649" s="13" t="str">
        <f>+HYPERLINK("http://trademark.i-assist.jp/data/china/image_1923th/81765618.pdf","81765618")</f>
        <v>81765618</v>
      </c>
      <c r="F649" s="9" t="s">
        <v>1850</v>
      </c>
      <c r="G649" s="9" t="s">
        <v>1851</v>
      </c>
      <c r="H649" s="9" t="s">
        <v>1852</v>
      </c>
      <c r="I649" s="10">
        <v>45601</v>
      </c>
    </row>
    <row r="650" spans="1:9" x14ac:dyDescent="0.15">
      <c r="A650" s="9">
        <v>649</v>
      </c>
      <c r="B650" s="9" t="s">
        <v>9</v>
      </c>
      <c r="C650" s="9">
        <v>1923</v>
      </c>
      <c r="D650" s="10">
        <v>45701</v>
      </c>
      <c r="E650" s="13" t="str">
        <f>+HYPERLINK("http://trademark.i-assist.jp/data/china/image_1923th/81765652.pdf","81765652")</f>
        <v>81765652</v>
      </c>
      <c r="F650" s="9" t="s">
        <v>1853</v>
      </c>
      <c r="G650" s="11" t="s">
        <v>1854</v>
      </c>
      <c r="H650" s="9" t="s">
        <v>1855</v>
      </c>
      <c r="I650" s="10">
        <v>45601</v>
      </c>
    </row>
    <row r="651" spans="1:9" x14ac:dyDescent="0.15">
      <c r="A651" s="9">
        <v>650</v>
      </c>
      <c r="B651" s="9" t="s">
        <v>9</v>
      </c>
      <c r="C651" s="9">
        <v>1923</v>
      </c>
      <c r="D651" s="10">
        <v>45701</v>
      </c>
      <c r="E651" s="13" t="str">
        <f>+HYPERLINK("http://trademark.i-assist.jp/data/china/image_1923th/81765928.pdf","81765928")</f>
        <v>81765928</v>
      </c>
      <c r="F651" s="11" t="s">
        <v>126</v>
      </c>
      <c r="G651" s="9" t="s">
        <v>1856</v>
      </c>
      <c r="H651" s="9" t="s">
        <v>1857</v>
      </c>
      <c r="I651" s="10">
        <v>45601</v>
      </c>
    </row>
    <row r="652" spans="1:9" x14ac:dyDescent="0.15">
      <c r="A652" s="9">
        <v>651</v>
      </c>
      <c r="B652" s="9" t="s">
        <v>9</v>
      </c>
      <c r="C652" s="9">
        <v>1923</v>
      </c>
      <c r="D652" s="10">
        <v>45701</v>
      </c>
      <c r="E652" s="13" t="str">
        <f>+HYPERLINK("http://trademark.i-assist.jp/data/china/image_1923th/81766113.pdf","81766113")</f>
        <v>81766113</v>
      </c>
      <c r="F652" s="11" t="s">
        <v>1858</v>
      </c>
      <c r="G652" s="9" t="s">
        <v>1859</v>
      </c>
      <c r="H652" s="9" t="s">
        <v>1860</v>
      </c>
      <c r="I652" s="10">
        <v>45601</v>
      </c>
    </row>
    <row r="653" spans="1:9" x14ac:dyDescent="0.15">
      <c r="A653" s="9">
        <v>652</v>
      </c>
      <c r="B653" s="9" t="s">
        <v>9</v>
      </c>
      <c r="C653" s="9">
        <v>1923</v>
      </c>
      <c r="D653" s="10">
        <v>45701</v>
      </c>
      <c r="E653" s="13" t="str">
        <f>+HYPERLINK("http://trademark.i-assist.jp/data/china/image_1923th/81766209.pdf","81766209")</f>
        <v>81766209</v>
      </c>
      <c r="F653" s="9" t="s">
        <v>1861</v>
      </c>
      <c r="G653" s="9" t="s">
        <v>1862</v>
      </c>
      <c r="H653" s="11" t="s">
        <v>1863</v>
      </c>
      <c r="I653" s="10">
        <v>45601</v>
      </c>
    </row>
    <row r="654" spans="1:9" x14ac:dyDescent="0.15">
      <c r="A654" s="9">
        <v>653</v>
      </c>
      <c r="B654" s="9" t="s">
        <v>9</v>
      </c>
      <c r="C654" s="9">
        <v>1923</v>
      </c>
      <c r="D654" s="10">
        <v>45701</v>
      </c>
      <c r="E654" s="13" t="str">
        <f>+HYPERLINK("http://trademark.i-assist.jp/data/china/image_1923th/81766912.pdf","81766912")</f>
        <v>81766912</v>
      </c>
      <c r="F654" s="11" t="s">
        <v>126</v>
      </c>
      <c r="G654" s="9" t="s">
        <v>1864</v>
      </c>
      <c r="H654" s="9" t="s">
        <v>1865</v>
      </c>
      <c r="I654" s="10">
        <v>45601</v>
      </c>
    </row>
    <row r="655" spans="1:9" x14ac:dyDescent="0.15">
      <c r="A655" s="9">
        <v>654</v>
      </c>
      <c r="B655" s="9" t="s">
        <v>9</v>
      </c>
      <c r="C655" s="9">
        <v>1923</v>
      </c>
      <c r="D655" s="10">
        <v>45701</v>
      </c>
      <c r="E655" s="13" t="str">
        <f>+HYPERLINK("http://trademark.i-assist.jp/data/china/image_1923th/81766978.pdf","81766978")</f>
        <v>81766978</v>
      </c>
      <c r="F655" s="11" t="s">
        <v>1866</v>
      </c>
      <c r="G655" s="11" t="s">
        <v>1867</v>
      </c>
      <c r="H655" s="9" t="s">
        <v>1868</v>
      </c>
      <c r="I655" s="10">
        <v>45601</v>
      </c>
    </row>
    <row r="656" spans="1:9" x14ac:dyDescent="0.15">
      <c r="A656" s="9">
        <v>655</v>
      </c>
      <c r="B656" s="9" t="s">
        <v>9</v>
      </c>
      <c r="C656" s="9">
        <v>1923</v>
      </c>
      <c r="D656" s="10">
        <v>45701</v>
      </c>
      <c r="E656" s="13" t="str">
        <f>+HYPERLINK("http://trademark.i-assist.jp/data/china/image_1923th/81767291.pdf","81767291")</f>
        <v>81767291</v>
      </c>
      <c r="F656" s="11" t="s">
        <v>1869</v>
      </c>
      <c r="G656" s="9" t="s">
        <v>1799</v>
      </c>
      <c r="H656" s="9" t="s">
        <v>1870</v>
      </c>
      <c r="I656" s="10">
        <v>45601</v>
      </c>
    </row>
    <row r="657" spans="1:9" x14ac:dyDescent="0.15">
      <c r="A657" s="9">
        <v>656</v>
      </c>
      <c r="B657" s="9" t="s">
        <v>9</v>
      </c>
      <c r="C657" s="9">
        <v>1923</v>
      </c>
      <c r="D657" s="10">
        <v>45701</v>
      </c>
      <c r="E657" s="13" t="str">
        <f>+HYPERLINK("http://trademark.i-assist.jp/data/china/image_1923th/81767689.pdf","81767689")</f>
        <v>81767689</v>
      </c>
      <c r="F657" s="12" t="s">
        <v>1871</v>
      </c>
      <c r="G657" s="9" t="s">
        <v>1872</v>
      </c>
      <c r="H657" s="9" t="s">
        <v>1873</v>
      </c>
      <c r="I657" s="10">
        <v>45601</v>
      </c>
    </row>
    <row r="658" spans="1:9" x14ac:dyDescent="0.15">
      <c r="A658" s="9">
        <v>657</v>
      </c>
      <c r="B658" s="9" t="s">
        <v>9</v>
      </c>
      <c r="C658" s="9">
        <v>1923</v>
      </c>
      <c r="D658" s="10">
        <v>45701</v>
      </c>
      <c r="E658" s="13" t="str">
        <f>+HYPERLINK("http://trademark.i-assist.jp/data/china/image_1923th/81768129.pdf","81768129")</f>
        <v>81768129</v>
      </c>
      <c r="F658" s="9" t="s">
        <v>1874</v>
      </c>
      <c r="G658" s="9" t="s">
        <v>1875</v>
      </c>
      <c r="H658" s="9" t="s">
        <v>1876</v>
      </c>
      <c r="I658" s="10">
        <v>45601</v>
      </c>
    </row>
    <row r="659" spans="1:9" x14ac:dyDescent="0.15">
      <c r="A659" s="9">
        <v>658</v>
      </c>
      <c r="B659" s="9" t="s">
        <v>9</v>
      </c>
      <c r="C659" s="9">
        <v>1923</v>
      </c>
      <c r="D659" s="10">
        <v>45701</v>
      </c>
      <c r="E659" s="13" t="str">
        <f>+HYPERLINK("http://trademark.i-assist.jp/data/china/image_1923th/81768243.pdf","81768243")</f>
        <v>81768243</v>
      </c>
      <c r="F659" s="11" t="s">
        <v>126</v>
      </c>
      <c r="G659" s="9" t="s">
        <v>1877</v>
      </c>
      <c r="H659" s="9" t="s">
        <v>1878</v>
      </c>
      <c r="I659" s="10">
        <v>45601</v>
      </c>
    </row>
    <row r="660" spans="1:9" x14ac:dyDescent="0.15">
      <c r="A660" s="9">
        <v>659</v>
      </c>
      <c r="B660" s="9" t="s">
        <v>9</v>
      </c>
      <c r="C660" s="9">
        <v>1923</v>
      </c>
      <c r="D660" s="10">
        <v>45701</v>
      </c>
      <c r="E660" s="13" t="str">
        <f>+HYPERLINK("http://trademark.i-assist.jp/data/china/image_1923th/81768489.pdf","81768489")</f>
        <v>81768489</v>
      </c>
      <c r="F660" s="9" t="s">
        <v>1879</v>
      </c>
      <c r="G660" s="11" t="s">
        <v>1880</v>
      </c>
      <c r="H660" s="9" t="s">
        <v>1881</v>
      </c>
      <c r="I660" s="10">
        <v>45601</v>
      </c>
    </row>
    <row r="661" spans="1:9" x14ac:dyDescent="0.15">
      <c r="A661" s="9">
        <v>660</v>
      </c>
      <c r="B661" s="9" t="s">
        <v>9</v>
      </c>
      <c r="C661" s="9">
        <v>1923</v>
      </c>
      <c r="D661" s="10">
        <v>45701</v>
      </c>
      <c r="E661" s="13" t="str">
        <f>+HYPERLINK("http://trademark.i-assist.jp/data/china/image_1923th/81768715.pdf","81768715")</f>
        <v>81768715</v>
      </c>
      <c r="F661" s="11" t="s">
        <v>126</v>
      </c>
      <c r="G661" s="11" t="s">
        <v>1882</v>
      </c>
      <c r="H661" s="9" t="s">
        <v>1883</v>
      </c>
      <c r="I661" s="10">
        <v>45601</v>
      </c>
    </row>
    <row r="662" spans="1:9" x14ac:dyDescent="0.15">
      <c r="A662" s="9">
        <v>661</v>
      </c>
      <c r="B662" s="9" t="s">
        <v>9</v>
      </c>
      <c r="C662" s="9">
        <v>1923</v>
      </c>
      <c r="D662" s="10">
        <v>45701</v>
      </c>
      <c r="E662" s="13" t="str">
        <f>+HYPERLINK("http://trademark.i-assist.jp/data/china/image_1923th/81768757.pdf","81768757")</f>
        <v>81768757</v>
      </c>
      <c r="F662" s="11" t="s">
        <v>1884</v>
      </c>
      <c r="G662" s="11" t="s">
        <v>1885</v>
      </c>
      <c r="H662" s="9" t="s">
        <v>1886</v>
      </c>
      <c r="I662" s="10">
        <v>45601</v>
      </c>
    </row>
    <row r="663" spans="1:9" x14ac:dyDescent="0.15">
      <c r="A663" s="9">
        <v>662</v>
      </c>
      <c r="B663" s="9" t="s">
        <v>9</v>
      </c>
      <c r="C663" s="9">
        <v>1923</v>
      </c>
      <c r="D663" s="10">
        <v>45701</v>
      </c>
      <c r="E663" s="13" t="str">
        <f>+HYPERLINK("http://trademark.i-assist.jp/data/china/image_1923th/81769135.pdf","81769135")</f>
        <v>81769135</v>
      </c>
      <c r="F663" s="9" t="s">
        <v>1887</v>
      </c>
      <c r="G663" s="9" t="s">
        <v>1888</v>
      </c>
      <c r="H663" s="11" t="s">
        <v>1889</v>
      </c>
      <c r="I663" s="10">
        <v>45601</v>
      </c>
    </row>
    <row r="664" spans="1:9" x14ac:dyDescent="0.15">
      <c r="A664" s="9">
        <v>663</v>
      </c>
      <c r="B664" s="9" t="s">
        <v>9</v>
      </c>
      <c r="C664" s="9">
        <v>1923</v>
      </c>
      <c r="D664" s="10">
        <v>45701</v>
      </c>
      <c r="E664" s="13" t="str">
        <f>+HYPERLINK("http://trademark.i-assist.jp/data/china/image_1923th/81769512.pdf","81769512")</f>
        <v>81769512</v>
      </c>
      <c r="F664" s="9" t="s">
        <v>1890</v>
      </c>
      <c r="G664" s="9" t="s">
        <v>1891</v>
      </c>
      <c r="H664" s="9" t="s">
        <v>1892</v>
      </c>
      <c r="I664" s="10">
        <v>45601</v>
      </c>
    </row>
    <row r="665" spans="1:9" x14ac:dyDescent="0.15">
      <c r="A665" s="9">
        <v>664</v>
      </c>
      <c r="B665" s="9" t="s">
        <v>9</v>
      </c>
      <c r="C665" s="9">
        <v>1923</v>
      </c>
      <c r="D665" s="10">
        <v>45701</v>
      </c>
      <c r="E665" s="13" t="str">
        <f>+HYPERLINK("http://trademark.i-assist.jp/data/china/image_1923th/81769918.pdf","81769918")</f>
        <v>81769918</v>
      </c>
      <c r="F665" s="11" t="s">
        <v>126</v>
      </c>
      <c r="G665" s="11" t="s">
        <v>1893</v>
      </c>
      <c r="H665" s="9" t="s">
        <v>1894</v>
      </c>
      <c r="I665" s="10">
        <v>45601</v>
      </c>
    </row>
    <row r="666" spans="1:9" x14ac:dyDescent="0.15">
      <c r="A666" s="9">
        <v>665</v>
      </c>
      <c r="B666" s="9" t="s">
        <v>9</v>
      </c>
      <c r="C666" s="9">
        <v>1923</v>
      </c>
      <c r="D666" s="10">
        <v>45701</v>
      </c>
      <c r="E666" s="13" t="str">
        <f>+HYPERLINK("http://trademark.i-assist.jp/data/china/image_1923th/81769983.pdf","81769983")</f>
        <v>81769983</v>
      </c>
      <c r="F666" s="9" t="s">
        <v>1895</v>
      </c>
      <c r="G666" s="11" t="s">
        <v>1896</v>
      </c>
      <c r="H666" s="9" t="s">
        <v>1897</v>
      </c>
      <c r="I666" s="10">
        <v>45601</v>
      </c>
    </row>
    <row r="667" spans="1:9" x14ac:dyDescent="0.15">
      <c r="A667" s="9">
        <v>666</v>
      </c>
      <c r="B667" s="9" t="s">
        <v>9</v>
      </c>
      <c r="C667" s="9">
        <v>1923</v>
      </c>
      <c r="D667" s="10">
        <v>45701</v>
      </c>
      <c r="E667" s="13" t="str">
        <f>+HYPERLINK("http://trademark.i-assist.jp/data/china/image_1923th/81770408.pdf","81770408")</f>
        <v>81770408</v>
      </c>
      <c r="F667" s="9" t="s">
        <v>1898</v>
      </c>
      <c r="G667" s="9" t="s">
        <v>1899</v>
      </c>
      <c r="H667" s="9" t="s">
        <v>1900</v>
      </c>
      <c r="I667" s="10">
        <v>45601</v>
      </c>
    </row>
    <row r="668" spans="1:9" x14ac:dyDescent="0.15">
      <c r="A668" s="9">
        <v>667</v>
      </c>
      <c r="B668" s="9" t="s">
        <v>9</v>
      </c>
      <c r="C668" s="9">
        <v>1923</v>
      </c>
      <c r="D668" s="10">
        <v>45701</v>
      </c>
      <c r="E668" s="13" t="str">
        <f>+HYPERLINK("http://trademark.i-assist.jp/data/china/image_1923th/81770571.pdf","81770571")</f>
        <v>81770571</v>
      </c>
      <c r="F668" s="11" t="s">
        <v>1901</v>
      </c>
      <c r="G668" s="11" t="s">
        <v>1902</v>
      </c>
      <c r="H668" s="9" t="s">
        <v>1903</v>
      </c>
      <c r="I668" s="10">
        <v>45600</v>
      </c>
    </row>
    <row r="669" spans="1:9" x14ac:dyDescent="0.15">
      <c r="A669" s="9">
        <v>668</v>
      </c>
      <c r="B669" s="9" t="s">
        <v>9</v>
      </c>
      <c r="C669" s="9">
        <v>1923</v>
      </c>
      <c r="D669" s="10">
        <v>45701</v>
      </c>
      <c r="E669" s="13" t="str">
        <f>+HYPERLINK("http://trademark.i-assist.jp/data/china/image_1923th/81771912.pdf","81771912")</f>
        <v>81771912</v>
      </c>
      <c r="F669" s="9" t="s">
        <v>1904</v>
      </c>
      <c r="G669" s="9" t="s">
        <v>1905</v>
      </c>
      <c r="H669" s="9" t="s">
        <v>1906</v>
      </c>
      <c r="I669" s="10">
        <v>45601</v>
      </c>
    </row>
    <row r="670" spans="1:9" x14ac:dyDescent="0.15">
      <c r="A670" s="9">
        <v>669</v>
      </c>
      <c r="B670" s="9" t="s">
        <v>9</v>
      </c>
      <c r="C670" s="9">
        <v>1923</v>
      </c>
      <c r="D670" s="10">
        <v>45701</v>
      </c>
      <c r="E670" s="13" t="str">
        <f>+HYPERLINK("http://trademark.i-assist.jp/data/china/image_1923th/81772014.pdf","81772014")</f>
        <v>81772014</v>
      </c>
      <c r="F670" s="9" t="s">
        <v>1907</v>
      </c>
      <c r="G670" s="9" t="s">
        <v>1908</v>
      </c>
      <c r="H670" s="11" t="s">
        <v>1909</v>
      </c>
      <c r="I670" s="10">
        <v>45601</v>
      </c>
    </row>
    <row r="671" spans="1:9" x14ac:dyDescent="0.15">
      <c r="A671" s="9">
        <v>670</v>
      </c>
      <c r="B671" s="9" t="s">
        <v>9</v>
      </c>
      <c r="C671" s="9">
        <v>1923</v>
      </c>
      <c r="D671" s="10">
        <v>45701</v>
      </c>
      <c r="E671" s="13" t="str">
        <f>+HYPERLINK("http://trademark.i-assist.jp/data/china/image_1923th/81772034.pdf","81772034")</f>
        <v>81772034</v>
      </c>
      <c r="F671" s="11" t="s">
        <v>126</v>
      </c>
      <c r="G671" s="9" t="s">
        <v>1910</v>
      </c>
      <c r="H671" s="9" t="s">
        <v>1911</v>
      </c>
      <c r="I671" s="10">
        <v>45601</v>
      </c>
    </row>
    <row r="672" spans="1:9" x14ac:dyDescent="0.15">
      <c r="A672" s="9">
        <v>671</v>
      </c>
      <c r="B672" s="9" t="s">
        <v>9</v>
      </c>
      <c r="C672" s="9">
        <v>1923</v>
      </c>
      <c r="D672" s="10">
        <v>45701</v>
      </c>
      <c r="E672" s="13" t="str">
        <f>+HYPERLINK("http://trademark.i-assist.jp/data/china/image_1923th/81772058.pdf","81772058")</f>
        <v>81772058</v>
      </c>
      <c r="F672" s="9" t="s">
        <v>1912</v>
      </c>
      <c r="G672" s="11" t="s">
        <v>1913</v>
      </c>
      <c r="H672" s="9" t="s">
        <v>1914</v>
      </c>
      <c r="I672" s="10">
        <v>45601</v>
      </c>
    </row>
    <row r="673" spans="1:9" x14ac:dyDescent="0.15">
      <c r="A673" s="9">
        <v>672</v>
      </c>
      <c r="B673" s="9" t="s">
        <v>9</v>
      </c>
      <c r="C673" s="9">
        <v>1923</v>
      </c>
      <c r="D673" s="10">
        <v>45701</v>
      </c>
      <c r="E673" s="13" t="str">
        <f>+HYPERLINK("http://trademark.i-assist.jp/data/china/image_1923th/81773035.pdf","81773035")</f>
        <v>81773035</v>
      </c>
      <c r="F673" s="9" t="s">
        <v>1915</v>
      </c>
      <c r="G673" s="9" t="s">
        <v>1916</v>
      </c>
      <c r="H673" s="11" t="s">
        <v>1917</v>
      </c>
      <c r="I673" s="10">
        <v>45601</v>
      </c>
    </row>
    <row r="674" spans="1:9" x14ac:dyDescent="0.15">
      <c r="A674" s="9">
        <v>673</v>
      </c>
      <c r="B674" s="9" t="s">
        <v>9</v>
      </c>
      <c r="C674" s="9">
        <v>1923</v>
      </c>
      <c r="D674" s="10">
        <v>45701</v>
      </c>
      <c r="E674" s="13" t="str">
        <f>+HYPERLINK("http://trademark.i-assist.jp/data/china/image_1923th/81773054.pdf","81773054")</f>
        <v>81773054</v>
      </c>
      <c r="F674" s="9" t="s">
        <v>1918</v>
      </c>
      <c r="G674" s="9" t="s">
        <v>1919</v>
      </c>
      <c r="H674" s="11" t="s">
        <v>1920</v>
      </c>
      <c r="I674" s="10">
        <v>45601</v>
      </c>
    </row>
    <row r="675" spans="1:9" x14ac:dyDescent="0.15">
      <c r="A675" s="9">
        <v>674</v>
      </c>
      <c r="B675" s="9" t="s">
        <v>9</v>
      </c>
      <c r="C675" s="9">
        <v>1923</v>
      </c>
      <c r="D675" s="10">
        <v>45701</v>
      </c>
      <c r="E675" s="13" t="str">
        <f>+HYPERLINK("http://trademark.i-assist.jp/data/china/image_1923th/81773329.pdf","81773329")</f>
        <v>81773329</v>
      </c>
      <c r="F675" s="11" t="s">
        <v>1921</v>
      </c>
      <c r="G675" s="9" t="s">
        <v>1811</v>
      </c>
      <c r="H675" s="9" t="s">
        <v>1922</v>
      </c>
      <c r="I675" s="10">
        <v>45601</v>
      </c>
    </row>
    <row r="676" spans="1:9" x14ac:dyDescent="0.15">
      <c r="A676" s="9">
        <v>675</v>
      </c>
      <c r="B676" s="9" t="s">
        <v>9</v>
      </c>
      <c r="C676" s="9">
        <v>1923</v>
      </c>
      <c r="D676" s="10">
        <v>45701</v>
      </c>
      <c r="E676" s="13" t="str">
        <f>+HYPERLINK("http://trademark.i-assist.jp/data/china/image_1923th/81773828.pdf","81773828")</f>
        <v>81773828</v>
      </c>
      <c r="F676" s="9" t="s">
        <v>1923</v>
      </c>
      <c r="G676" s="11" t="s">
        <v>1924</v>
      </c>
      <c r="H676" s="9" t="s">
        <v>1925</v>
      </c>
      <c r="I676" s="10">
        <v>45601</v>
      </c>
    </row>
    <row r="677" spans="1:9" x14ac:dyDescent="0.15">
      <c r="A677" s="9">
        <v>676</v>
      </c>
      <c r="B677" s="9" t="s">
        <v>9</v>
      </c>
      <c r="C677" s="9">
        <v>1923</v>
      </c>
      <c r="D677" s="10">
        <v>45701</v>
      </c>
      <c r="E677" s="13" t="str">
        <f>+HYPERLINK("http://trademark.i-assist.jp/data/china/image_1923th/81774226.pdf","81774226")</f>
        <v>81774226</v>
      </c>
      <c r="F677" s="9" t="s">
        <v>1926</v>
      </c>
      <c r="G677" s="9" t="s">
        <v>1927</v>
      </c>
      <c r="H677" s="9" t="s">
        <v>1928</v>
      </c>
      <c r="I677" s="10">
        <v>45601</v>
      </c>
    </row>
    <row r="678" spans="1:9" x14ac:dyDescent="0.15">
      <c r="A678" s="9">
        <v>677</v>
      </c>
      <c r="B678" s="9" t="s">
        <v>9</v>
      </c>
      <c r="C678" s="9">
        <v>1923</v>
      </c>
      <c r="D678" s="10">
        <v>45701</v>
      </c>
      <c r="E678" s="13" t="str">
        <f>+HYPERLINK("http://trademark.i-assist.jp/data/china/image_1923th/81774283.pdf","81774283")</f>
        <v>81774283</v>
      </c>
      <c r="F678" s="9" t="s">
        <v>1929</v>
      </c>
      <c r="G678" s="9" t="s">
        <v>1930</v>
      </c>
      <c r="H678" s="9" t="s">
        <v>1931</v>
      </c>
      <c r="I678" s="10">
        <v>45601</v>
      </c>
    </row>
    <row r="679" spans="1:9" x14ac:dyDescent="0.15">
      <c r="A679" s="9">
        <v>678</v>
      </c>
      <c r="B679" s="9" t="s">
        <v>9</v>
      </c>
      <c r="C679" s="9">
        <v>1923</v>
      </c>
      <c r="D679" s="10">
        <v>45701</v>
      </c>
      <c r="E679" s="13" t="str">
        <f>+HYPERLINK("http://trademark.i-assist.jp/data/china/image_1923th/81774376.pdf","81774376")</f>
        <v>81774376</v>
      </c>
      <c r="F679" s="9" t="s">
        <v>1932</v>
      </c>
      <c r="G679" s="9" t="s">
        <v>1916</v>
      </c>
      <c r="H679" s="9" t="s">
        <v>1933</v>
      </c>
      <c r="I679" s="10">
        <v>45601</v>
      </c>
    </row>
    <row r="680" spans="1:9" x14ac:dyDescent="0.15">
      <c r="A680" s="9">
        <v>679</v>
      </c>
      <c r="B680" s="9" t="s">
        <v>9</v>
      </c>
      <c r="C680" s="9">
        <v>1923</v>
      </c>
      <c r="D680" s="10">
        <v>45701</v>
      </c>
      <c r="E680" s="13" t="str">
        <f>+HYPERLINK("http://trademark.i-assist.jp/data/china/image_1923th/81774396.pdf","81774396")</f>
        <v>81774396</v>
      </c>
      <c r="F680" s="9" t="s">
        <v>1934</v>
      </c>
      <c r="G680" s="9" t="s">
        <v>1916</v>
      </c>
      <c r="H680" s="9" t="s">
        <v>1935</v>
      </c>
      <c r="I680" s="10">
        <v>45601</v>
      </c>
    </row>
    <row r="681" spans="1:9" x14ac:dyDescent="0.15">
      <c r="A681" s="9">
        <v>680</v>
      </c>
      <c r="B681" s="9" t="s">
        <v>9</v>
      </c>
      <c r="C681" s="9">
        <v>1923</v>
      </c>
      <c r="D681" s="10">
        <v>45701</v>
      </c>
      <c r="E681" s="13" t="str">
        <f>+HYPERLINK("http://trademark.i-assist.jp/data/china/image_1923th/81774504.pdf","81774504")</f>
        <v>81774504</v>
      </c>
      <c r="F681" s="9" t="s">
        <v>1936</v>
      </c>
      <c r="G681" s="9" t="s">
        <v>1937</v>
      </c>
      <c r="H681" s="11" t="s">
        <v>1938</v>
      </c>
      <c r="I681" s="10">
        <v>45601</v>
      </c>
    </row>
    <row r="682" spans="1:9" x14ac:dyDescent="0.15">
      <c r="A682" s="9">
        <v>681</v>
      </c>
      <c r="B682" s="9" t="s">
        <v>9</v>
      </c>
      <c r="C682" s="9">
        <v>1923</v>
      </c>
      <c r="D682" s="10">
        <v>45701</v>
      </c>
      <c r="E682" s="13" t="str">
        <f>+HYPERLINK("http://trademark.i-assist.jp/data/china/image_1923th/81774819.pdf","81774819")</f>
        <v>81774819</v>
      </c>
      <c r="F682" s="9" t="s">
        <v>1939</v>
      </c>
      <c r="G682" s="9" t="s">
        <v>1940</v>
      </c>
      <c r="H682" s="9" t="s">
        <v>1941</v>
      </c>
      <c r="I682" s="10">
        <v>45601</v>
      </c>
    </row>
    <row r="683" spans="1:9" x14ac:dyDescent="0.15">
      <c r="A683" s="9">
        <v>682</v>
      </c>
      <c r="B683" s="9" t="s">
        <v>9</v>
      </c>
      <c r="C683" s="9">
        <v>1923</v>
      </c>
      <c r="D683" s="10">
        <v>45701</v>
      </c>
      <c r="E683" s="13" t="str">
        <f>+HYPERLINK("http://trademark.i-assist.jp/data/china/image_1923th/81775059.pdf","81775059")</f>
        <v>81775059</v>
      </c>
      <c r="F683" s="9" t="s">
        <v>1942</v>
      </c>
      <c r="G683" s="11" t="s">
        <v>1943</v>
      </c>
      <c r="H683" s="9" t="s">
        <v>1944</v>
      </c>
      <c r="I683" s="10">
        <v>45601</v>
      </c>
    </row>
    <row r="684" spans="1:9" x14ac:dyDescent="0.15">
      <c r="A684" s="9">
        <v>683</v>
      </c>
      <c r="B684" s="9" t="s">
        <v>9</v>
      </c>
      <c r="C684" s="9">
        <v>1923</v>
      </c>
      <c r="D684" s="10">
        <v>45701</v>
      </c>
      <c r="E684" s="13" t="str">
        <f>+HYPERLINK("http://trademark.i-assist.jp/data/china/image_1923th/81775130.pdf","81775130")</f>
        <v>81775130</v>
      </c>
      <c r="F684" s="9" t="s">
        <v>1945</v>
      </c>
      <c r="G684" s="9" t="s">
        <v>1946</v>
      </c>
      <c r="H684" s="9" t="s">
        <v>1947</v>
      </c>
      <c r="I684" s="10">
        <v>45601</v>
      </c>
    </row>
    <row r="685" spans="1:9" x14ac:dyDescent="0.15">
      <c r="A685" s="9">
        <v>684</v>
      </c>
      <c r="B685" s="9" t="s">
        <v>9</v>
      </c>
      <c r="C685" s="9">
        <v>1923</v>
      </c>
      <c r="D685" s="10">
        <v>45701</v>
      </c>
      <c r="E685" s="13" t="str">
        <f>+HYPERLINK("http://trademark.i-assist.jp/data/china/image_1923th/81775516.pdf","81775516")</f>
        <v>81775516</v>
      </c>
      <c r="F685" s="9" t="s">
        <v>1948</v>
      </c>
      <c r="G685" s="9" t="s">
        <v>1811</v>
      </c>
      <c r="H685" s="9" t="s">
        <v>1949</v>
      </c>
      <c r="I685" s="10">
        <v>45601</v>
      </c>
    </row>
    <row r="686" spans="1:9" x14ac:dyDescent="0.15">
      <c r="A686" s="9">
        <v>685</v>
      </c>
      <c r="B686" s="9" t="s">
        <v>9</v>
      </c>
      <c r="C686" s="9">
        <v>1923</v>
      </c>
      <c r="D686" s="10">
        <v>45701</v>
      </c>
      <c r="E686" s="13" t="str">
        <f>+HYPERLINK("http://trademark.i-assist.jp/data/china/image_1923th/81776709.pdf","81776709")</f>
        <v>81776709</v>
      </c>
      <c r="F686" s="9" t="s">
        <v>1950</v>
      </c>
      <c r="G686" s="11" t="s">
        <v>1829</v>
      </c>
      <c r="H686" s="11" t="s">
        <v>1951</v>
      </c>
      <c r="I686" s="10">
        <v>45601</v>
      </c>
    </row>
    <row r="687" spans="1:9" x14ac:dyDescent="0.15">
      <c r="A687" s="9">
        <v>686</v>
      </c>
      <c r="B687" s="9" t="s">
        <v>9</v>
      </c>
      <c r="C687" s="9">
        <v>1923</v>
      </c>
      <c r="D687" s="10">
        <v>45701</v>
      </c>
      <c r="E687" s="13" t="str">
        <f>+HYPERLINK("http://trademark.i-assist.jp/data/china/image_1923th/81777057.pdf","81777057")</f>
        <v>81777057</v>
      </c>
      <c r="F687" s="9" t="s">
        <v>1952</v>
      </c>
      <c r="G687" s="9" t="s">
        <v>1953</v>
      </c>
      <c r="H687" s="9" t="s">
        <v>1954</v>
      </c>
      <c r="I687" s="10">
        <v>45601</v>
      </c>
    </row>
    <row r="688" spans="1:9" x14ac:dyDescent="0.15">
      <c r="A688" s="9">
        <v>687</v>
      </c>
      <c r="B688" s="9" t="s">
        <v>9</v>
      </c>
      <c r="C688" s="9">
        <v>1923</v>
      </c>
      <c r="D688" s="10">
        <v>45701</v>
      </c>
      <c r="E688" s="13" t="str">
        <f>+HYPERLINK("http://trademark.i-assist.jp/data/china/image_1923th/81777360.pdf","81777360")</f>
        <v>81777360</v>
      </c>
      <c r="F688" s="11" t="s">
        <v>1955</v>
      </c>
      <c r="G688" s="9" t="s">
        <v>36</v>
      </c>
      <c r="H688" s="9" t="s">
        <v>1956</v>
      </c>
      <c r="I688" s="10">
        <v>45601</v>
      </c>
    </row>
    <row r="689" spans="1:9" x14ac:dyDescent="0.15">
      <c r="A689" s="9">
        <v>688</v>
      </c>
      <c r="B689" s="9" t="s">
        <v>9</v>
      </c>
      <c r="C689" s="9">
        <v>1923</v>
      </c>
      <c r="D689" s="10">
        <v>45701</v>
      </c>
      <c r="E689" s="13" t="str">
        <f>+HYPERLINK("http://trademark.i-assist.jp/data/china/image_1923th/81777449.pdf","81777449")</f>
        <v>81777449</v>
      </c>
      <c r="F689" s="9" t="s">
        <v>1957</v>
      </c>
      <c r="G689" s="9" t="s">
        <v>1958</v>
      </c>
      <c r="H689" s="9" t="s">
        <v>1959</v>
      </c>
      <c r="I689" s="10">
        <v>45601</v>
      </c>
    </row>
    <row r="690" spans="1:9" x14ac:dyDescent="0.15">
      <c r="A690" s="9">
        <v>689</v>
      </c>
      <c r="B690" s="9" t="s">
        <v>9</v>
      </c>
      <c r="C690" s="9">
        <v>1923</v>
      </c>
      <c r="D690" s="10">
        <v>45701</v>
      </c>
      <c r="E690" s="13" t="str">
        <f>+HYPERLINK("http://trademark.i-assist.jp/data/china/image_1923th/81777472.pdf","81777472")</f>
        <v>81777472</v>
      </c>
      <c r="F690" s="9" t="s">
        <v>1960</v>
      </c>
      <c r="G690" s="9" t="s">
        <v>1961</v>
      </c>
      <c r="H690" s="9" t="s">
        <v>1962</v>
      </c>
      <c r="I690" s="10">
        <v>45601</v>
      </c>
    </row>
    <row r="691" spans="1:9" x14ac:dyDescent="0.15">
      <c r="A691" s="9">
        <v>690</v>
      </c>
      <c r="B691" s="9" t="s">
        <v>9</v>
      </c>
      <c r="C691" s="9">
        <v>1923</v>
      </c>
      <c r="D691" s="10">
        <v>45701</v>
      </c>
      <c r="E691" s="13" t="str">
        <f>+HYPERLINK("http://trademark.i-assist.jp/data/china/image_1923th/81777505.pdf","81777505")</f>
        <v>81777505</v>
      </c>
      <c r="F691" s="9" t="s">
        <v>1963</v>
      </c>
      <c r="G691" s="11" t="s">
        <v>1924</v>
      </c>
      <c r="H691" s="9" t="s">
        <v>1964</v>
      </c>
      <c r="I691" s="10">
        <v>45601</v>
      </c>
    </row>
    <row r="692" spans="1:9" x14ac:dyDescent="0.15">
      <c r="A692" s="9">
        <v>691</v>
      </c>
      <c r="B692" s="9" t="s">
        <v>9</v>
      </c>
      <c r="C692" s="9">
        <v>1923</v>
      </c>
      <c r="D692" s="10">
        <v>45701</v>
      </c>
      <c r="E692" s="13" t="str">
        <f>+HYPERLINK("http://trademark.i-assist.jp/data/china/image_1923th/81777516.pdf","81777516")</f>
        <v>81777516</v>
      </c>
      <c r="F692" s="9" t="s">
        <v>1965</v>
      </c>
      <c r="G692" s="11" t="s">
        <v>1966</v>
      </c>
      <c r="H692" s="9" t="s">
        <v>1967</v>
      </c>
      <c r="I692" s="10">
        <v>45601</v>
      </c>
    </row>
    <row r="693" spans="1:9" x14ac:dyDescent="0.15">
      <c r="A693" s="9">
        <v>692</v>
      </c>
      <c r="B693" s="9" t="s">
        <v>9</v>
      </c>
      <c r="C693" s="9">
        <v>1923</v>
      </c>
      <c r="D693" s="10">
        <v>45701</v>
      </c>
      <c r="E693" s="13" t="str">
        <f>+HYPERLINK("http://trademark.i-assist.jp/data/china/image_1923th/81778151.pdf","81778151")</f>
        <v>81778151</v>
      </c>
      <c r="F693" s="9" t="s">
        <v>1968</v>
      </c>
      <c r="G693" s="9" t="s">
        <v>1969</v>
      </c>
      <c r="H693" s="9" t="s">
        <v>1970</v>
      </c>
      <c r="I693" s="10">
        <v>45601</v>
      </c>
    </row>
    <row r="694" spans="1:9" x14ac:dyDescent="0.15">
      <c r="A694" s="9">
        <v>693</v>
      </c>
      <c r="B694" s="9" t="s">
        <v>9</v>
      </c>
      <c r="C694" s="9">
        <v>1923</v>
      </c>
      <c r="D694" s="10">
        <v>45701</v>
      </c>
      <c r="E694" s="13" t="str">
        <f>+HYPERLINK("http://trademark.i-assist.jp/data/china/image_1923th/81778354.pdf","81778354")</f>
        <v>81778354</v>
      </c>
      <c r="F694" s="9" t="s">
        <v>1971</v>
      </c>
      <c r="G694" s="9" t="s">
        <v>1972</v>
      </c>
      <c r="H694" s="9" t="s">
        <v>1973</v>
      </c>
      <c r="I694" s="10">
        <v>45601</v>
      </c>
    </row>
    <row r="695" spans="1:9" x14ac:dyDescent="0.15">
      <c r="A695" s="9">
        <v>694</v>
      </c>
      <c r="B695" s="9" t="s">
        <v>9</v>
      </c>
      <c r="C695" s="9">
        <v>1923</v>
      </c>
      <c r="D695" s="10">
        <v>45701</v>
      </c>
      <c r="E695" s="13" t="str">
        <f>+HYPERLINK("http://trademark.i-assist.jp/data/china/image_1923th/81778442.pdf","81778442")</f>
        <v>81778442</v>
      </c>
      <c r="F695" s="9" t="s">
        <v>1974</v>
      </c>
      <c r="G695" s="9" t="s">
        <v>1875</v>
      </c>
      <c r="H695" s="11" t="s">
        <v>1975</v>
      </c>
      <c r="I695" s="10">
        <v>45601</v>
      </c>
    </row>
    <row r="696" spans="1:9" x14ac:dyDescent="0.15">
      <c r="A696" s="9">
        <v>695</v>
      </c>
      <c r="B696" s="9" t="s">
        <v>9</v>
      </c>
      <c r="C696" s="9">
        <v>1923</v>
      </c>
      <c r="D696" s="10">
        <v>45701</v>
      </c>
      <c r="E696" s="13" t="str">
        <f>+HYPERLINK("http://trademark.i-assist.jp/data/china/image_1923th/81779220.pdf","81779220")</f>
        <v>81779220</v>
      </c>
      <c r="F696" s="9" t="s">
        <v>1976</v>
      </c>
      <c r="G696" s="9" t="s">
        <v>1977</v>
      </c>
      <c r="H696" s="9" t="s">
        <v>1978</v>
      </c>
      <c r="I696" s="10">
        <v>45600</v>
      </c>
    </row>
    <row r="697" spans="1:9" x14ac:dyDescent="0.15">
      <c r="A697" s="9">
        <v>696</v>
      </c>
      <c r="B697" s="9" t="s">
        <v>9</v>
      </c>
      <c r="C697" s="9">
        <v>1923</v>
      </c>
      <c r="D697" s="10">
        <v>45701</v>
      </c>
      <c r="E697" s="13" t="str">
        <f>+HYPERLINK("http://trademark.i-assist.jp/data/china/image_1923th/81779365.pdf","81779365")</f>
        <v>81779365</v>
      </c>
      <c r="F697" s="11" t="s">
        <v>126</v>
      </c>
      <c r="G697" s="9" t="s">
        <v>1979</v>
      </c>
      <c r="H697" s="9" t="s">
        <v>1980</v>
      </c>
      <c r="I697" s="10">
        <v>45600</v>
      </c>
    </row>
    <row r="698" spans="1:9" x14ac:dyDescent="0.15">
      <c r="A698" s="9">
        <v>697</v>
      </c>
      <c r="B698" s="9" t="s">
        <v>9</v>
      </c>
      <c r="C698" s="9">
        <v>1923</v>
      </c>
      <c r="D698" s="10">
        <v>45701</v>
      </c>
      <c r="E698" s="13" t="str">
        <f>+HYPERLINK("http://trademark.i-assist.jp/data/china/image_1923th/81779946.pdf","81779946")</f>
        <v>81779946</v>
      </c>
      <c r="F698" s="9" t="s">
        <v>1981</v>
      </c>
      <c r="G698" s="9" t="s">
        <v>1982</v>
      </c>
      <c r="H698" s="9" t="s">
        <v>1983</v>
      </c>
      <c r="I698" s="10">
        <v>45601</v>
      </c>
    </row>
    <row r="699" spans="1:9" x14ac:dyDescent="0.15">
      <c r="A699" s="9">
        <v>698</v>
      </c>
      <c r="B699" s="9" t="s">
        <v>9</v>
      </c>
      <c r="C699" s="9">
        <v>1923</v>
      </c>
      <c r="D699" s="10">
        <v>45701</v>
      </c>
      <c r="E699" s="13" t="str">
        <f>+HYPERLINK("http://trademark.i-assist.jp/data/china/image_1923th/81779999.pdf","81779999")</f>
        <v>81779999</v>
      </c>
      <c r="F699" s="11" t="s">
        <v>1984</v>
      </c>
      <c r="G699" s="11" t="s">
        <v>1985</v>
      </c>
      <c r="H699" s="9" t="s">
        <v>1986</v>
      </c>
      <c r="I699" s="10">
        <v>45600</v>
      </c>
    </row>
    <row r="700" spans="1:9" x14ac:dyDescent="0.15">
      <c r="A700" s="9">
        <v>699</v>
      </c>
      <c r="B700" s="9" t="s">
        <v>9</v>
      </c>
      <c r="C700" s="9">
        <v>1923</v>
      </c>
      <c r="D700" s="10">
        <v>45701</v>
      </c>
      <c r="E700" s="13" t="str">
        <f>+HYPERLINK("http://trademark.i-assist.jp/data/china/image_1923th/81780272.pdf","81780272")</f>
        <v>81780272</v>
      </c>
      <c r="F700" s="9" t="s">
        <v>1987</v>
      </c>
      <c r="G700" s="11" t="s">
        <v>1746</v>
      </c>
      <c r="H700" s="9" t="s">
        <v>1988</v>
      </c>
      <c r="I700" s="10">
        <v>45600</v>
      </c>
    </row>
    <row r="701" spans="1:9" x14ac:dyDescent="0.15">
      <c r="A701" s="9">
        <v>700</v>
      </c>
      <c r="B701" s="9" t="s">
        <v>9</v>
      </c>
      <c r="C701" s="9">
        <v>1923</v>
      </c>
      <c r="D701" s="10">
        <v>45701</v>
      </c>
      <c r="E701" s="13" t="str">
        <f>+HYPERLINK("http://trademark.i-assist.jp/data/china/image_1923th/81780501.pdf","81780501")</f>
        <v>81780501</v>
      </c>
      <c r="F701" s="9" t="s">
        <v>1989</v>
      </c>
      <c r="G701" s="9" t="s">
        <v>1990</v>
      </c>
      <c r="H701" s="9" t="s">
        <v>1991</v>
      </c>
      <c r="I701" s="10">
        <v>45600</v>
      </c>
    </row>
    <row r="702" spans="1:9" x14ac:dyDescent="0.15">
      <c r="A702" s="9">
        <v>701</v>
      </c>
      <c r="B702" s="9" t="s">
        <v>9</v>
      </c>
      <c r="C702" s="9">
        <v>1923</v>
      </c>
      <c r="D702" s="10">
        <v>45701</v>
      </c>
      <c r="E702" s="13" t="str">
        <f>+HYPERLINK("http://trademark.i-assist.jp/data/china/image_1923th/81781442.pdf","81781442")</f>
        <v>81781442</v>
      </c>
      <c r="F702" s="12" t="s">
        <v>1992</v>
      </c>
      <c r="G702" s="11" t="s">
        <v>1993</v>
      </c>
      <c r="H702" s="11" t="s">
        <v>1994</v>
      </c>
      <c r="I702" s="10">
        <v>45601</v>
      </c>
    </row>
    <row r="703" spans="1:9" x14ac:dyDescent="0.15">
      <c r="A703" s="9">
        <v>702</v>
      </c>
      <c r="B703" s="9" t="s">
        <v>9</v>
      </c>
      <c r="C703" s="9">
        <v>1923</v>
      </c>
      <c r="D703" s="10">
        <v>45701</v>
      </c>
      <c r="E703" s="13" t="str">
        <f>+HYPERLINK("http://trademark.i-assist.jp/data/china/image_1923th/81781773.pdf","81781773")</f>
        <v>81781773</v>
      </c>
      <c r="F703" s="9" t="s">
        <v>1995</v>
      </c>
      <c r="G703" s="9" t="s">
        <v>1996</v>
      </c>
      <c r="H703" s="9" t="s">
        <v>1997</v>
      </c>
      <c r="I703" s="10">
        <v>45600</v>
      </c>
    </row>
    <row r="704" spans="1:9" x14ac:dyDescent="0.15">
      <c r="A704" s="9">
        <v>703</v>
      </c>
      <c r="B704" s="9" t="s">
        <v>9</v>
      </c>
      <c r="C704" s="9">
        <v>1923</v>
      </c>
      <c r="D704" s="10">
        <v>45701</v>
      </c>
      <c r="E704" s="13" t="str">
        <f>+HYPERLINK("http://trademark.i-assist.jp/data/china/image_1923th/81782376.pdf","81782376")</f>
        <v>81782376</v>
      </c>
      <c r="F704" s="11" t="s">
        <v>126</v>
      </c>
      <c r="G704" s="11" t="s">
        <v>1998</v>
      </c>
      <c r="H704" s="9" t="s">
        <v>1999</v>
      </c>
      <c r="I704" s="10">
        <v>45601</v>
      </c>
    </row>
    <row r="705" spans="1:9" x14ac:dyDescent="0.15">
      <c r="A705" s="9">
        <v>704</v>
      </c>
      <c r="B705" s="9" t="s">
        <v>9</v>
      </c>
      <c r="C705" s="9">
        <v>1923</v>
      </c>
      <c r="D705" s="10">
        <v>45701</v>
      </c>
      <c r="E705" s="13" t="str">
        <f>+HYPERLINK("http://trademark.i-assist.jp/data/china/image_1923th/81782844.pdf","81782844")</f>
        <v>81782844</v>
      </c>
      <c r="F705" s="9" t="s">
        <v>2000</v>
      </c>
      <c r="G705" s="9" t="s">
        <v>2001</v>
      </c>
      <c r="H705" s="9" t="s">
        <v>2002</v>
      </c>
      <c r="I705" s="10">
        <v>45600</v>
      </c>
    </row>
    <row r="706" spans="1:9" x14ac:dyDescent="0.15">
      <c r="A706" s="9">
        <v>705</v>
      </c>
      <c r="B706" s="9" t="s">
        <v>9</v>
      </c>
      <c r="C706" s="9">
        <v>1923</v>
      </c>
      <c r="D706" s="10">
        <v>45701</v>
      </c>
      <c r="E706" s="13" t="str">
        <f>+HYPERLINK("http://trademark.i-assist.jp/data/china/image_1923th/81783343.pdf","81783343")</f>
        <v>81783343</v>
      </c>
      <c r="F706" s="9" t="s">
        <v>2003</v>
      </c>
      <c r="G706" s="9" t="s">
        <v>2004</v>
      </c>
      <c r="H706" s="9" t="s">
        <v>2005</v>
      </c>
      <c r="I706" s="10">
        <v>45600</v>
      </c>
    </row>
    <row r="707" spans="1:9" x14ac:dyDescent="0.15">
      <c r="A707" s="9">
        <v>706</v>
      </c>
      <c r="B707" s="9" t="s">
        <v>9</v>
      </c>
      <c r="C707" s="9">
        <v>1923</v>
      </c>
      <c r="D707" s="10">
        <v>45701</v>
      </c>
      <c r="E707" s="13" t="str">
        <f>+HYPERLINK("http://trademark.i-assist.jp/data/china/image_1923th/81783622.pdf","81783622")</f>
        <v>81783622</v>
      </c>
      <c r="F707" s="9" t="s">
        <v>2006</v>
      </c>
      <c r="G707" s="9" t="s">
        <v>2007</v>
      </c>
      <c r="H707" s="9" t="s">
        <v>2008</v>
      </c>
      <c r="I707" s="10">
        <v>45600</v>
      </c>
    </row>
    <row r="708" spans="1:9" x14ac:dyDescent="0.15">
      <c r="A708" s="9">
        <v>707</v>
      </c>
      <c r="B708" s="9" t="s">
        <v>9</v>
      </c>
      <c r="C708" s="9">
        <v>1923</v>
      </c>
      <c r="D708" s="10">
        <v>45701</v>
      </c>
      <c r="E708" s="13" t="str">
        <f>+HYPERLINK("http://trademark.i-assist.jp/data/china/image_1923th/81784596.pdf","81784596")</f>
        <v>81784596</v>
      </c>
      <c r="F708" s="9" t="s">
        <v>2009</v>
      </c>
      <c r="G708" s="9" t="s">
        <v>2010</v>
      </c>
      <c r="H708" s="9" t="s">
        <v>2011</v>
      </c>
      <c r="I708" s="10">
        <v>45600</v>
      </c>
    </row>
    <row r="709" spans="1:9" x14ac:dyDescent="0.15">
      <c r="A709" s="9">
        <v>708</v>
      </c>
      <c r="B709" s="9" t="s">
        <v>9</v>
      </c>
      <c r="C709" s="9">
        <v>1923</v>
      </c>
      <c r="D709" s="10">
        <v>45701</v>
      </c>
      <c r="E709" s="13" t="str">
        <f>+HYPERLINK("http://trademark.i-assist.jp/data/china/image_1923th/81784975.pdf","81784975")</f>
        <v>81784975</v>
      </c>
      <c r="F709" s="11" t="s">
        <v>2012</v>
      </c>
      <c r="G709" s="9" t="s">
        <v>2013</v>
      </c>
      <c r="H709" s="9" t="s">
        <v>2014</v>
      </c>
      <c r="I709" s="10">
        <v>45600</v>
      </c>
    </row>
    <row r="710" spans="1:9" x14ac:dyDescent="0.15">
      <c r="A710" s="9">
        <v>709</v>
      </c>
      <c r="B710" s="9" t="s">
        <v>9</v>
      </c>
      <c r="C710" s="9">
        <v>1923</v>
      </c>
      <c r="D710" s="10">
        <v>45701</v>
      </c>
      <c r="E710" s="13" t="str">
        <f>+HYPERLINK("http://trademark.i-assist.jp/data/china/image_1923th/81785125.pdf","81785125")</f>
        <v>81785125</v>
      </c>
      <c r="F710" s="9" t="s">
        <v>2015</v>
      </c>
      <c r="G710" s="9" t="s">
        <v>2016</v>
      </c>
      <c r="H710" s="9" t="s">
        <v>2017</v>
      </c>
      <c r="I710" s="10">
        <v>45600</v>
      </c>
    </row>
    <row r="711" spans="1:9" x14ac:dyDescent="0.15">
      <c r="A711" s="9">
        <v>710</v>
      </c>
      <c r="B711" s="9" t="s">
        <v>9</v>
      </c>
      <c r="C711" s="9">
        <v>1923</v>
      </c>
      <c r="D711" s="10">
        <v>45701</v>
      </c>
      <c r="E711" s="13" t="str">
        <f>+HYPERLINK("http://trademark.i-assist.jp/data/china/image_1923th/81785794.pdf","81785794")</f>
        <v>81785794</v>
      </c>
      <c r="F711" s="9" t="s">
        <v>2018</v>
      </c>
      <c r="G711" s="11" t="s">
        <v>2019</v>
      </c>
      <c r="H711" s="9" t="s">
        <v>2020</v>
      </c>
      <c r="I711" s="10">
        <v>45600</v>
      </c>
    </row>
    <row r="712" spans="1:9" x14ac:dyDescent="0.15">
      <c r="A712" s="9">
        <v>711</v>
      </c>
      <c r="B712" s="9" t="s">
        <v>9</v>
      </c>
      <c r="C712" s="9">
        <v>1923</v>
      </c>
      <c r="D712" s="10">
        <v>45701</v>
      </c>
      <c r="E712" s="13" t="str">
        <f>+HYPERLINK("http://trademark.i-assist.jp/data/china/image_1923th/81785952.pdf","81785952")</f>
        <v>81785952</v>
      </c>
      <c r="F712" s="9" t="s">
        <v>2021</v>
      </c>
      <c r="G712" s="11" t="s">
        <v>2022</v>
      </c>
      <c r="H712" s="9" t="s">
        <v>2023</v>
      </c>
      <c r="I712" s="10">
        <v>45600</v>
      </c>
    </row>
    <row r="713" spans="1:9" x14ac:dyDescent="0.15">
      <c r="A713" s="9">
        <v>712</v>
      </c>
      <c r="B713" s="9" t="s">
        <v>9</v>
      </c>
      <c r="C713" s="9">
        <v>1923</v>
      </c>
      <c r="D713" s="10">
        <v>45701</v>
      </c>
      <c r="E713" s="13" t="str">
        <f>+HYPERLINK("http://trademark.i-assist.jp/data/china/image_1923th/81786939.pdf","81786939")</f>
        <v>81786939</v>
      </c>
      <c r="F713" s="9" t="s">
        <v>2024</v>
      </c>
      <c r="G713" s="9" t="s">
        <v>2025</v>
      </c>
      <c r="H713" s="9" t="s">
        <v>2026</v>
      </c>
      <c r="I713" s="10">
        <v>45600</v>
      </c>
    </row>
    <row r="714" spans="1:9" x14ac:dyDescent="0.15">
      <c r="A714" s="9">
        <v>713</v>
      </c>
      <c r="B714" s="9" t="s">
        <v>9</v>
      </c>
      <c r="C714" s="9">
        <v>1923</v>
      </c>
      <c r="D714" s="10">
        <v>45701</v>
      </c>
      <c r="E714" s="13" t="str">
        <f>+HYPERLINK("http://trademark.i-assist.jp/data/china/image_1923th/81787979.pdf","81787979")</f>
        <v>81787979</v>
      </c>
      <c r="F714" s="9" t="s">
        <v>2027</v>
      </c>
      <c r="G714" s="9" t="s">
        <v>2028</v>
      </c>
      <c r="H714" s="11" t="s">
        <v>2029</v>
      </c>
      <c r="I714" s="10">
        <v>45600</v>
      </c>
    </row>
    <row r="715" spans="1:9" x14ac:dyDescent="0.15">
      <c r="A715" s="9">
        <v>714</v>
      </c>
      <c r="B715" s="9" t="s">
        <v>9</v>
      </c>
      <c r="C715" s="9">
        <v>1923</v>
      </c>
      <c r="D715" s="10">
        <v>45701</v>
      </c>
      <c r="E715" s="13" t="str">
        <f>+HYPERLINK("http://trademark.i-assist.jp/data/china/image_1923th/81788460.pdf","81788460")</f>
        <v>81788460</v>
      </c>
      <c r="F715" s="9" t="s">
        <v>2030</v>
      </c>
      <c r="G715" s="9" t="s">
        <v>2031</v>
      </c>
      <c r="H715" s="9" t="s">
        <v>2032</v>
      </c>
      <c r="I715" s="10">
        <v>45600</v>
      </c>
    </row>
    <row r="716" spans="1:9" x14ac:dyDescent="0.15">
      <c r="A716" s="9">
        <v>715</v>
      </c>
      <c r="B716" s="9" t="s">
        <v>9</v>
      </c>
      <c r="C716" s="9">
        <v>1923</v>
      </c>
      <c r="D716" s="10">
        <v>45701</v>
      </c>
      <c r="E716" s="13" t="str">
        <f>+HYPERLINK("http://trademark.i-assist.jp/data/china/image_1923th/81788480.pdf","81788480")</f>
        <v>81788480</v>
      </c>
      <c r="F716" s="9" t="s">
        <v>2033</v>
      </c>
      <c r="G716" s="11" t="s">
        <v>2034</v>
      </c>
      <c r="H716" s="9" t="s">
        <v>2035</v>
      </c>
      <c r="I716" s="10">
        <v>45600</v>
      </c>
    </row>
    <row r="717" spans="1:9" x14ac:dyDescent="0.15">
      <c r="A717" s="9">
        <v>716</v>
      </c>
      <c r="B717" s="9" t="s">
        <v>9</v>
      </c>
      <c r="C717" s="9">
        <v>1923</v>
      </c>
      <c r="D717" s="10">
        <v>45701</v>
      </c>
      <c r="E717" s="13" t="str">
        <f>+HYPERLINK("http://trademark.i-assist.jp/data/china/image_1923th/81788795.pdf","81788795")</f>
        <v>81788795</v>
      </c>
      <c r="F717" s="9" t="s">
        <v>2036</v>
      </c>
      <c r="G717" s="9" t="s">
        <v>2037</v>
      </c>
      <c r="H717" s="9" t="s">
        <v>2038</v>
      </c>
      <c r="I717" s="10">
        <v>45600</v>
      </c>
    </row>
    <row r="718" spans="1:9" x14ac:dyDescent="0.15">
      <c r="A718" s="9">
        <v>717</v>
      </c>
      <c r="B718" s="9" t="s">
        <v>9</v>
      </c>
      <c r="C718" s="9">
        <v>1923</v>
      </c>
      <c r="D718" s="10">
        <v>45701</v>
      </c>
      <c r="E718" s="13" t="str">
        <f>+HYPERLINK("http://trademark.i-assist.jp/data/china/image_1923th/81789152.pdf","81789152")</f>
        <v>81789152</v>
      </c>
      <c r="F718" s="9" t="s">
        <v>2039</v>
      </c>
      <c r="G718" s="9" t="s">
        <v>2040</v>
      </c>
      <c r="H718" s="9" t="s">
        <v>2041</v>
      </c>
      <c r="I718" s="10">
        <v>45600</v>
      </c>
    </row>
    <row r="719" spans="1:9" x14ac:dyDescent="0.15">
      <c r="A719" s="9">
        <v>718</v>
      </c>
      <c r="B719" s="9" t="s">
        <v>9</v>
      </c>
      <c r="C719" s="9">
        <v>1923</v>
      </c>
      <c r="D719" s="10">
        <v>45701</v>
      </c>
      <c r="E719" s="13" t="str">
        <f>+HYPERLINK("http://trademark.i-assist.jp/data/china/image_1923th/81789400.pdf","81789400")</f>
        <v>81789400</v>
      </c>
      <c r="F719" s="9" t="s">
        <v>2042</v>
      </c>
      <c r="G719" s="9" t="s">
        <v>2043</v>
      </c>
      <c r="H719" s="9" t="s">
        <v>2044</v>
      </c>
      <c r="I719" s="10">
        <v>45600</v>
      </c>
    </row>
    <row r="720" spans="1:9" x14ac:dyDescent="0.15">
      <c r="A720" s="9">
        <v>719</v>
      </c>
      <c r="B720" s="9" t="s">
        <v>9</v>
      </c>
      <c r="C720" s="9">
        <v>1923</v>
      </c>
      <c r="D720" s="10">
        <v>45701</v>
      </c>
      <c r="E720" s="13" t="str">
        <f>+HYPERLINK("http://trademark.i-assist.jp/data/china/image_1923th/81789524.pdf","81789524")</f>
        <v>81789524</v>
      </c>
      <c r="F720" s="9" t="s">
        <v>2045</v>
      </c>
      <c r="G720" s="9" t="s">
        <v>2046</v>
      </c>
      <c r="H720" s="9" t="s">
        <v>2047</v>
      </c>
      <c r="I720" s="10">
        <v>45600</v>
      </c>
    </row>
    <row r="721" spans="1:9" x14ac:dyDescent="0.15">
      <c r="A721" s="9">
        <v>720</v>
      </c>
      <c r="B721" s="9" t="s">
        <v>9</v>
      </c>
      <c r="C721" s="9">
        <v>1923</v>
      </c>
      <c r="D721" s="10">
        <v>45701</v>
      </c>
      <c r="E721" s="13" t="str">
        <f>+HYPERLINK("http://trademark.i-assist.jp/data/china/image_1923th/81789825.pdf","81789825")</f>
        <v>81789825</v>
      </c>
      <c r="F721" s="9" t="s">
        <v>2048</v>
      </c>
      <c r="G721" s="9" t="s">
        <v>2049</v>
      </c>
      <c r="H721" s="9" t="s">
        <v>2050</v>
      </c>
      <c r="I721" s="10">
        <v>45600</v>
      </c>
    </row>
    <row r="722" spans="1:9" x14ac:dyDescent="0.15">
      <c r="A722" s="9">
        <v>721</v>
      </c>
      <c r="B722" s="9" t="s">
        <v>9</v>
      </c>
      <c r="C722" s="9">
        <v>1923</v>
      </c>
      <c r="D722" s="10">
        <v>45701</v>
      </c>
      <c r="E722" s="13" t="str">
        <f>+HYPERLINK("http://trademark.i-assist.jp/data/china/image_1923th/81790209.pdf","81790209")</f>
        <v>81790209</v>
      </c>
      <c r="F722" s="9" t="s">
        <v>2051</v>
      </c>
      <c r="G722" s="11" t="s">
        <v>2052</v>
      </c>
      <c r="H722" s="11" t="s">
        <v>2053</v>
      </c>
      <c r="I722" s="10">
        <v>45600</v>
      </c>
    </row>
    <row r="723" spans="1:9" x14ac:dyDescent="0.15">
      <c r="A723" s="9">
        <v>722</v>
      </c>
      <c r="B723" s="9" t="s">
        <v>9</v>
      </c>
      <c r="C723" s="9">
        <v>1923</v>
      </c>
      <c r="D723" s="10">
        <v>45701</v>
      </c>
      <c r="E723" s="13" t="str">
        <f>+HYPERLINK("http://trademark.i-assist.jp/data/china/image_1923th/81790702.pdf","81790702")</f>
        <v>81790702</v>
      </c>
      <c r="F723" s="9" t="s">
        <v>2054</v>
      </c>
      <c r="G723" s="11" t="s">
        <v>2055</v>
      </c>
      <c r="H723" s="9" t="s">
        <v>2056</v>
      </c>
      <c r="I723" s="10">
        <v>45600</v>
      </c>
    </row>
    <row r="724" spans="1:9" x14ac:dyDescent="0.15">
      <c r="A724" s="9">
        <v>723</v>
      </c>
      <c r="B724" s="9" t="s">
        <v>9</v>
      </c>
      <c r="C724" s="9">
        <v>1923</v>
      </c>
      <c r="D724" s="10">
        <v>45701</v>
      </c>
      <c r="E724" s="13" t="str">
        <f>+HYPERLINK("http://trademark.i-assist.jp/data/china/image_1923th/81790841.pdf","81790841")</f>
        <v>81790841</v>
      </c>
      <c r="F724" s="9" t="s">
        <v>2057</v>
      </c>
      <c r="G724" s="9" t="s">
        <v>2058</v>
      </c>
      <c r="H724" s="9" t="s">
        <v>2059</v>
      </c>
      <c r="I724" s="10">
        <v>45600</v>
      </c>
    </row>
    <row r="725" spans="1:9" x14ac:dyDescent="0.15">
      <c r="A725" s="9">
        <v>724</v>
      </c>
      <c r="B725" s="9" t="s">
        <v>9</v>
      </c>
      <c r="C725" s="9">
        <v>1923</v>
      </c>
      <c r="D725" s="10">
        <v>45701</v>
      </c>
      <c r="E725" s="13" t="str">
        <f>+HYPERLINK("http://trademark.i-assist.jp/data/china/image_1923th/81791131.pdf","81791131")</f>
        <v>81791131</v>
      </c>
      <c r="F725" s="9" t="s">
        <v>2060</v>
      </c>
      <c r="G725" s="9" t="s">
        <v>2061</v>
      </c>
      <c r="H725" s="9" t="s">
        <v>2062</v>
      </c>
      <c r="I725" s="10">
        <v>45600</v>
      </c>
    </row>
    <row r="726" spans="1:9" x14ac:dyDescent="0.15">
      <c r="A726" s="9">
        <v>725</v>
      </c>
      <c r="B726" s="9" t="s">
        <v>9</v>
      </c>
      <c r="C726" s="9">
        <v>1923</v>
      </c>
      <c r="D726" s="10">
        <v>45701</v>
      </c>
      <c r="E726" s="13" t="str">
        <f>+HYPERLINK("http://trademark.i-assist.jp/data/china/image_1923th/81791386.pdf","81791386")</f>
        <v>81791386</v>
      </c>
      <c r="F726" s="9" t="s">
        <v>2063</v>
      </c>
      <c r="G726" s="9" t="s">
        <v>2064</v>
      </c>
      <c r="H726" s="9" t="s">
        <v>2065</v>
      </c>
      <c r="I726" s="10">
        <v>45600</v>
      </c>
    </row>
    <row r="727" spans="1:9" x14ac:dyDescent="0.15">
      <c r="A727" s="9">
        <v>726</v>
      </c>
      <c r="B727" s="9" t="s">
        <v>9</v>
      </c>
      <c r="C727" s="9">
        <v>1923</v>
      </c>
      <c r="D727" s="10">
        <v>45701</v>
      </c>
      <c r="E727" s="13" t="str">
        <f>+HYPERLINK("http://trademark.i-assist.jp/data/china/image_1923th/81791726.pdf","81791726")</f>
        <v>81791726</v>
      </c>
      <c r="F727" s="9" t="s">
        <v>2066</v>
      </c>
      <c r="G727" s="9" t="s">
        <v>2067</v>
      </c>
      <c r="H727" s="9" t="s">
        <v>2068</v>
      </c>
      <c r="I727" s="10">
        <v>45600</v>
      </c>
    </row>
    <row r="728" spans="1:9" x14ac:dyDescent="0.15">
      <c r="A728" s="9">
        <v>727</v>
      </c>
      <c r="B728" s="9" t="s">
        <v>9</v>
      </c>
      <c r="C728" s="9">
        <v>1923</v>
      </c>
      <c r="D728" s="10">
        <v>45701</v>
      </c>
      <c r="E728" s="13" t="str">
        <f>+HYPERLINK("http://trademark.i-assist.jp/data/china/image_1923th/81791742.pdf","81791742")</f>
        <v>81791742</v>
      </c>
      <c r="F728" s="11" t="s">
        <v>2012</v>
      </c>
      <c r="G728" s="9" t="s">
        <v>2013</v>
      </c>
      <c r="H728" s="9" t="s">
        <v>2069</v>
      </c>
      <c r="I728" s="10">
        <v>45600</v>
      </c>
    </row>
    <row r="729" spans="1:9" x14ac:dyDescent="0.15">
      <c r="A729" s="9">
        <v>728</v>
      </c>
      <c r="B729" s="9" t="s">
        <v>9</v>
      </c>
      <c r="C729" s="9">
        <v>1923</v>
      </c>
      <c r="D729" s="10">
        <v>45701</v>
      </c>
      <c r="E729" s="13" t="str">
        <f>+HYPERLINK("http://trademark.i-assist.jp/data/china/image_1923th/81791751.pdf","81791751")</f>
        <v>81791751</v>
      </c>
      <c r="F729" s="9" t="s">
        <v>2070</v>
      </c>
      <c r="G729" s="11" t="s">
        <v>2071</v>
      </c>
      <c r="H729" s="9" t="s">
        <v>2072</v>
      </c>
      <c r="I729" s="10">
        <v>45600</v>
      </c>
    </row>
    <row r="730" spans="1:9" x14ac:dyDescent="0.15">
      <c r="A730" s="9">
        <v>729</v>
      </c>
      <c r="B730" s="9" t="s">
        <v>9</v>
      </c>
      <c r="C730" s="9">
        <v>1923</v>
      </c>
      <c r="D730" s="10">
        <v>45701</v>
      </c>
      <c r="E730" s="13" t="str">
        <f>+HYPERLINK("http://trademark.i-assist.jp/data/china/image_1923th/81791773.pdf","81791773")</f>
        <v>81791773</v>
      </c>
      <c r="F730" s="9" t="s">
        <v>2073</v>
      </c>
      <c r="G730" s="9" t="s">
        <v>2074</v>
      </c>
      <c r="H730" s="9" t="s">
        <v>2075</v>
      </c>
      <c r="I730" s="10">
        <v>45600</v>
      </c>
    </row>
    <row r="731" spans="1:9" x14ac:dyDescent="0.15">
      <c r="A731" s="9">
        <v>730</v>
      </c>
      <c r="B731" s="9" t="s">
        <v>9</v>
      </c>
      <c r="C731" s="9">
        <v>1923</v>
      </c>
      <c r="D731" s="10">
        <v>45701</v>
      </c>
      <c r="E731" s="13" t="str">
        <f>+HYPERLINK("http://trademark.i-assist.jp/data/china/image_1923th/81792667.pdf","81792667")</f>
        <v>81792667</v>
      </c>
      <c r="F731" s="9" t="s">
        <v>2076</v>
      </c>
      <c r="G731" s="9" t="s">
        <v>1752</v>
      </c>
      <c r="H731" s="9" t="s">
        <v>2077</v>
      </c>
      <c r="I731" s="10">
        <v>45600</v>
      </c>
    </row>
    <row r="732" spans="1:9" x14ac:dyDescent="0.15">
      <c r="A732" s="9">
        <v>731</v>
      </c>
      <c r="B732" s="9" t="s">
        <v>9</v>
      </c>
      <c r="C732" s="9">
        <v>1923</v>
      </c>
      <c r="D732" s="10">
        <v>45701</v>
      </c>
      <c r="E732" s="13" t="str">
        <f>+HYPERLINK("http://trademark.i-assist.jp/data/china/image_1923th/81792803.pdf","81792803")</f>
        <v>81792803</v>
      </c>
      <c r="F732" s="9" t="s">
        <v>709</v>
      </c>
      <c r="G732" s="9" t="s">
        <v>710</v>
      </c>
      <c r="H732" s="9" t="s">
        <v>2078</v>
      </c>
      <c r="I732" s="10">
        <v>45600</v>
      </c>
    </row>
    <row r="733" spans="1:9" x14ac:dyDescent="0.15">
      <c r="A733" s="9">
        <v>732</v>
      </c>
      <c r="B733" s="9" t="s">
        <v>9</v>
      </c>
      <c r="C733" s="9">
        <v>1923</v>
      </c>
      <c r="D733" s="10">
        <v>45701</v>
      </c>
      <c r="E733" s="13" t="str">
        <f>+HYPERLINK("http://trademark.i-assist.jp/data/china/image_1923th/81792869.pdf","81792869")</f>
        <v>81792869</v>
      </c>
      <c r="F733" s="9" t="s">
        <v>2079</v>
      </c>
      <c r="G733" s="11" t="s">
        <v>2080</v>
      </c>
      <c r="H733" s="9" t="s">
        <v>2081</v>
      </c>
      <c r="I733" s="10">
        <v>45600</v>
      </c>
    </row>
    <row r="734" spans="1:9" x14ac:dyDescent="0.15">
      <c r="A734" s="9">
        <v>733</v>
      </c>
      <c r="B734" s="9" t="s">
        <v>9</v>
      </c>
      <c r="C734" s="9">
        <v>1923</v>
      </c>
      <c r="D734" s="10">
        <v>45701</v>
      </c>
      <c r="E734" s="13" t="str">
        <f>+HYPERLINK("http://trademark.i-assist.jp/data/china/image_1923th/81793631.pdf","81793631")</f>
        <v>81793631</v>
      </c>
      <c r="F734" s="9" t="s">
        <v>2082</v>
      </c>
      <c r="G734" s="9" t="s">
        <v>2083</v>
      </c>
      <c r="H734" s="9" t="s">
        <v>2084</v>
      </c>
      <c r="I734" s="10">
        <v>45602</v>
      </c>
    </row>
    <row r="735" spans="1:9" x14ac:dyDescent="0.15">
      <c r="A735" s="9">
        <v>734</v>
      </c>
      <c r="B735" s="9" t="s">
        <v>9</v>
      </c>
      <c r="C735" s="9">
        <v>1923</v>
      </c>
      <c r="D735" s="10">
        <v>45701</v>
      </c>
      <c r="E735" s="13" t="str">
        <f>+HYPERLINK("http://trademark.i-assist.jp/data/china/image_1923th/81793725.pdf","81793725")</f>
        <v>81793725</v>
      </c>
      <c r="F735" s="9" t="s">
        <v>2085</v>
      </c>
      <c r="G735" s="11" t="s">
        <v>2086</v>
      </c>
      <c r="H735" s="9" t="s">
        <v>2087</v>
      </c>
      <c r="I735" s="10">
        <v>45602</v>
      </c>
    </row>
    <row r="736" spans="1:9" x14ac:dyDescent="0.15">
      <c r="A736" s="9">
        <v>735</v>
      </c>
      <c r="B736" s="9" t="s">
        <v>9</v>
      </c>
      <c r="C736" s="9">
        <v>1923</v>
      </c>
      <c r="D736" s="10">
        <v>45701</v>
      </c>
      <c r="E736" s="13" t="str">
        <f>+HYPERLINK("http://trademark.i-assist.jp/data/china/image_1923th/81793992.pdf","81793992")</f>
        <v>81793992</v>
      </c>
      <c r="F736" s="9" t="s">
        <v>2088</v>
      </c>
      <c r="G736" s="9" t="s">
        <v>2089</v>
      </c>
      <c r="H736" s="11" t="s">
        <v>2090</v>
      </c>
      <c r="I736" s="10">
        <v>45602</v>
      </c>
    </row>
    <row r="737" spans="1:9" x14ac:dyDescent="0.15">
      <c r="A737" s="9">
        <v>736</v>
      </c>
      <c r="B737" s="9" t="s">
        <v>9</v>
      </c>
      <c r="C737" s="9">
        <v>1923</v>
      </c>
      <c r="D737" s="10">
        <v>45701</v>
      </c>
      <c r="E737" s="13" t="str">
        <f>+HYPERLINK("http://trademark.i-assist.jp/data/china/image_1923th/81794776.pdf","81794776")</f>
        <v>81794776</v>
      </c>
      <c r="F737" s="11" t="s">
        <v>2091</v>
      </c>
      <c r="G737" s="9" t="s">
        <v>2092</v>
      </c>
      <c r="H737" s="9" t="s">
        <v>2093</v>
      </c>
      <c r="I737" s="10">
        <v>45602</v>
      </c>
    </row>
    <row r="738" spans="1:9" x14ac:dyDescent="0.15">
      <c r="A738" s="9">
        <v>737</v>
      </c>
      <c r="B738" s="9" t="s">
        <v>9</v>
      </c>
      <c r="C738" s="9">
        <v>1923</v>
      </c>
      <c r="D738" s="10">
        <v>45701</v>
      </c>
      <c r="E738" s="13" t="str">
        <f>+HYPERLINK("http://trademark.i-assist.jp/data/china/image_1923th/81794910.pdf","81794910")</f>
        <v>81794910</v>
      </c>
      <c r="F738" s="9" t="s">
        <v>2094</v>
      </c>
      <c r="G738" s="9" t="s">
        <v>2095</v>
      </c>
      <c r="H738" s="9" t="s">
        <v>2096</v>
      </c>
      <c r="I738" s="10">
        <v>45602</v>
      </c>
    </row>
    <row r="739" spans="1:9" x14ac:dyDescent="0.15">
      <c r="A739" s="9">
        <v>738</v>
      </c>
      <c r="B739" s="9" t="s">
        <v>9</v>
      </c>
      <c r="C739" s="9">
        <v>1923</v>
      </c>
      <c r="D739" s="10">
        <v>45701</v>
      </c>
      <c r="E739" s="13" t="str">
        <f>+HYPERLINK("http://trademark.i-assist.jp/data/china/image_1923th/81795474.pdf","81795474")</f>
        <v>81795474</v>
      </c>
      <c r="F739" s="9" t="s">
        <v>2097</v>
      </c>
      <c r="G739" s="9" t="s">
        <v>2098</v>
      </c>
      <c r="H739" s="9" t="s">
        <v>2099</v>
      </c>
      <c r="I739" s="10">
        <v>45602</v>
      </c>
    </row>
    <row r="740" spans="1:9" x14ac:dyDescent="0.15">
      <c r="A740" s="9">
        <v>739</v>
      </c>
      <c r="B740" s="9" t="s">
        <v>9</v>
      </c>
      <c r="C740" s="9">
        <v>1923</v>
      </c>
      <c r="D740" s="10">
        <v>45701</v>
      </c>
      <c r="E740" s="13" t="str">
        <f>+HYPERLINK("http://trademark.i-assist.jp/data/china/image_1923th/81795487.pdf","81795487")</f>
        <v>81795487</v>
      </c>
      <c r="F740" s="9" t="s">
        <v>2100</v>
      </c>
      <c r="G740" s="9" t="s">
        <v>2101</v>
      </c>
      <c r="H740" s="9" t="s">
        <v>2102</v>
      </c>
      <c r="I740" s="10">
        <v>45602</v>
      </c>
    </row>
    <row r="741" spans="1:9" x14ac:dyDescent="0.15">
      <c r="A741" s="9">
        <v>740</v>
      </c>
      <c r="B741" s="9" t="s">
        <v>9</v>
      </c>
      <c r="C741" s="9">
        <v>1923</v>
      </c>
      <c r="D741" s="10">
        <v>45701</v>
      </c>
      <c r="E741" s="13" t="str">
        <f>+HYPERLINK("http://trademark.i-assist.jp/data/china/image_1923th/81795839.pdf","81795839")</f>
        <v>81795839</v>
      </c>
      <c r="F741" s="9" t="s">
        <v>2103</v>
      </c>
      <c r="G741" s="9" t="s">
        <v>2104</v>
      </c>
      <c r="H741" s="9" t="s">
        <v>2105</v>
      </c>
      <c r="I741" s="10">
        <v>45602</v>
      </c>
    </row>
    <row r="742" spans="1:9" x14ac:dyDescent="0.15">
      <c r="A742" s="9">
        <v>741</v>
      </c>
      <c r="B742" s="9" t="s">
        <v>9</v>
      </c>
      <c r="C742" s="9">
        <v>1923</v>
      </c>
      <c r="D742" s="10">
        <v>45701</v>
      </c>
      <c r="E742" s="13" t="str">
        <f>+HYPERLINK("http://trademark.i-assist.jp/data/china/image_1923th/81795931.pdf","81795931")</f>
        <v>81795931</v>
      </c>
      <c r="F742" s="9" t="s">
        <v>2106</v>
      </c>
      <c r="G742" s="11" t="s">
        <v>2107</v>
      </c>
      <c r="H742" s="9" t="s">
        <v>2108</v>
      </c>
      <c r="I742" s="10">
        <v>45602</v>
      </c>
    </row>
    <row r="743" spans="1:9" x14ac:dyDescent="0.15">
      <c r="A743" s="9">
        <v>742</v>
      </c>
      <c r="B743" s="9" t="s">
        <v>9</v>
      </c>
      <c r="C743" s="9">
        <v>1923</v>
      </c>
      <c r="D743" s="10">
        <v>45701</v>
      </c>
      <c r="E743" s="13" t="str">
        <f>+HYPERLINK("http://trademark.i-assist.jp/data/china/image_1923th/81796041.pdf","81796041")</f>
        <v>81796041</v>
      </c>
      <c r="F743" s="9" t="s">
        <v>2109</v>
      </c>
      <c r="G743" s="9" t="s">
        <v>2110</v>
      </c>
      <c r="H743" s="9" t="s">
        <v>2111</v>
      </c>
      <c r="I743" s="10">
        <v>45602</v>
      </c>
    </row>
    <row r="744" spans="1:9" x14ac:dyDescent="0.15">
      <c r="A744" s="9">
        <v>743</v>
      </c>
      <c r="B744" s="9" t="s">
        <v>9</v>
      </c>
      <c r="C744" s="9">
        <v>1923</v>
      </c>
      <c r="D744" s="10">
        <v>45701</v>
      </c>
      <c r="E744" s="13" t="str">
        <f>+HYPERLINK("http://trademark.i-assist.jp/data/china/image_1923th/81796272.pdf","81796272")</f>
        <v>81796272</v>
      </c>
      <c r="F744" s="9" t="s">
        <v>2112</v>
      </c>
      <c r="G744" s="9" t="s">
        <v>2113</v>
      </c>
      <c r="H744" s="9" t="s">
        <v>2114</v>
      </c>
      <c r="I744" s="10">
        <v>45602</v>
      </c>
    </row>
    <row r="745" spans="1:9" x14ac:dyDescent="0.15">
      <c r="A745" s="9">
        <v>744</v>
      </c>
      <c r="B745" s="9" t="s">
        <v>9</v>
      </c>
      <c r="C745" s="9">
        <v>1923</v>
      </c>
      <c r="D745" s="10">
        <v>45701</v>
      </c>
      <c r="E745" s="13" t="str">
        <f>+HYPERLINK("http://trademark.i-assist.jp/data/china/image_1923th/81796571.pdf","81796571")</f>
        <v>81796571</v>
      </c>
      <c r="F745" s="9" t="s">
        <v>2115</v>
      </c>
      <c r="G745" s="11" t="s">
        <v>2116</v>
      </c>
      <c r="H745" s="9" t="s">
        <v>2117</v>
      </c>
      <c r="I745" s="10">
        <v>45602</v>
      </c>
    </row>
    <row r="746" spans="1:9" x14ac:dyDescent="0.15">
      <c r="A746" s="9">
        <v>745</v>
      </c>
      <c r="B746" s="9" t="s">
        <v>9</v>
      </c>
      <c r="C746" s="9">
        <v>1923</v>
      </c>
      <c r="D746" s="10">
        <v>45701</v>
      </c>
      <c r="E746" s="13" t="str">
        <f>+HYPERLINK("http://trademark.i-assist.jp/data/china/image_1923th/81797438.pdf","81797438")</f>
        <v>81797438</v>
      </c>
      <c r="F746" s="11" t="s">
        <v>2118</v>
      </c>
      <c r="G746" s="9" t="s">
        <v>2119</v>
      </c>
      <c r="H746" s="9" t="s">
        <v>2120</v>
      </c>
      <c r="I746" s="10">
        <v>45602</v>
      </c>
    </row>
    <row r="747" spans="1:9" x14ac:dyDescent="0.15">
      <c r="A747" s="9">
        <v>746</v>
      </c>
      <c r="B747" s="9" t="s">
        <v>9</v>
      </c>
      <c r="C747" s="9">
        <v>1923</v>
      </c>
      <c r="D747" s="10">
        <v>45701</v>
      </c>
      <c r="E747" s="13" t="str">
        <f>+HYPERLINK("http://trademark.i-assist.jp/data/china/image_1923th/81797921.pdf","81797921")</f>
        <v>81797921</v>
      </c>
      <c r="F747" s="9" t="s">
        <v>2121</v>
      </c>
      <c r="G747" s="9" t="s">
        <v>2122</v>
      </c>
      <c r="H747" s="9" t="s">
        <v>2123</v>
      </c>
      <c r="I747" s="10">
        <v>45602</v>
      </c>
    </row>
    <row r="748" spans="1:9" x14ac:dyDescent="0.15">
      <c r="A748" s="9">
        <v>747</v>
      </c>
      <c r="B748" s="9" t="s">
        <v>9</v>
      </c>
      <c r="C748" s="9">
        <v>1923</v>
      </c>
      <c r="D748" s="10">
        <v>45701</v>
      </c>
      <c r="E748" s="13" t="str">
        <f>+HYPERLINK("http://trademark.i-assist.jp/data/china/image_1923th/81798310.pdf","81798310")</f>
        <v>81798310</v>
      </c>
      <c r="F748" s="9" t="s">
        <v>2124</v>
      </c>
      <c r="G748" s="9" t="s">
        <v>41</v>
      </c>
      <c r="H748" s="9" t="s">
        <v>2125</v>
      </c>
      <c r="I748" s="10">
        <v>45602</v>
      </c>
    </row>
    <row r="749" spans="1:9" x14ac:dyDescent="0.15">
      <c r="A749" s="9">
        <v>748</v>
      </c>
      <c r="B749" s="9" t="s">
        <v>9</v>
      </c>
      <c r="C749" s="9">
        <v>1923</v>
      </c>
      <c r="D749" s="10">
        <v>45701</v>
      </c>
      <c r="E749" s="13" t="str">
        <f>+HYPERLINK("http://trademark.i-assist.jp/data/china/image_1923th/81798644.pdf","81798644")</f>
        <v>81798644</v>
      </c>
      <c r="F749" s="9" t="s">
        <v>2126</v>
      </c>
      <c r="G749" s="9" t="s">
        <v>2127</v>
      </c>
      <c r="H749" s="9" t="s">
        <v>2128</v>
      </c>
      <c r="I749" s="10">
        <v>45602</v>
      </c>
    </row>
    <row r="750" spans="1:9" x14ac:dyDescent="0.15">
      <c r="A750" s="9">
        <v>749</v>
      </c>
      <c r="B750" s="9" t="s">
        <v>9</v>
      </c>
      <c r="C750" s="9">
        <v>1923</v>
      </c>
      <c r="D750" s="10">
        <v>45701</v>
      </c>
      <c r="E750" s="13" t="str">
        <f>+HYPERLINK("http://trademark.i-assist.jp/data/china/image_1923th/81798786.pdf","81798786")</f>
        <v>81798786</v>
      </c>
      <c r="F750" s="9" t="s">
        <v>2129</v>
      </c>
      <c r="G750" s="11" t="s">
        <v>2130</v>
      </c>
      <c r="H750" s="9" t="s">
        <v>2131</v>
      </c>
      <c r="I750" s="10">
        <v>45602</v>
      </c>
    </row>
    <row r="751" spans="1:9" x14ac:dyDescent="0.15">
      <c r="A751" s="9">
        <v>750</v>
      </c>
      <c r="B751" s="9" t="s">
        <v>9</v>
      </c>
      <c r="C751" s="9">
        <v>1923</v>
      </c>
      <c r="D751" s="10">
        <v>45701</v>
      </c>
      <c r="E751" s="13" t="str">
        <f>+HYPERLINK("http://trademark.i-assist.jp/data/china/image_1923th/81799417.pdf","81799417")</f>
        <v>81799417</v>
      </c>
      <c r="F751" s="9" t="s">
        <v>2132</v>
      </c>
      <c r="G751" s="11" t="s">
        <v>2133</v>
      </c>
      <c r="H751" s="9" t="s">
        <v>2134</v>
      </c>
      <c r="I751" s="10">
        <v>45602</v>
      </c>
    </row>
    <row r="752" spans="1:9" x14ac:dyDescent="0.15">
      <c r="A752" s="9">
        <v>751</v>
      </c>
      <c r="B752" s="9" t="s">
        <v>9</v>
      </c>
      <c r="C752" s="9">
        <v>1923</v>
      </c>
      <c r="D752" s="10">
        <v>45701</v>
      </c>
      <c r="E752" s="13" t="str">
        <f>+HYPERLINK("http://trademark.i-assist.jp/data/china/image_1923th/81799512.pdf","81799512")</f>
        <v>81799512</v>
      </c>
      <c r="F752" s="9" t="s">
        <v>2135</v>
      </c>
      <c r="G752" s="9" t="s">
        <v>2136</v>
      </c>
      <c r="H752" s="9" t="s">
        <v>2137</v>
      </c>
      <c r="I752" s="10">
        <v>45602</v>
      </c>
    </row>
    <row r="753" spans="1:9" x14ac:dyDescent="0.15">
      <c r="A753" s="9">
        <v>752</v>
      </c>
      <c r="B753" s="9" t="s">
        <v>9</v>
      </c>
      <c r="C753" s="9">
        <v>1923</v>
      </c>
      <c r="D753" s="10">
        <v>45701</v>
      </c>
      <c r="E753" s="13" t="str">
        <f>+HYPERLINK("http://trademark.i-assist.jp/data/china/image_1923th/81799925.pdf","81799925")</f>
        <v>81799925</v>
      </c>
      <c r="F753" s="9" t="s">
        <v>2138</v>
      </c>
      <c r="G753" s="9" t="s">
        <v>2139</v>
      </c>
      <c r="H753" s="9" t="s">
        <v>2140</v>
      </c>
      <c r="I753" s="10">
        <v>45602</v>
      </c>
    </row>
    <row r="754" spans="1:9" x14ac:dyDescent="0.15">
      <c r="A754" s="9">
        <v>753</v>
      </c>
      <c r="B754" s="9" t="s">
        <v>9</v>
      </c>
      <c r="C754" s="9">
        <v>1923</v>
      </c>
      <c r="D754" s="10">
        <v>45701</v>
      </c>
      <c r="E754" s="13" t="str">
        <f>+HYPERLINK("http://trademark.i-assist.jp/data/china/image_1923th/81800132.pdf","81800132")</f>
        <v>81800132</v>
      </c>
      <c r="F754" s="9" t="s">
        <v>2141</v>
      </c>
      <c r="G754" s="9" t="s">
        <v>2142</v>
      </c>
      <c r="H754" s="9" t="s">
        <v>2143</v>
      </c>
      <c r="I754" s="10">
        <v>45602</v>
      </c>
    </row>
    <row r="755" spans="1:9" x14ac:dyDescent="0.15">
      <c r="A755" s="9">
        <v>754</v>
      </c>
      <c r="B755" s="9" t="s">
        <v>9</v>
      </c>
      <c r="C755" s="9">
        <v>1923</v>
      </c>
      <c r="D755" s="10">
        <v>45701</v>
      </c>
      <c r="E755" s="13" t="str">
        <f>+HYPERLINK("http://trademark.i-assist.jp/data/china/image_1923th/81800341.pdf","81800341")</f>
        <v>81800341</v>
      </c>
      <c r="F755" s="9" t="s">
        <v>2144</v>
      </c>
      <c r="G755" s="9" t="s">
        <v>2145</v>
      </c>
      <c r="H755" s="9" t="s">
        <v>2146</v>
      </c>
      <c r="I755" s="10">
        <v>45602</v>
      </c>
    </row>
    <row r="756" spans="1:9" x14ac:dyDescent="0.15">
      <c r="A756" s="9">
        <v>755</v>
      </c>
      <c r="B756" s="9" t="s">
        <v>9</v>
      </c>
      <c r="C756" s="9">
        <v>1923</v>
      </c>
      <c r="D756" s="10">
        <v>45701</v>
      </c>
      <c r="E756" s="13" t="str">
        <f>+HYPERLINK("http://trademark.i-assist.jp/data/china/image_1923th/81800622.pdf","81800622")</f>
        <v>81800622</v>
      </c>
      <c r="F756" s="9" t="s">
        <v>2147</v>
      </c>
      <c r="G756" s="11" t="s">
        <v>2148</v>
      </c>
      <c r="H756" s="9" t="s">
        <v>2149</v>
      </c>
      <c r="I756" s="10">
        <v>45602</v>
      </c>
    </row>
    <row r="757" spans="1:9" x14ac:dyDescent="0.15">
      <c r="A757" s="9">
        <v>756</v>
      </c>
      <c r="B757" s="9" t="s">
        <v>9</v>
      </c>
      <c r="C757" s="9">
        <v>1923</v>
      </c>
      <c r="D757" s="10">
        <v>45701</v>
      </c>
      <c r="E757" s="13" t="str">
        <f>+HYPERLINK("http://trademark.i-assist.jp/data/china/image_1923th/81800703.pdf","81800703")</f>
        <v>81800703</v>
      </c>
      <c r="F757" s="11" t="s">
        <v>2150</v>
      </c>
      <c r="G757" s="9" t="s">
        <v>2151</v>
      </c>
      <c r="H757" s="9" t="s">
        <v>2152</v>
      </c>
      <c r="I757" s="10">
        <v>45602</v>
      </c>
    </row>
    <row r="758" spans="1:9" x14ac:dyDescent="0.15">
      <c r="A758" s="9">
        <v>757</v>
      </c>
      <c r="B758" s="9" t="s">
        <v>9</v>
      </c>
      <c r="C758" s="9">
        <v>1923</v>
      </c>
      <c r="D758" s="10">
        <v>45701</v>
      </c>
      <c r="E758" s="13" t="str">
        <f>+HYPERLINK("http://trademark.i-assist.jp/data/china/image_1923th/81800978.pdf","81800978")</f>
        <v>81800978</v>
      </c>
      <c r="F758" s="11" t="s">
        <v>2153</v>
      </c>
      <c r="G758" s="11" t="s">
        <v>2154</v>
      </c>
      <c r="H758" s="9" t="s">
        <v>2155</v>
      </c>
      <c r="I758" s="10">
        <v>45602</v>
      </c>
    </row>
    <row r="759" spans="1:9" x14ac:dyDescent="0.15">
      <c r="A759" s="9">
        <v>758</v>
      </c>
      <c r="B759" s="9" t="s">
        <v>9</v>
      </c>
      <c r="C759" s="9">
        <v>1923</v>
      </c>
      <c r="D759" s="10">
        <v>45701</v>
      </c>
      <c r="E759" s="13" t="str">
        <f>+HYPERLINK("http://trademark.i-assist.jp/data/china/image_1923th/81800984.pdf","81800984")</f>
        <v>81800984</v>
      </c>
      <c r="F759" s="9" t="s">
        <v>2156</v>
      </c>
      <c r="G759" s="9" t="s">
        <v>2157</v>
      </c>
      <c r="H759" s="9" t="s">
        <v>2158</v>
      </c>
      <c r="I759" s="10">
        <v>45602</v>
      </c>
    </row>
    <row r="760" spans="1:9" x14ac:dyDescent="0.15">
      <c r="A760" s="9">
        <v>759</v>
      </c>
      <c r="B760" s="9" t="s">
        <v>9</v>
      </c>
      <c r="C760" s="9">
        <v>1923</v>
      </c>
      <c r="D760" s="10">
        <v>45701</v>
      </c>
      <c r="E760" s="13" t="str">
        <f>+HYPERLINK("http://trademark.i-assist.jp/data/china/image_1923th/81801326.pdf","81801326")</f>
        <v>81801326</v>
      </c>
      <c r="F760" s="11" t="s">
        <v>2159</v>
      </c>
      <c r="G760" s="9" t="s">
        <v>2160</v>
      </c>
      <c r="H760" s="9" t="s">
        <v>2161</v>
      </c>
      <c r="I760" s="10">
        <v>45602</v>
      </c>
    </row>
    <row r="761" spans="1:9" x14ac:dyDescent="0.15">
      <c r="A761" s="9">
        <v>760</v>
      </c>
      <c r="B761" s="9" t="s">
        <v>9</v>
      </c>
      <c r="C761" s="9">
        <v>1923</v>
      </c>
      <c r="D761" s="10">
        <v>45701</v>
      </c>
      <c r="E761" s="13" t="str">
        <f>+HYPERLINK("http://trademark.i-assist.jp/data/china/image_1923th/81802127.pdf","81802127")</f>
        <v>81802127</v>
      </c>
      <c r="F761" s="9" t="s">
        <v>2162</v>
      </c>
      <c r="G761" s="11" t="s">
        <v>2163</v>
      </c>
      <c r="H761" s="9" t="s">
        <v>2164</v>
      </c>
      <c r="I761" s="10">
        <v>45602</v>
      </c>
    </row>
    <row r="762" spans="1:9" x14ac:dyDescent="0.15">
      <c r="A762" s="9">
        <v>761</v>
      </c>
      <c r="B762" s="9" t="s">
        <v>9</v>
      </c>
      <c r="C762" s="9">
        <v>1923</v>
      </c>
      <c r="D762" s="10">
        <v>45701</v>
      </c>
      <c r="E762" s="13" t="str">
        <f>+HYPERLINK("http://trademark.i-assist.jp/data/china/image_1923th/81802183.pdf","81802183")</f>
        <v>81802183</v>
      </c>
      <c r="F762" s="9" t="s">
        <v>2165</v>
      </c>
      <c r="G762" s="9" t="s">
        <v>2083</v>
      </c>
      <c r="H762" s="9" t="s">
        <v>2166</v>
      </c>
      <c r="I762" s="10">
        <v>45602</v>
      </c>
    </row>
    <row r="763" spans="1:9" x14ac:dyDescent="0.15">
      <c r="A763" s="9">
        <v>762</v>
      </c>
      <c r="B763" s="9" t="s">
        <v>9</v>
      </c>
      <c r="C763" s="9">
        <v>1923</v>
      </c>
      <c r="D763" s="10">
        <v>45701</v>
      </c>
      <c r="E763" s="13" t="str">
        <f>+HYPERLINK("http://trademark.i-assist.jp/data/china/image_1923th/81802367.pdf","81802367")</f>
        <v>81802367</v>
      </c>
      <c r="F763" s="9" t="s">
        <v>2167</v>
      </c>
      <c r="G763" s="11" t="s">
        <v>2116</v>
      </c>
      <c r="H763" s="9" t="s">
        <v>2168</v>
      </c>
      <c r="I763" s="10">
        <v>45602</v>
      </c>
    </row>
    <row r="764" spans="1:9" x14ac:dyDescent="0.15">
      <c r="A764" s="9">
        <v>763</v>
      </c>
      <c r="B764" s="9" t="s">
        <v>9</v>
      </c>
      <c r="C764" s="9">
        <v>1923</v>
      </c>
      <c r="D764" s="10">
        <v>45701</v>
      </c>
      <c r="E764" s="13" t="str">
        <f>+HYPERLINK("http://trademark.i-assist.jp/data/china/image_1923th/81803389.pdf","81803389")</f>
        <v>81803389</v>
      </c>
      <c r="F764" s="9" t="s">
        <v>2169</v>
      </c>
      <c r="G764" s="9" t="s">
        <v>2170</v>
      </c>
      <c r="H764" s="11" t="s">
        <v>2171</v>
      </c>
      <c r="I764" s="10">
        <v>45602</v>
      </c>
    </row>
    <row r="765" spans="1:9" x14ac:dyDescent="0.15">
      <c r="A765" s="9">
        <v>764</v>
      </c>
      <c r="B765" s="9" t="s">
        <v>9</v>
      </c>
      <c r="C765" s="9">
        <v>1923</v>
      </c>
      <c r="D765" s="10">
        <v>45701</v>
      </c>
      <c r="E765" s="13" t="str">
        <f>+HYPERLINK("http://trademark.i-assist.jp/data/china/image_1923th/81803450.pdf","81803450")</f>
        <v>81803450</v>
      </c>
      <c r="F765" s="9" t="s">
        <v>2172</v>
      </c>
      <c r="G765" s="11" t="s">
        <v>2173</v>
      </c>
      <c r="H765" s="9" t="s">
        <v>2174</v>
      </c>
      <c r="I765" s="10">
        <v>45602</v>
      </c>
    </row>
    <row r="766" spans="1:9" x14ac:dyDescent="0.15">
      <c r="A766" s="9">
        <v>765</v>
      </c>
      <c r="B766" s="9" t="s">
        <v>9</v>
      </c>
      <c r="C766" s="9">
        <v>1923</v>
      </c>
      <c r="D766" s="10">
        <v>45701</v>
      </c>
      <c r="E766" s="13" t="str">
        <f>+HYPERLINK("http://trademark.i-assist.jp/data/china/image_1923th/81803583.pdf","81803583")</f>
        <v>81803583</v>
      </c>
      <c r="F766" s="9" t="s">
        <v>2175</v>
      </c>
      <c r="G766" s="9" t="s">
        <v>2176</v>
      </c>
      <c r="H766" s="9" t="s">
        <v>2177</v>
      </c>
      <c r="I766" s="10">
        <v>45602</v>
      </c>
    </row>
    <row r="767" spans="1:9" x14ac:dyDescent="0.15">
      <c r="A767" s="9">
        <v>766</v>
      </c>
      <c r="B767" s="9" t="s">
        <v>9</v>
      </c>
      <c r="C767" s="9">
        <v>1923</v>
      </c>
      <c r="D767" s="10">
        <v>45701</v>
      </c>
      <c r="E767" s="13" t="str">
        <f>+HYPERLINK("http://trademark.i-assist.jp/data/china/image_1923th/81803630.pdf","81803630")</f>
        <v>81803630</v>
      </c>
      <c r="F767" s="9" t="s">
        <v>2178</v>
      </c>
      <c r="G767" s="11" t="s">
        <v>2179</v>
      </c>
      <c r="H767" s="9" t="s">
        <v>2180</v>
      </c>
      <c r="I767" s="10">
        <v>45602</v>
      </c>
    </row>
    <row r="768" spans="1:9" x14ac:dyDescent="0.15">
      <c r="A768" s="9">
        <v>767</v>
      </c>
      <c r="B768" s="9" t="s">
        <v>9</v>
      </c>
      <c r="C768" s="9">
        <v>1923</v>
      </c>
      <c r="D768" s="10">
        <v>45701</v>
      </c>
      <c r="E768" s="13" t="str">
        <f>+HYPERLINK("http://trademark.i-assist.jp/data/china/image_1923th/81804243.pdf","81804243")</f>
        <v>81804243</v>
      </c>
      <c r="F768" s="9" t="s">
        <v>2181</v>
      </c>
      <c r="G768" s="9" t="s">
        <v>2182</v>
      </c>
      <c r="H768" s="9" t="s">
        <v>2183</v>
      </c>
      <c r="I768" s="10">
        <v>45602</v>
      </c>
    </row>
    <row r="769" spans="1:9" x14ac:dyDescent="0.15">
      <c r="A769" s="9">
        <v>768</v>
      </c>
      <c r="B769" s="9" t="s">
        <v>9</v>
      </c>
      <c r="C769" s="9">
        <v>1923</v>
      </c>
      <c r="D769" s="10">
        <v>45701</v>
      </c>
      <c r="E769" s="13" t="str">
        <f>+HYPERLINK("http://trademark.i-assist.jp/data/china/image_1923th/81804515.pdf","81804515")</f>
        <v>81804515</v>
      </c>
      <c r="F769" s="11" t="s">
        <v>126</v>
      </c>
      <c r="G769" s="9" t="s">
        <v>2184</v>
      </c>
      <c r="H769" s="11" t="s">
        <v>2185</v>
      </c>
      <c r="I769" s="10">
        <v>45602</v>
      </c>
    </row>
    <row r="770" spans="1:9" x14ac:dyDescent="0.15">
      <c r="A770" s="9">
        <v>769</v>
      </c>
      <c r="B770" s="9" t="s">
        <v>9</v>
      </c>
      <c r="C770" s="9">
        <v>1923</v>
      </c>
      <c r="D770" s="10">
        <v>45701</v>
      </c>
      <c r="E770" s="13" t="str">
        <f>+HYPERLINK("http://trademark.i-assist.jp/data/china/image_1923th/81805184.pdf","81805184")</f>
        <v>81805184</v>
      </c>
      <c r="F770" s="9" t="s">
        <v>2186</v>
      </c>
      <c r="G770" s="9" t="s">
        <v>2187</v>
      </c>
      <c r="H770" s="9" t="s">
        <v>2188</v>
      </c>
      <c r="I770" s="10">
        <v>45602</v>
      </c>
    </row>
    <row r="771" spans="1:9" x14ac:dyDescent="0.15">
      <c r="A771" s="9">
        <v>770</v>
      </c>
      <c r="B771" s="9" t="s">
        <v>9</v>
      </c>
      <c r="C771" s="9">
        <v>1923</v>
      </c>
      <c r="D771" s="10">
        <v>45701</v>
      </c>
      <c r="E771" s="13" t="str">
        <f>+HYPERLINK("http://trademark.i-assist.jp/data/china/image_1923th/81805210.pdf","81805210")</f>
        <v>81805210</v>
      </c>
      <c r="F771" s="9" t="s">
        <v>2189</v>
      </c>
      <c r="G771" s="11" t="s">
        <v>2190</v>
      </c>
      <c r="H771" s="9" t="s">
        <v>2191</v>
      </c>
      <c r="I771" s="10">
        <v>45602</v>
      </c>
    </row>
    <row r="772" spans="1:9" x14ac:dyDescent="0.15">
      <c r="A772" s="9">
        <v>771</v>
      </c>
      <c r="B772" s="9" t="s">
        <v>9</v>
      </c>
      <c r="C772" s="9">
        <v>1923</v>
      </c>
      <c r="D772" s="10">
        <v>45701</v>
      </c>
      <c r="E772" s="13" t="str">
        <f>+HYPERLINK("http://trademark.i-assist.jp/data/china/image_1923th/81805897.pdf","81805897")</f>
        <v>81805897</v>
      </c>
      <c r="F772" s="9" t="s">
        <v>2192</v>
      </c>
      <c r="G772" s="11" t="s">
        <v>2193</v>
      </c>
      <c r="H772" s="9" t="s">
        <v>2194</v>
      </c>
      <c r="I772" s="10">
        <v>45602</v>
      </c>
    </row>
    <row r="773" spans="1:9" x14ac:dyDescent="0.15">
      <c r="A773" s="9">
        <v>772</v>
      </c>
      <c r="B773" s="9" t="s">
        <v>9</v>
      </c>
      <c r="C773" s="9">
        <v>1923</v>
      </c>
      <c r="D773" s="10">
        <v>45701</v>
      </c>
      <c r="E773" s="13" t="str">
        <f>+HYPERLINK("http://trademark.i-assist.jp/data/china/image_1923th/81805907.pdf","81805907")</f>
        <v>81805907</v>
      </c>
      <c r="F773" s="11" t="s">
        <v>126</v>
      </c>
      <c r="G773" s="9" t="s">
        <v>2195</v>
      </c>
      <c r="H773" s="11" t="s">
        <v>2196</v>
      </c>
      <c r="I773" s="10">
        <v>45602</v>
      </c>
    </row>
    <row r="774" spans="1:9" x14ac:dyDescent="0.15">
      <c r="A774" s="9">
        <v>773</v>
      </c>
      <c r="B774" s="9" t="s">
        <v>9</v>
      </c>
      <c r="C774" s="9">
        <v>1923</v>
      </c>
      <c r="D774" s="10">
        <v>45701</v>
      </c>
      <c r="E774" s="13" t="str">
        <f>+HYPERLINK("http://trademark.i-assist.jp/data/china/image_1923th/81805969.pdf","81805969")</f>
        <v>81805969</v>
      </c>
      <c r="F774" s="9" t="s">
        <v>2197</v>
      </c>
      <c r="G774" s="9" t="s">
        <v>2198</v>
      </c>
      <c r="H774" s="9" t="s">
        <v>2199</v>
      </c>
      <c r="I774" s="10">
        <v>45602</v>
      </c>
    </row>
    <row r="775" spans="1:9" x14ac:dyDescent="0.15">
      <c r="A775" s="9">
        <v>774</v>
      </c>
      <c r="B775" s="9" t="s">
        <v>9</v>
      </c>
      <c r="C775" s="9">
        <v>1923</v>
      </c>
      <c r="D775" s="10">
        <v>45701</v>
      </c>
      <c r="E775" s="13" t="str">
        <f>+HYPERLINK("http://trademark.i-assist.jp/data/china/image_1923th/81806131.pdf","81806131")</f>
        <v>81806131</v>
      </c>
      <c r="F775" s="9" t="s">
        <v>2200</v>
      </c>
      <c r="G775" s="9" t="s">
        <v>2201</v>
      </c>
      <c r="H775" s="9" t="s">
        <v>2202</v>
      </c>
      <c r="I775" s="10">
        <v>45602</v>
      </c>
    </row>
    <row r="776" spans="1:9" x14ac:dyDescent="0.15">
      <c r="A776" s="9">
        <v>775</v>
      </c>
      <c r="B776" s="9" t="s">
        <v>9</v>
      </c>
      <c r="C776" s="9">
        <v>1923</v>
      </c>
      <c r="D776" s="10">
        <v>45701</v>
      </c>
      <c r="E776" s="13" t="str">
        <f>+HYPERLINK("http://trademark.i-assist.jp/data/china/image_1923th/81806585.pdf","81806585")</f>
        <v>81806585</v>
      </c>
      <c r="F776" s="9" t="s">
        <v>2203</v>
      </c>
      <c r="G776" s="9" t="s">
        <v>2204</v>
      </c>
      <c r="H776" s="9" t="s">
        <v>2205</v>
      </c>
      <c r="I776" s="10">
        <v>45602</v>
      </c>
    </row>
    <row r="777" spans="1:9" x14ac:dyDescent="0.15">
      <c r="A777" s="9">
        <v>776</v>
      </c>
      <c r="B777" s="9" t="s">
        <v>9</v>
      </c>
      <c r="C777" s="9">
        <v>1923</v>
      </c>
      <c r="D777" s="10">
        <v>45701</v>
      </c>
      <c r="E777" s="13" t="str">
        <f>+HYPERLINK("http://trademark.i-assist.jp/data/china/image_1923th/81806793.pdf","81806793")</f>
        <v>81806793</v>
      </c>
      <c r="F777" s="9" t="s">
        <v>2206</v>
      </c>
      <c r="G777" s="11" t="s">
        <v>2207</v>
      </c>
      <c r="H777" s="9" t="s">
        <v>2208</v>
      </c>
      <c r="I777" s="10">
        <v>45602</v>
      </c>
    </row>
    <row r="778" spans="1:9" x14ac:dyDescent="0.15">
      <c r="A778" s="9">
        <v>777</v>
      </c>
      <c r="B778" s="9" t="s">
        <v>9</v>
      </c>
      <c r="C778" s="9">
        <v>1923</v>
      </c>
      <c r="D778" s="10">
        <v>45701</v>
      </c>
      <c r="E778" s="13" t="str">
        <f>+HYPERLINK("http://trademark.i-assist.jp/data/china/image_1923th/81807155.pdf","81807155")</f>
        <v>81807155</v>
      </c>
      <c r="F778" s="11" t="s">
        <v>2209</v>
      </c>
      <c r="G778" s="9" t="s">
        <v>1856</v>
      </c>
      <c r="H778" s="11" t="s">
        <v>2210</v>
      </c>
      <c r="I778" s="10">
        <v>45602</v>
      </c>
    </row>
    <row r="779" spans="1:9" x14ac:dyDescent="0.15">
      <c r="A779" s="9">
        <v>778</v>
      </c>
      <c r="B779" s="9" t="s">
        <v>9</v>
      </c>
      <c r="C779" s="9">
        <v>1923</v>
      </c>
      <c r="D779" s="10">
        <v>45701</v>
      </c>
      <c r="E779" s="13" t="str">
        <f>+HYPERLINK("http://trademark.i-assist.jp/data/china/image_1923th/81807160.pdf","81807160")</f>
        <v>81807160</v>
      </c>
      <c r="F779" s="9" t="s">
        <v>2211</v>
      </c>
      <c r="G779" s="9" t="s">
        <v>2212</v>
      </c>
      <c r="H779" s="9" t="s">
        <v>2213</v>
      </c>
      <c r="I779" s="10">
        <v>45602</v>
      </c>
    </row>
    <row r="780" spans="1:9" x14ac:dyDescent="0.15">
      <c r="A780" s="9">
        <v>779</v>
      </c>
      <c r="B780" s="9" t="s">
        <v>9</v>
      </c>
      <c r="C780" s="9">
        <v>1923</v>
      </c>
      <c r="D780" s="10">
        <v>45701</v>
      </c>
      <c r="E780" s="13" t="str">
        <f>+HYPERLINK("http://trademark.i-assist.jp/data/china/image_1923th/81807405.pdf","81807405")</f>
        <v>81807405</v>
      </c>
      <c r="F780" s="11" t="s">
        <v>126</v>
      </c>
      <c r="G780" s="9" t="s">
        <v>2214</v>
      </c>
      <c r="H780" s="9" t="s">
        <v>2215</v>
      </c>
      <c r="I780" s="10">
        <v>45602</v>
      </c>
    </row>
    <row r="781" spans="1:9" x14ac:dyDescent="0.15">
      <c r="A781" s="9">
        <v>780</v>
      </c>
      <c r="B781" s="9" t="s">
        <v>9</v>
      </c>
      <c r="C781" s="9">
        <v>1923</v>
      </c>
      <c r="D781" s="10">
        <v>45701</v>
      </c>
      <c r="E781" s="13" t="str">
        <f>+HYPERLINK("http://trademark.i-assist.jp/data/china/image_1923th/81807568.pdf","81807568")</f>
        <v>81807568</v>
      </c>
      <c r="F781" s="9" t="s">
        <v>2216</v>
      </c>
      <c r="G781" s="9" t="s">
        <v>2217</v>
      </c>
      <c r="H781" s="9" t="s">
        <v>2218</v>
      </c>
      <c r="I781" s="10">
        <v>45602</v>
      </c>
    </row>
    <row r="782" spans="1:9" x14ac:dyDescent="0.15">
      <c r="A782" s="9">
        <v>781</v>
      </c>
      <c r="B782" s="9" t="s">
        <v>9</v>
      </c>
      <c r="C782" s="9">
        <v>1923</v>
      </c>
      <c r="D782" s="10">
        <v>45701</v>
      </c>
      <c r="E782" s="13" t="str">
        <f>+HYPERLINK("http://trademark.i-assist.jp/data/china/image_1923th/81807571.pdf","81807571")</f>
        <v>81807571</v>
      </c>
      <c r="F782" s="9" t="s">
        <v>2219</v>
      </c>
      <c r="G782" s="11" t="s">
        <v>2220</v>
      </c>
      <c r="H782" s="9" t="s">
        <v>2221</v>
      </c>
      <c r="I782" s="10">
        <v>45602</v>
      </c>
    </row>
    <row r="783" spans="1:9" x14ac:dyDescent="0.15">
      <c r="A783" s="9">
        <v>782</v>
      </c>
      <c r="B783" s="9" t="s">
        <v>9</v>
      </c>
      <c r="C783" s="9">
        <v>1923</v>
      </c>
      <c r="D783" s="10">
        <v>45701</v>
      </c>
      <c r="E783" s="13" t="str">
        <f>+HYPERLINK("http://trademark.i-assist.jp/data/china/image_1923th/81807631.pdf","81807631")</f>
        <v>81807631</v>
      </c>
      <c r="F783" s="9" t="s">
        <v>2222</v>
      </c>
      <c r="G783" s="9" t="s">
        <v>2223</v>
      </c>
      <c r="H783" s="9" t="s">
        <v>2224</v>
      </c>
      <c r="I783" s="10">
        <v>45602</v>
      </c>
    </row>
    <row r="784" spans="1:9" x14ac:dyDescent="0.15">
      <c r="A784" s="9">
        <v>783</v>
      </c>
      <c r="B784" s="9" t="s">
        <v>9</v>
      </c>
      <c r="C784" s="9">
        <v>1923</v>
      </c>
      <c r="D784" s="10">
        <v>45701</v>
      </c>
      <c r="E784" s="13" t="str">
        <f>+HYPERLINK("http://trademark.i-assist.jp/data/china/image_1923th/81807789.pdf","81807789")</f>
        <v>81807789</v>
      </c>
      <c r="F784" s="9" t="s">
        <v>2225</v>
      </c>
      <c r="G784" s="11" t="s">
        <v>2133</v>
      </c>
      <c r="H784" s="9" t="s">
        <v>2226</v>
      </c>
      <c r="I784" s="10">
        <v>45602</v>
      </c>
    </row>
    <row r="785" spans="1:9" x14ac:dyDescent="0.15">
      <c r="A785" s="9">
        <v>784</v>
      </c>
      <c r="B785" s="9" t="s">
        <v>9</v>
      </c>
      <c r="C785" s="9">
        <v>1923</v>
      </c>
      <c r="D785" s="10">
        <v>45701</v>
      </c>
      <c r="E785" s="13" t="str">
        <f>+HYPERLINK("http://trademark.i-assist.jp/data/china/image_1923th/81807873.pdf","81807873")</f>
        <v>81807873</v>
      </c>
      <c r="F785" s="9" t="s">
        <v>2227</v>
      </c>
      <c r="G785" s="11" t="s">
        <v>2228</v>
      </c>
      <c r="H785" s="9" t="s">
        <v>2229</v>
      </c>
      <c r="I785" s="10">
        <v>45602</v>
      </c>
    </row>
    <row r="786" spans="1:9" x14ac:dyDescent="0.15">
      <c r="A786" s="9">
        <v>785</v>
      </c>
      <c r="B786" s="9" t="s">
        <v>9</v>
      </c>
      <c r="C786" s="9">
        <v>1923</v>
      </c>
      <c r="D786" s="10">
        <v>45701</v>
      </c>
      <c r="E786" s="13" t="str">
        <f>+HYPERLINK("http://trademark.i-assist.jp/data/china/image_1923th/81808454.pdf","81808454")</f>
        <v>81808454</v>
      </c>
      <c r="F786" s="11" t="s">
        <v>126</v>
      </c>
      <c r="G786" s="9" t="s">
        <v>2230</v>
      </c>
      <c r="H786" s="9" t="s">
        <v>2231</v>
      </c>
      <c r="I786" s="10">
        <v>45602</v>
      </c>
    </row>
    <row r="787" spans="1:9" x14ac:dyDescent="0.15">
      <c r="A787" s="9">
        <v>786</v>
      </c>
      <c r="B787" s="9" t="s">
        <v>9</v>
      </c>
      <c r="C787" s="9">
        <v>1923</v>
      </c>
      <c r="D787" s="10">
        <v>45701</v>
      </c>
      <c r="E787" s="13" t="str">
        <f>+HYPERLINK("http://trademark.i-assist.jp/data/china/image_1923th/81808553.pdf","81808553")</f>
        <v>81808553</v>
      </c>
      <c r="F787" s="9" t="s">
        <v>2232</v>
      </c>
      <c r="G787" s="9" t="s">
        <v>2233</v>
      </c>
      <c r="H787" s="9" t="s">
        <v>2234</v>
      </c>
      <c r="I787" s="10">
        <v>45602</v>
      </c>
    </row>
    <row r="788" spans="1:9" x14ac:dyDescent="0.15">
      <c r="A788" s="9">
        <v>787</v>
      </c>
      <c r="B788" s="9" t="s">
        <v>9</v>
      </c>
      <c r="C788" s="9">
        <v>1923</v>
      </c>
      <c r="D788" s="10">
        <v>45701</v>
      </c>
      <c r="E788" s="13" t="str">
        <f>+HYPERLINK("http://trademark.i-assist.jp/data/china/image_1923th/81808571.pdf","81808571")</f>
        <v>81808571</v>
      </c>
      <c r="F788" s="11" t="s">
        <v>2235</v>
      </c>
      <c r="G788" s="9" t="s">
        <v>1264</v>
      </c>
      <c r="H788" s="9" t="s">
        <v>2236</v>
      </c>
      <c r="I788" s="10">
        <v>45602</v>
      </c>
    </row>
    <row r="789" spans="1:9" x14ac:dyDescent="0.15">
      <c r="A789" s="9">
        <v>788</v>
      </c>
      <c r="B789" s="9" t="s">
        <v>9</v>
      </c>
      <c r="C789" s="9">
        <v>1923</v>
      </c>
      <c r="D789" s="10">
        <v>45701</v>
      </c>
      <c r="E789" s="13" t="str">
        <f>+HYPERLINK("http://trademark.i-assist.jp/data/china/image_1923th/81809003.pdf","81809003")</f>
        <v>81809003</v>
      </c>
      <c r="F789" s="9" t="s">
        <v>2237</v>
      </c>
      <c r="G789" s="9" t="s">
        <v>2238</v>
      </c>
      <c r="H789" s="9" t="s">
        <v>2239</v>
      </c>
      <c r="I789" s="10">
        <v>45602</v>
      </c>
    </row>
    <row r="790" spans="1:9" x14ac:dyDescent="0.15">
      <c r="A790" s="9">
        <v>789</v>
      </c>
      <c r="B790" s="9" t="s">
        <v>9</v>
      </c>
      <c r="C790" s="9">
        <v>1923</v>
      </c>
      <c r="D790" s="10">
        <v>45701</v>
      </c>
      <c r="E790" s="13" t="str">
        <f>+HYPERLINK("http://trademark.i-assist.jp/data/china/image_1923th/81809025.pdf","81809025")</f>
        <v>81809025</v>
      </c>
      <c r="F790" s="9" t="s">
        <v>2240</v>
      </c>
      <c r="G790" s="9" t="s">
        <v>2241</v>
      </c>
      <c r="H790" s="9" t="s">
        <v>2242</v>
      </c>
      <c r="I790" s="10">
        <v>45602</v>
      </c>
    </row>
    <row r="791" spans="1:9" x14ac:dyDescent="0.15">
      <c r="A791" s="9">
        <v>790</v>
      </c>
      <c r="B791" s="9" t="s">
        <v>9</v>
      </c>
      <c r="C791" s="9">
        <v>1923</v>
      </c>
      <c r="D791" s="10">
        <v>45701</v>
      </c>
      <c r="E791" s="13" t="str">
        <f>+HYPERLINK("http://trademark.i-assist.jp/data/china/image_1923th/81809043.pdf","81809043")</f>
        <v>81809043</v>
      </c>
      <c r="F791" s="9" t="s">
        <v>2243</v>
      </c>
      <c r="G791" s="11" t="s">
        <v>2244</v>
      </c>
      <c r="H791" s="9" t="s">
        <v>2245</v>
      </c>
      <c r="I791" s="10">
        <v>45602</v>
      </c>
    </row>
    <row r="792" spans="1:9" x14ac:dyDescent="0.15">
      <c r="A792" s="9">
        <v>791</v>
      </c>
      <c r="B792" s="9" t="s">
        <v>9</v>
      </c>
      <c r="C792" s="9">
        <v>1923</v>
      </c>
      <c r="D792" s="10">
        <v>45701</v>
      </c>
      <c r="E792" s="13" t="str">
        <f>+HYPERLINK("http://trademark.i-assist.jp/data/china/image_1923th/81809190.pdf","81809190")</f>
        <v>81809190</v>
      </c>
      <c r="F792" s="11" t="s">
        <v>126</v>
      </c>
      <c r="G792" s="9" t="s">
        <v>2246</v>
      </c>
      <c r="H792" s="9" t="s">
        <v>2247</v>
      </c>
      <c r="I792" s="10">
        <v>45602</v>
      </c>
    </row>
    <row r="793" spans="1:9" x14ac:dyDescent="0.15">
      <c r="A793" s="9">
        <v>792</v>
      </c>
      <c r="B793" s="9" t="s">
        <v>9</v>
      </c>
      <c r="C793" s="9">
        <v>1923</v>
      </c>
      <c r="D793" s="10">
        <v>45701</v>
      </c>
      <c r="E793" s="13" t="str">
        <f>+HYPERLINK("http://trademark.i-assist.jp/data/china/image_1923th/81809875.pdf","81809875")</f>
        <v>81809875</v>
      </c>
      <c r="F793" s="9" t="s">
        <v>2248</v>
      </c>
      <c r="G793" s="11" t="s">
        <v>2249</v>
      </c>
      <c r="H793" s="9" t="s">
        <v>2250</v>
      </c>
      <c r="I793" s="10">
        <v>45602</v>
      </c>
    </row>
    <row r="794" spans="1:9" x14ac:dyDescent="0.15">
      <c r="A794" s="9">
        <v>793</v>
      </c>
      <c r="B794" s="9" t="s">
        <v>9</v>
      </c>
      <c r="C794" s="9">
        <v>1923</v>
      </c>
      <c r="D794" s="10">
        <v>45701</v>
      </c>
      <c r="E794" s="13" t="str">
        <f>+HYPERLINK("http://trademark.i-assist.jp/data/china/image_1923th/81810111.pdf","81810111")</f>
        <v>81810111</v>
      </c>
      <c r="F794" s="11" t="s">
        <v>2251</v>
      </c>
      <c r="G794" s="9" t="s">
        <v>2252</v>
      </c>
      <c r="H794" s="11" t="s">
        <v>2253</v>
      </c>
      <c r="I794" s="10">
        <v>45602</v>
      </c>
    </row>
    <row r="795" spans="1:9" x14ac:dyDescent="0.15">
      <c r="A795" s="9">
        <v>794</v>
      </c>
      <c r="B795" s="9" t="s">
        <v>9</v>
      </c>
      <c r="C795" s="9">
        <v>1923</v>
      </c>
      <c r="D795" s="10">
        <v>45701</v>
      </c>
      <c r="E795" s="13" t="str">
        <f>+HYPERLINK("http://trademark.i-assist.jp/data/china/image_1923th/81810845.pdf","81810845")</f>
        <v>81810845</v>
      </c>
      <c r="F795" s="9" t="s">
        <v>2254</v>
      </c>
      <c r="G795" s="9" t="s">
        <v>2255</v>
      </c>
      <c r="H795" s="9" t="s">
        <v>2256</v>
      </c>
      <c r="I795" s="10">
        <v>45602</v>
      </c>
    </row>
    <row r="796" spans="1:9" x14ac:dyDescent="0.15">
      <c r="A796" s="9">
        <v>795</v>
      </c>
      <c r="B796" s="9" t="s">
        <v>9</v>
      </c>
      <c r="C796" s="9">
        <v>1923</v>
      </c>
      <c r="D796" s="10">
        <v>45701</v>
      </c>
      <c r="E796" s="13" t="str">
        <f>+HYPERLINK("http://trademark.i-assist.jp/data/china/image_1923th/81811237.pdf","81811237")</f>
        <v>81811237</v>
      </c>
      <c r="F796" s="9" t="s">
        <v>2257</v>
      </c>
      <c r="G796" s="9" t="s">
        <v>2258</v>
      </c>
      <c r="H796" s="9" t="s">
        <v>2259</v>
      </c>
      <c r="I796" s="10">
        <v>45602</v>
      </c>
    </row>
    <row r="797" spans="1:9" x14ac:dyDescent="0.15">
      <c r="A797" s="9">
        <v>796</v>
      </c>
      <c r="B797" s="9" t="s">
        <v>9</v>
      </c>
      <c r="C797" s="9">
        <v>1923</v>
      </c>
      <c r="D797" s="10">
        <v>45701</v>
      </c>
      <c r="E797" s="13" t="str">
        <f>+HYPERLINK("http://trademark.i-assist.jp/data/china/image_1923th/81811439.pdf","81811439")</f>
        <v>81811439</v>
      </c>
      <c r="F797" s="9" t="s">
        <v>2260</v>
      </c>
      <c r="G797" s="11" t="s">
        <v>2261</v>
      </c>
      <c r="H797" s="11" t="s">
        <v>2262</v>
      </c>
      <c r="I797" s="10">
        <v>45602</v>
      </c>
    </row>
    <row r="798" spans="1:9" x14ac:dyDescent="0.15">
      <c r="A798" s="9">
        <v>797</v>
      </c>
      <c r="B798" s="9" t="s">
        <v>9</v>
      </c>
      <c r="C798" s="9">
        <v>1923</v>
      </c>
      <c r="D798" s="10">
        <v>45701</v>
      </c>
      <c r="E798" s="13" t="str">
        <f>+HYPERLINK("http://trademark.i-assist.jp/data/china/image_1923th/81811763.pdf","81811763")</f>
        <v>81811763</v>
      </c>
      <c r="F798" s="9" t="s">
        <v>2263</v>
      </c>
      <c r="G798" s="9" t="s">
        <v>2264</v>
      </c>
      <c r="H798" s="9" t="s">
        <v>2265</v>
      </c>
      <c r="I798" s="10">
        <v>45602</v>
      </c>
    </row>
    <row r="799" spans="1:9" x14ac:dyDescent="0.15">
      <c r="A799" s="9">
        <v>798</v>
      </c>
      <c r="B799" s="9" t="s">
        <v>9</v>
      </c>
      <c r="C799" s="9">
        <v>1923</v>
      </c>
      <c r="D799" s="10">
        <v>45701</v>
      </c>
      <c r="E799" s="13" t="str">
        <f>+HYPERLINK("http://trademark.i-assist.jp/data/china/image_1923th/81812086.pdf","81812086")</f>
        <v>81812086</v>
      </c>
      <c r="F799" s="9" t="s">
        <v>2266</v>
      </c>
      <c r="G799" s="11" t="s">
        <v>2267</v>
      </c>
      <c r="H799" s="11" t="s">
        <v>2268</v>
      </c>
      <c r="I799" s="10">
        <v>45602</v>
      </c>
    </row>
    <row r="800" spans="1:9" x14ac:dyDescent="0.15">
      <c r="A800" s="9">
        <v>799</v>
      </c>
      <c r="B800" s="9" t="s">
        <v>9</v>
      </c>
      <c r="C800" s="9">
        <v>1923</v>
      </c>
      <c r="D800" s="10">
        <v>45701</v>
      </c>
      <c r="E800" s="13" t="str">
        <f>+HYPERLINK("http://trademark.i-assist.jp/data/china/image_1923th/81812159.pdf","81812159")</f>
        <v>81812159</v>
      </c>
      <c r="F800" s="9" t="s">
        <v>2269</v>
      </c>
      <c r="G800" s="11" t="s">
        <v>2133</v>
      </c>
      <c r="H800" s="9" t="s">
        <v>2270</v>
      </c>
      <c r="I800" s="10">
        <v>45602</v>
      </c>
    </row>
    <row r="801" spans="1:9" x14ac:dyDescent="0.15">
      <c r="A801" s="9">
        <v>800</v>
      </c>
      <c r="B801" s="9" t="s">
        <v>9</v>
      </c>
      <c r="C801" s="9">
        <v>1923</v>
      </c>
      <c r="D801" s="10">
        <v>45701</v>
      </c>
      <c r="E801" s="13" t="str">
        <f>+HYPERLINK("http://trademark.i-assist.jp/data/china/image_1923th/81812428.pdf","81812428")</f>
        <v>81812428</v>
      </c>
      <c r="F801" s="9" t="s">
        <v>2271</v>
      </c>
      <c r="G801" s="9" t="s">
        <v>2272</v>
      </c>
      <c r="H801" s="9" t="s">
        <v>2273</v>
      </c>
      <c r="I801" s="10">
        <v>45602</v>
      </c>
    </row>
    <row r="802" spans="1:9" x14ac:dyDescent="0.15">
      <c r="A802" s="9">
        <v>801</v>
      </c>
      <c r="B802" s="9" t="s">
        <v>9</v>
      </c>
      <c r="C802" s="9">
        <v>1923</v>
      </c>
      <c r="D802" s="10">
        <v>45701</v>
      </c>
      <c r="E802" s="13" t="str">
        <f>+HYPERLINK("http://trademark.i-assist.jp/data/china/image_1923th/81812649.pdf","81812649")</f>
        <v>81812649</v>
      </c>
      <c r="F802" s="9" t="s">
        <v>2274</v>
      </c>
      <c r="G802" s="9" t="s">
        <v>2139</v>
      </c>
      <c r="H802" s="9" t="s">
        <v>2275</v>
      </c>
      <c r="I802" s="10">
        <v>45602</v>
      </c>
    </row>
    <row r="803" spans="1:9" x14ac:dyDescent="0.15">
      <c r="A803" s="9">
        <v>802</v>
      </c>
      <c r="B803" s="9" t="s">
        <v>9</v>
      </c>
      <c r="C803" s="9">
        <v>1923</v>
      </c>
      <c r="D803" s="10">
        <v>45701</v>
      </c>
      <c r="E803" s="13" t="str">
        <f>+HYPERLINK("http://trademark.i-assist.jp/data/china/image_1923th/81812751.pdf","81812751")</f>
        <v>81812751</v>
      </c>
      <c r="F803" s="9" t="s">
        <v>2276</v>
      </c>
      <c r="G803" s="9" t="s">
        <v>2277</v>
      </c>
      <c r="H803" s="9" t="s">
        <v>2278</v>
      </c>
      <c r="I803" s="10">
        <v>45602</v>
      </c>
    </row>
    <row r="804" spans="1:9" x14ac:dyDescent="0.15">
      <c r="A804" s="9">
        <v>803</v>
      </c>
      <c r="B804" s="9" t="s">
        <v>9</v>
      </c>
      <c r="C804" s="9">
        <v>1923</v>
      </c>
      <c r="D804" s="10">
        <v>45701</v>
      </c>
      <c r="E804" s="13" t="str">
        <f>+HYPERLINK("http://trademark.i-assist.jp/data/china/image_1923th/81812858.pdf","81812858")</f>
        <v>81812858</v>
      </c>
      <c r="F804" s="9" t="s">
        <v>2279</v>
      </c>
      <c r="G804" s="11" t="s">
        <v>2280</v>
      </c>
      <c r="H804" s="9" t="s">
        <v>2281</v>
      </c>
      <c r="I804" s="10">
        <v>45602</v>
      </c>
    </row>
    <row r="805" spans="1:9" x14ac:dyDescent="0.15">
      <c r="A805" s="9">
        <v>804</v>
      </c>
      <c r="B805" s="9" t="s">
        <v>9</v>
      </c>
      <c r="C805" s="9">
        <v>1923</v>
      </c>
      <c r="D805" s="10">
        <v>45701</v>
      </c>
      <c r="E805" s="13" t="str">
        <f>+HYPERLINK("http://trademark.i-assist.jp/data/china/image_1923th/81813081.pdf","81813081")</f>
        <v>81813081</v>
      </c>
      <c r="F805" s="9" t="s">
        <v>2282</v>
      </c>
      <c r="G805" s="9" t="s">
        <v>2283</v>
      </c>
      <c r="H805" s="9" t="s">
        <v>2284</v>
      </c>
      <c r="I805" s="10">
        <v>45602</v>
      </c>
    </row>
    <row r="806" spans="1:9" x14ac:dyDescent="0.15">
      <c r="A806" s="9">
        <v>805</v>
      </c>
      <c r="B806" s="9" t="s">
        <v>9</v>
      </c>
      <c r="C806" s="9">
        <v>1923</v>
      </c>
      <c r="D806" s="10">
        <v>45701</v>
      </c>
      <c r="E806" s="13" t="str">
        <f>+HYPERLINK("http://trademark.i-assist.jp/data/china/image_1923th/81813289.pdf","81813289")</f>
        <v>81813289</v>
      </c>
      <c r="F806" s="11" t="s">
        <v>2285</v>
      </c>
      <c r="G806" s="9" t="s">
        <v>2286</v>
      </c>
      <c r="H806" s="9" t="s">
        <v>2287</v>
      </c>
      <c r="I806" s="10">
        <v>45602</v>
      </c>
    </row>
    <row r="807" spans="1:9" x14ac:dyDescent="0.15">
      <c r="A807" s="9">
        <v>806</v>
      </c>
      <c r="B807" s="9" t="s">
        <v>9</v>
      </c>
      <c r="C807" s="9">
        <v>1923</v>
      </c>
      <c r="D807" s="10">
        <v>45701</v>
      </c>
      <c r="E807" s="13" t="str">
        <f>+HYPERLINK("http://trademark.i-assist.jp/data/china/image_1923th/81814046.pdf","81814046")</f>
        <v>81814046</v>
      </c>
      <c r="F807" s="9" t="s">
        <v>2288</v>
      </c>
      <c r="G807" s="11" t="s">
        <v>2130</v>
      </c>
      <c r="H807" s="9" t="s">
        <v>2289</v>
      </c>
      <c r="I807" s="10">
        <v>45602</v>
      </c>
    </row>
    <row r="808" spans="1:9" x14ac:dyDescent="0.15">
      <c r="A808" s="9">
        <v>807</v>
      </c>
      <c r="B808" s="9" t="s">
        <v>9</v>
      </c>
      <c r="C808" s="9">
        <v>1923</v>
      </c>
      <c r="D808" s="10">
        <v>45701</v>
      </c>
      <c r="E808" s="13" t="str">
        <f>+HYPERLINK("http://trademark.i-assist.jp/data/china/image_1923th/81814507.pdf","81814507")</f>
        <v>81814507</v>
      </c>
      <c r="F808" s="11" t="s">
        <v>2290</v>
      </c>
      <c r="G808" s="11" t="s">
        <v>2291</v>
      </c>
      <c r="H808" s="11" t="s">
        <v>2292</v>
      </c>
      <c r="I808" s="10">
        <v>45602</v>
      </c>
    </row>
    <row r="809" spans="1:9" x14ac:dyDescent="0.15">
      <c r="A809" s="9">
        <v>808</v>
      </c>
      <c r="B809" s="9" t="s">
        <v>9</v>
      </c>
      <c r="C809" s="9">
        <v>1923</v>
      </c>
      <c r="D809" s="10">
        <v>45701</v>
      </c>
      <c r="E809" s="13" t="str">
        <f>+HYPERLINK("http://trademark.i-assist.jp/data/china/image_1923th/81814887.pdf","81814887")</f>
        <v>81814887</v>
      </c>
      <c r="F809" s="9" t="s">
        <v>2293</v>
      </c>
      <c r="G809" s="9" t="s">
        <v>1782</v>
      </c>
      <c r="H809" s="9" t="s">
        <v>2294</v>
      </c>
      <c r="I809" s="10">
        <v>45602</v>
      </c>
    </row>
    <row r="810" spans="1:9" x14ac:dyDescent="0.15">
      <c r="A810" s="9">
        <v>809</v>
      </c>
      <c r="B810" s="9" t="s">
        <v>9</v>
      </c>
      <c r="C810" s="9">
        <v>1923</v>
      </c>
      <c r="D810" s="10">
        <v>45701</v>
      </c>
      <c r="E810" s="13" t="str">
        <f>+HYPERLINK("http://trademark.i-assist.jp/data/china/image_1923th/81815026.pdf","81815026")</f>
        <v>81815026</v>
      </c>
      <c r="F810" s="9" t="s">
        <v>2295</v>
      </c>
      <c r="G810" s="9" t="s">
        <v>2296</v>
      </c>
      <c r="H810" s="9" t="s">
        <v>2297</v>
      </c>
      <c r="I810" s="10">
        <v>45602</v>
      </c>
    </row>
    <row r="811" spans="1:9" x14ac:dyDescent="0.15">
      <c r="A811" s="9">
        <v>810</v>
      </c>
      <c r="B811" s="9" t="s">
        <v>9</v>
      </c>
      <c r="C811" s="9">
        <v>1923</v>
      </c>
      <c r="D811" s="10">
        <v>45701</v>
      </c>
      <c r="E811" s="13" t="str">
        <f>+HYPERLINK("http://trademark.i-assist.jp/data/china/image_1923th/81815347.pdf","81815347")</f>
        <v>81815347</v>
      </c>
      <c r="F811" s="9" t="s">
        <v>2298</v>
      </c>
      <c r="G811" s="9" t="s">
        <v>2299</v>
      </c>
      <c r="H811" s="9" t="s">
        <v>2300</v>
      </c>
      <c r="I811" s="10">
        <v>45602</v>
      </c>
    </row>
    <row r="812" spans="1:9" x14ac:dyDescent="0.15">
      <c r="A812" s="9">
        <v>811</v>
      </c>
      <c r="B812" s="9" t="s">
        <v>9</v>
      </c>
      <c r="C812" s="9">
        <v>1923</v>
      </c>
      <c r="D812" s="10">
        <v>45701</v>
      </c>
      <c r="E812" s="13" t="str">
        <f>+HYPERLINK("http://trademark.i-assist.jp/data/china/image_1923th/81815534.pdf","81815534")</f>
        <v>81815534</v>
      </c>
      <c r="F812" s="9" t="s">
        <v>2301</v>
      </c>
      <c r="G812" s="9" t="s">
        <v>2302</v>
      </c>
      <c r="H812" s="9" t="s">
        <v>2303</v>
      </c>
      <c r="I812" s="10">
        <v>45602</v>
      </c>
    </row>
    <row r="813" spans="1:9" x14ac:dyDescent="0.15">
      <c r="A813" s="9">
        <v>812</v>
      </c>
      <c r="B813" s="9" t="s">
        <v>9</v>
      </c>
      <c r="C813" s="9">
        <v>1923</v>
      </c>
      <c r="D813" s="10">
        <v>45701</v>
      </c>
      <c r="E813" s="13" t="str">
        <f>+HYPERLINK("http://trademark.i-assist.jp/data/china/image_1923th/81815719.pdf","81815719")</f>
        <v>81815719</v>
      </c>
      <c r="F813" s="9" t="s">
        <v>2304</v>
      </c>
      <c r="G813" s="11" t="s">
        <v>2190</v>
      </c>
      <c r="H813" s="9" t="s">
        <v>2305</v>
      </c>
      <c r="I813" s="10">
        <v>45602</v>
      </c>
    </row>
    <row r="814" spans="1:9" x14ac:dyDescent="0.15">
      <c r="A814" s="9">
        <v>813</v>
      </c>
      <c r="B814" s="9" t="s">
        <v>9</v>
      </c>
      <c r="C814" s="9">
        <v>1923</v>
      </c>
      <c r="D814" s="10">
        <v>45701</v>
      </c>
      <c r="E814" s="13" t="str">
        <f>+HYPERLINK("http://trademark.i-assist.jp/data/china/image_1923th/81815925.pdf","81815925")</f>
        <v>81815925</v>
      </c>
      <c r="F814" s="11" t="s">
        <v>2306</v>
      </c>
      <c r="G814" s="11" t="s">
        <v>2306</v>
      </c>
      <c r="H814" s="9" t="s">
        <v>2307</v>
      </c>
      <c r="I814" s="10">
        <v>45602</v>
      </c>
    </row>
    <row r="815" spans="1:9" x14ac:dyDescent="0.15">
      <c r="A815" s="9">
        <v>814</v>
      </c>
      <c r="B815" s="9" t="s">
        <v>9</v>
      </c>
      <c r="C815" s="9">
        <v>1923</v>
      </c>
      <c r="D815" s="10">
        <v>45701</v>
      </c>
      <c r="E815" s="13" t="str">
        <f>+HYPERLINK("http://trademark.i-assist.jp/data/china/image_1923th/81816084.pdf","81816084")</f>
        <v>81816084</v>
      </c>
      <c r="F815" s="9" t="s">
        <v>2308</v>
      </c>
      <c r="G815" s="11" t="s">
        <v>2133</v>
      </c>
      <c r="H815" s="9" t="s">
        <v>2309</v>
      </c>
      <c r="I815" s="10">
        <v>45602</v>
      </c>
    </row>
    <row r="816" spans="1:9" x14ac:dyDescent="0.15">
      <c r="A816" s="9">
        <v>815</v>
      </c>
      <c r="B816" s="9" t="s">
        <v>9</v>
      </c>
      <c r="C816" s="9">
        <v>1923</v>
      </c>
      <c r="D816" s="10">
        <v>45701</v>
      </c>
      <c r="E816" s="13" t="str">
        <f>+HYPERLINK("http://trademark.i-assist.jp/data/china/image_1923th/81816085.pdf","81816085")</f>
        <v>81816085</v>
      </c>
      <c r="F816" s="11" t="s">
        <v>2310</v>
      </c>
      <c r="G816" s="9" t="s">
        <v>2311</v>
      </c>
      <c r="H816" s="9" t="s">
        <v>2312</v>
      </c>
      <c r="I816" s="10">
        <v>45602</v>
      </c>
    </row>
    <row r="817" spans="1:9" x14ac:dyDescent="0.15">
      <c r="A817" s="9">
        <v>816</v>
      </c>
      <c r="B817" s="9" t="s">
        <v>9</v>
      </c>
      <c r="C817" s="9">
        <v>1923</v>
      </c>
      <c r="D817" s="10">
        <v>45701</v>
      </c>
      <c r="E817" s="13" t="str">
        <f>+HYPERLINK("http://trademark.i-assist.jp/data/china/image_1923th/81816581.pdf","81816581")</f>
        <v>81816581</v>
      </c>
      <c r="F817" s="9" t="s">
        <v>2313</v>
      </c>
      <c r="G817" s="11" t="s">
        <v>50</v>
      </c>
      <c r="H817" s="9" t="s">
        <v>2314</v>
      </c>
      <c r="I817" s="10">
        <v>45602</v>
      </c>
    </row>
    <row r="818" spans="1:9" x14ac:dyDescent="0.15">
      <c r="A818" s="9">
        <v>817</v>
      </c>
      <c r="B818" s="9" t="s">
        <v>9</v>
      </c>
      <c r="C818" s="9">
        <v>1923</v>
      </c>
      <c r="D818" s="10">
        <v>45701</v>
      </c>
      <c r="E818" s="13" t="str">
        <f>+HYPERLINK("http://trademark.i-assist.jp/data/china/image_1923th/81816587.pdf","81816587")</f>
        <v>81816587</v>
      </c>
      <c r="F818" s="9" t="s">
        <v>2315</v>
      </c>
      <c r="G818" s="9" t="s">
        <v>2272</v>
      </c>
      <c r="H818" s="9" t="s">
        <v>2316</v>
      </c>
      <c r="I818" s="10">
        <v>45602</v>
      </c>
    </row>
    <row r="819" spans="1:9" x14ac:dyDescent="0.15">
      <c r="A819" s="9">
        <v>818</v>
      </c>
      <c r="B819" s="9" t="s">
        <v>9</v>
      </c>
      <c r="C819" s="9">
        <v>1923</v>
      </c>
      <c r="D819" s="10">
        <v>45701</v>
      </c>
      <c r="E819" s="13" t="str">
        <f>+HYPERLINK("http://trademark.i-assist.jp/data/china/image_1923th/81816634.pdf","81816634")</f>
        <v>81816634</v>
      </c>
      <c r="F819" s="9" t="s">
        <v>2317</v>
      </c>
      <c r="G819" s="9" t="s">
        <v>2318</v>
      </c>
      <c r="H819" s="9" t="s">
        <v>2319</v>
      </c>
      <c r="I819" s="10">
        <v>45602</v>
      </c>
    </row>
    <row r="820" spans="1:9" x14ac:dyDescent="0.15">
      <c r="A820" s="9">
        <v>819</v>
      </c>
      <c r="B820" s="9" t="s">
        <v>9</v>
      </c>
      <c r="C820" s="9">
        <v>1923</v>
      </c>
      <c r="D820" s="10">
        <v>45701</v>
      </c>
      <c r="E820" s="13" t="str">
        <f>+HYPERLINK("http://trademark.i-assist.jp/data/china/image_1923th/81816805.pdf","81816805")</f>
        <v>81816805</v>
      </c>
      <c r="F820" s="11" t="s">
        <v>2320</v>
      </c>
      <c r="G820" s="11" t="s">
        <v>2321</v>
      </c>
      <c r="H820" s="9" t="s">
        <v>2322</v>
      </c>
      <c r="I820" s="10">
        <v>45602</v>
      </c>
    </row>
    <row r="821" spans="1:9" x14ac:dyDescent="0.15">
      <c r="A821" s="9">
        <v>820</v>
      </c>
      <c r="B821" s="9" t="s">
        <v>9</v>
      </c>
      <c r="C821" s="9">
        <v>1923</v>
      </c>
      <c r="D821" s="10">
        <v>45701</v>
      </c>
      <c r="E821" s="13" t="str">
        <f>+HYPERLINK("http://trademark.i-assist.jp/data/china/image_1923th/81816949.pdf","81816949")</f>
        <v>81816949</v>
      </c>
      <c r="F821" s="12" t="s">
        <v>2323</v>
      </c>
      <c r="G821" s="11" t="s">
        <v>820</v>
      </c>
      <c r="H821" s="9" t="s">
        <v>2324</v>
      </c>
      <c r="I821" s="10">
        <v>45603</v>
      </c>
    </row>
    <row r="822" spans="1:9" x14ac:dyDescent="0.15">
      <c r="A822" s="9">
        <v>821</v>
      </c>
      <c r="B822" s="9" t="s">
        <v>9</v>
      </c>
      <c r="C822" s="9">
        <v>1923</v>
      </c>
      <c r="D822" s="10">
        <v>45701</v>
      </c>
      <c r="E822" s="13" t="str">
        <f>+HYPERLINK("http://trademark.i-assist.jp/data/china/image_1923th/81817200.pdf","81817200")</f>
        <v>81817200</v>
      </c>
      <c r="F822" s="9" t="s">
        <v>2325</v>
      </c>
      <c r="G822" s="9" t="s">
        <v>2326</v>
      </c>
      <c r="H822" s="9" t="s">
        <v>2327</v>
      </c>
      <c r="I822" s="10">
        <v>45603</v>
      </c>
    </row>
    <row r="823" spans="1:9" x14ac:dyDescent="0.15">
      <c r="A823" s="9">
        <v>822</v>
      </c>
      <c r="B823" s="9" t="s">
        <v>9</v>
      </c>
      <c r="C823" s="9">
        <v>1923</v>
      </c>
      <c r="D823" s="10">
        <v>45701</v>
      </c>
      <c r="E823" s="13" t="str">
        <f>+HYPERLINK("http://trademark.i-assist.jp/data/china/image_1923th/81817342.pdf","81817342")</f>
        <v>81817342</v>
      </c>
      <c r="F823" s="9" t="s">
        <v>2328</v>
      </c>
      <c r="G823" s="9" t="s">
        <v>2329</v>
      </c>
      <c r="H823" s="9" t="s">
        <v>2330</v>
      </c>
      <c r="I823" s="10">
        <v>45603</v>
      </c>
    </row>
    <row r="824" spans="1:9" x14ac:dyDescent="0.15">
      <c r="A824" s="9">
        <v>823</v>
      </c>
      <c r="B824" s="9" t="s">
        <v>9</v>
      </c>
      <c r="C824" s="9">
        <v>1923</v>
      </c>
      <c r="D824" s="10">
        <v>45701</v>
      </c>
      <c r="E824" s="13" t="str">
        <f>+HYPERLINK("http://trademark.i-assist.jp/data/china/image_1923th/81817385.pdf","81817385")</f>
        <v>81817385</v>
      </c>
      <c r="F824" s="9" t="s">
        <v>2331</v>
      </c>
      <c r="G824" s="9" t="s">
        <v>47</v>
      </c>
      <c r="H824" s="9" t="s">
        <v>2332</v>
      </c>
      <c r="I824" s="10">
        <v>45603</v>
      </c>
    </row>
    <row r="825" spans="1:9" x14ac:dyDescent="0.15">
      <c r="A825" s="9">
        <v>824</v>
      </c>
      <c r="B825" s="9" t="s">
        <v>9</v>
      </c>
      <c r="C825" s="9">
        <v>1923</v>
      </c>
      <c r="D825" s="10">
        <v>45701</v>
      </c>
      <c r="E825" s="13" t="str">
        <f>+HYPERLINK("http://trademark.i-assist.jp/data/china/image_1923th/81817606.pdf","81817606")</f>
        <v>81817606</v>
      </c>
      <c r="F825" s="11" t="s">
        <v>2333</v>
      </c>
      <c r="G825" s="9" t="s">
        <v>34</v>
      </c>
      <c r="H825" s="9" t="s">
        <v>2334</v>
      </c>
      <c r="I825" s="10">
        <v>45603</v>
      </c>
    </row>
    <row r="826" spans="1:9" x14ac:dyDescent="0.15">
      <c r="A826" s="9">
        <v>825</v>
      </c>
      <c r="B826" s="9" t="s">
        <v>9</v>
      </c>
      <c r="C826" s="9">
        <v>1923</v>
      </c>
      <c r="D826" s="10">
        <v>45701</v>
      </c>
      <c r="E826" s="13" t="str">
        <f>+HYPERLINK("http://trademark.i-assist.jp/data/china/image_1923th/81817662.pdf","81817662")</f>
        <v>81817662</v>
      </c>
      <c r="F826" s="9" t="s">
        <v>2335</v>
      </c>
      <c r="G826" s="9" t="s">
        <v>2336</v>
      </c>
      <c r="H826" s="9" t="s">
        <v>2337</v>
      </c>
      <c r="I826" s="10">
        <v>45603</v>
      </c>
    </row>
    <row r="827" spans="1:9" x14ac:dyDescent="0.15">
      <c r="A827" s="9">
        <v>826</v>
      </c>
      <c r="B827" s="9" t="s">
        <v>9</v>
      </c>
      <c r="C827" s="9">
        <v>1923</v>
      </c>
      <c r="D827" s="10">
        <v>45701</v>
      </c>
      <c r="E827" s="13" t="str">
        <f>+HYPERLINK("http://trademark.i-assist.jp/data/china/image_1923th/81817958.pdf","81817958")</f>
        <v>81817958</v>
      </c>
      <c r="F827" s="11" t="s">
        <v>2338</v>
      </c>
      <c r="G827" s="9" t="s">
        <v>2339</v>
      </c>
      <c r="H827" s="9" t="s">
        <v>2340</v>
      </c>
      <c r="I827" s="10">
        <v>45603</v>
      </c>
    </row>
    <row r="828" spans="1:9" x14ac:dyDescent="0.15">
      <c r="A828" s="9">
        <v>827</v>
      </c>
      <c r="B828" s="9" t="s">
        <v>9</v>
      </c>
      <c r="C828" s="9">
        <v>1923</v>
      </c>
      <c r="D828" s="10">
        <v>45701</v>
      </c>
      <c r="E828" s="13" t="str">
        <f>+HYPERLINK("http://trademark.i-assist.jp/data/china/image_1923th/81818667.pdf","81818667")</f>
        <v>81818667</v>
      </c>
      <c r="F828" s="11" t="s">
        <v>126</v>
      </c>
      <c r="G828" s="9" t="s">
        <v>2341</v>
      </c>
      <c r="H828" s="11" t="s">
        <v>2342</v>
      </c>
      <c r="I828" s="10">
        <v>45603</v>
      </c>
    </row>
    <row r="829" spans="1:9" x14ac:dyDescent="0.15">
      <c r="A829" s="9">
        <v>828</v>
      </c>
      <c r="B829" s="9" t="s">
        <v>9</v>
      </c>
      <c r="C829" s="9">
        <v>1923</v>
      </c>
      <c r="D829" s="10">
        <v>45701</v>
      </c>
      <c r="E829" s="13" t="str">
        <f>+HYPERLINK("http://trademark.i-assist.jp/data/china/image_1923th/81818914.pdf","81818914")</f>
        <v>81818914</v>
      </c>
      <c r="F829" s="9" t="s">
        <v>2343</v>
      </c>
      <c r="G829" s="9" t="s">
        <v>2344</v>
      </c>
      <c r="H829" s="9" t="s">
        <v>2345</v>
      </c>
      <c r="I829" s="10">
        <v>45603</v>
      </c>
    </row>
    <row r="830" spans="1:9" x14ac:dyDescent="0.15">
      <c r="A830" s="9">
        <v>829</v>
      </c>
      <c r="B830" s="9" t="s">
        <v>9</v>
      </c>
      <c r="C830" s="9">
        <v>1923</v>
      </c>
      <c r="D830" s="10">
        <v>45701</v>
      </c>
      <c r="E830" s="13" t="str">
        <f>+HYPERLINK("http://trademark.i-assist.jp/data/china/image_1923th/81819003.pdf","81819003")</f>
        <v>81819003</v>
      </c>
      <c r="F830" s="9" t="s">
        <v>2346</v>
      </c>
      <c r="G830" s="9" t="s">
        <v>2347</v>
      </c>
      <c r="H830" s="11" t="s">
        <v>2348</v>
      </c>
      <c r="I830" s="10">
        <v>45603</v>
      </c>
    </row>
    <row r="831" spans="1:9" x14ac:dyDescent="0.15">
      <c r="A831" s="9">
        <v>830</v>
      </c>
      <c r="B831" s="9" t="s">
        <v>9</v>
      </c>
      <c r="C831" s="9">
        <v>1923</v>
      </c>
      <c r="D831" s="10">
        <v>45701</v>
      </c>
      <c r="E831" s="13" t="str">
        <f>+HYPERLINK("http://trademark.i-assist.jp/data/china/image_1923th/81819073.pdf","81819073")</f>
        <v>81819073</v>
      </c>
      <c r="F831" s="9" t="s">
        <v>2349</v>
      </c>
      <c r="G831" s="9" t="s">
        <v>2350</v>
      </c>
      <c r="H831" s="9" t="s">
        <v>2351</v>
      </c>
      <c r="I831" s="10">
        <v>45603</v>
      </c>
    </row>
    <row r="832" spans="1:9" x14ac:dyDescent="0.15">
      <c r="A832" s="9">
        <v>831</v>
      </c>
      <c r="B832" s="9" t="s">
        <v>9</v>
      </c>
      <c r="C832" s="9">
        <v>1923</v>
      </c>
      <c r="D832" s="10">
        <v>45701</v>
      </c>
      <c r="E832" s="13" t="str">
        <f>+HYPERLINK("http://trademark.i-assist.jp/data/china/image_1923th/81819203.pdf","81819203")</f>
        <v>81819203</v>
      </c>
      <c r="F832" s="9" t="s">
        <v>2352</v>
      </c>
      <c r="G832" s="9" t="s">
        <v>2353</v>
      </c>
      <c r="H832" s="9" t="s">
        <v>2354</v>
      </c>
      <c r="I832" s="10">
        <v>45603</v>
      </c>
    </row>
    <row r="833" spans="1:9" x14ac:dyDescent="0.15">
      <c r="A833" s="9">
        <v>832</v>
      </c>
      <c r="B833" s="9" t="s">
        <v>9</v>
      </c>
      <c r="C833" s="9">
        <v>1923</v>
      </c>
      <c r="D833" s="10">
        <v>45701</v>
      </c>
      <c r="E833" s="13" t="str">
        <f>+HYPERLINK("http://trademark.i-assist.jp/data/china/image_1923th/81819289.pdf","81819289")</f>
        <v>81819289</v>
      </c>
      <c r="F833" s="9" t="s">
        <v>2355</v>
      </c>
      <c r="G833" s="9" t="s">
        <v>2356</v>
      </c>
      <c r="H833" s="9" t="s">
        <v>2357</v>
      </c>
      <c r="I833" s="10">
        <v>45603</v>
      </c>
    </row>
    <row r="834" spans="1:9" x14ac:dyDescent="0.15">
      <c r="A834" s="9">
        <v>833</v>
      </c>
      <c r="B834" s="9" t="s">
        <v>9</v>
      </c>
      <c r="C834" s="9">
        <v>1923</v>
      </c>
      <c r="D834" s="10">
        <v>45701</v>
      </c>
      <c r="E834" s="13" t="str">
        <f>+HYPERLINK("http://trademark.i-assist.jp/data/china/image_1923th/81819443.pdf","81819443")</f>
        <v>81819443</v>
      </c>
      <c r="F834" s="9" t="s">
        <v>2358</v>
      </c>
      <c r="G834" s="9" t="s">
        <v>2359</v>
      </c>
      <c r="H834" s="11" t="s">
        <v>2360</v>
      </c>
      <c r="I834" s="10">
        <v>45603</v>
      </c>
    </row>
    <row r="835" spans="1:9" x14ac:dyDescent="0.15">
      <c r="A835" s="9">
        <v>834</v>
      </c>
      <c r="B835" s="9" t="s">
        <v>9</v>
      </c>
      <c r="C835" s="9">
        <v>1923</v>
      </c>
      <c r="D835" s="10">
        <v>45701</v>
      </c>
      <c r="E835" s="13" t="str">
        <f>+HYPERLINK("http://trademark.i-assist.jp/data/china/image_1923th/81819627.pdf","81819627")</f>
        <v>81819627</v>
      </c>
      <c r="F835" s="11" t="s">
        <v>2361</v>
      </c>
      <c r="G835" s="11" t="s">
        <v>2362</v>
      </c>
      <c r="H835" s="9" t="s">
        <v>2363</v>
      </c>
      <c r="I835" s="10">
        <v>45603</v>
      </c>
    </row>
    <row r="836" spans="1:9" x14ac:dyDescent="0.15">
      <c r="A836" s="9">
        <v>835</v>
      </c>
      <c r="B836" s="9" t="s">
        <v>9</v>
      </c>
      <c r="C836" s="9">
        <v>1923</v>
      </c>
      <c r="D836" s="10">
        <v>45701</v>
      </c>
      <c r="E836" s="13" t="str">
        <f>+HYPERLINK("http://trademark.i-assist.jp/data/china/image_1923th/81821192.pdf","81821192")</f>
        <v>81821192</v>
      </c>
      <c r="F836" s="9" t="s">
        <v>2364</v>
      </c>
      <c r="G836" s="9" t="s">
        <v>2365</v>
      </c>
      <c r="H836" s="9" t="s">
        <v>2366</v>
      </c>
      <c r="I836" s="10">
        <v>45603</v>
      </c>
    </row>
    <row r="837" spans="1:9" x14ac:dyDescent="0.15">
      <c r="A837" s="9">
        <v>836</v>
      </c>
      <c r="B837" s="9" t="s">
        <v>9</v>
      </c>
      <c r="C837" s="9">
        <v>1923</v>
      </c>
      <c r="D837" s="10">
        <v>45701</v>
      </c>
      <c r="E837" s="13" t="str">
        <f>+HYPERLINK("http://trademark.i-assist.jp/data/china/image_1923th/81821325.pdf","81821325")</f>
        <v>81821325</v>
      </c>
      <c r="F837" s="9" t="s">
        <v>2367</v>
      </c>
      <c r="G837" s="9" t="s">
        <v>34</v>
      </c>
      <c r="H837" s="9" t="s">
        <v>2368</v>
      </c>
      <c r="I837" s="10">
        <v>45603</v>
      </c>
    </row>
    <row r="838" spans="1:9" x14ac:dyDescent="0.15">
      <c r="A838" s="9">
        <v>837</v>
      </c>
      <c r="B838" s="9" t="s">
        <v>9</v>
      </c>
      <c r="C838" s="9">
        <v>1923</v>
      </c>
      <c r="D838" s="10">
        <v>45701</v>
      </c>
      <c r="E838" s="13" t="str">
        <f>+HYPERLINK("http://trademark.i-assist.jp/data/china/image_1923th/81821526.pdf","81821526")</f>
        <v>81821526</v>
      </c>
      <c r="F838" s="9" t="s">
        <v>2369</v>
      </c>
      <c r="G838" s="9" t="s">
        <v>2370</v>
      </c>
      <c r="H838" s="9" t="s">
        <v>2371</v>
      </c>
      <c r="I838" s="10">
        <v>45603</v>
      </c>
    </row>
    <row r="839" spans="1:9" x14ac:dyDescent="0.15">
      <c r="A839" s="9">
        <v>838</v>
      </c>
      <c r="B839" s="9" t="s">
        <v>9</v>
      </c>
      <c r="C839" s="9">
        <v>1923</v>
      </c>
      <c r="D839" s="10">
        <v>45701</v>
      </c>
      <c r="E839" s="13" t="str">
        <f>+HYPERLINK("http://trademark.i-assist.jp/data/china/image_1923th/81821530.pdf","81821530")</f>
        <v>81821530</v>
      </c>
      <c r="F839" s="9" t="s">
        <v>2372</v>
      </c>
      <c r="G839" s="11" t="s">
        <v>2373</v>
      </c>
      <c r="H839" s="11" t="s">
        <v>2374</v>
      </c>
      <c r="I839" s="10">
        <v>45603</v>
      </c>
    </row>
    <row r="840" spans="1:9" x14ac:dyDescent="0.15">
      <c r="A840" s="9">
        <v>839</v>
      </c>
      <c r="B840" s="9" t="s">
        <v>9</v>
      </c>
      <c r="C840" s="9">
        <v>1923</v>
      </c>
      <c r="D840" s="10">
        <v>45701</v>
      </c>
      <c r="E840" s="13" t="str">
        <f>+HYPERLINK("http://trademark.i-assist.jp/data/china/image_1923th/81821593.pdf","81821593")</f>
        <v>81821593</v>
      </c>
      <c r="F840" s="9" t="s">
        <v>2375</v>
      </c>
      <c r="G840" s="9" t="s">
        <v>2376</v>
      </c>
      <c r="H840" s="11" t="s">
        <v>2377</v>
      </c>
      <c r="I840" s="10">
        <v>45603</v>
      </c>
    </row>
    <row r="841" spans="1:9" x14ac:dyDescent="0.15">
      <c r="A841" s="9">
        <v>840</v>
      </c>
      <c r="B841" s="9" t="s">
        <v>9</v>
      </c>
      <c r="C841" s="9">
        <v>1923</v>
      </c>
      <c r="D841" s="10">
        <v>45701</v>
      </c>
      <c r="E841" s="13" t="str">
        <f>+HYPERLINK("http://trademark.i-assist.jp/data/china/image_1923th/81821698.pdf","81821698")</f>
        <v>81821698</v>
      </c>
      <c r="F841" s="9" t="s">
        <v>2378</v>
      </c>
      <c r="G841" s="9" t="s">
        <v>2336</v>
      </c>
      <c r="H841" s="9" t="s">
        <v>2379</v>
      </c>
      <c r="I841" s="10">
        <v>45603</v>
      </c>
    </row>
    <row r="842" spans="1:9" x14ac:dyDescent="0.15">
      <c r="A842" s="9">
        <v>841</v>
      </c>
      <c r="B842" s="9" t="s">
        <v>9</v>
      </c>
      <c r="C842" s="9">
        <v>1923</v>
      </c>
      <c r="D842" s="10">
        <v>45701</v>
      </c>
      <c r="E842" s="13" t="str">
        <f>+HYPERLINK("http://trademark.i-assist.jp/data/china/image_1923th/81821779.pdf","81821779")</f>
        <v>81821779</v>
      </c>
      <c r="F842" s="11" t="s">
        <v>2380</v>
      </c>
      <c r="G842" s="9" t="s">
        <v>2381</v>
      </c>
      <c r="H842" s="9" t="s">
        <v>2382</v>
      </c>
      <c r="I842" s="10">
        <v>45603</v>
      </c>
    </row>
    <row r="843" spans="1:9" x14ac:dyDescent="0.15">
      <c r="A843" s="9">
        <v>842</v>
      </c>
      <c r="B843" s="9" t="s">
        <v>9</v>
      </c>
      <c r="C843" s="9">
        <v>1923</v>
      </c>
      <c r="D843" s="10">
        <v>45701</v>
      </c>
      <c r="E843" s="13" t="str">
        <f>+HYPERLINK("http://trademark.i-assist.jp/data/china/image_1923th/81821819.pdf","81821819")</f>
        <v>81821819</v>
      </c>
      <c r="F843" s="9" t="s">
        <v>2383</v>
      </c>
      <c r="G843" s="9" t="s">
        <v>47</v>
      </c>
      <c r="H843" s="11" t="s">
        <v>2384</v>
      </c>
      <c r="I843" s="10">
        <v>45603</v>
      </c>
    </row>
    <row r="844" spans="1:9" x14ac:dyDescent="0.15">
      <c r="A844" s="9">
        <v>843</v>
      </c>
      <c r="B844" s="9" t="s">
        <v>9</v>
      </c>
      <c r="C844" s="9">
        <v>1923</v>
      </c>
      <c r="D844" s="10">
        <v>45701</v>
      </c>
      <c r="E844" s="13" t="str">
        <f>+HYPERLINK("http://trademark.i-assist.jp/data/china/image_1923th/81822436.pdf","81822436")</f>
        <v>81822436</v>
      </c>
      <c r="F844" s="11" t="s">
        <v>2385</v>
      </c>
      <c r="G844" s="9" t="s">
        <v>2386</v>
      </c>
      <c r="H844" s="9" t="s">
        <v>2387</v>
      </c>
      <c r="I844" s="10">
        <v>45603</v>
      </c>
    </row>
    <row r="845" spans="1:9" x14ac:dyDescent="0.15">
      <c r="A845" s="9">
        <v>844</v>
      </c>
      <c r="B845" s="9" t="s">
        <v>9</v>
      </c>
      <c r="C845" s="9">
        <v>1923</v>
      </c>
      <c r="D845" s="10">
        <v>45701</v>
      </c>
      <c r="E845" s="13" t="str">
        <f>+HYPERLINK("http://trademark.i-assist.jp/data/china/image_1923th/81822465.pdf","81822465")</f>
        <v>81822465</v>
      </c>
      <c r="F845" s="9" t="s">
        <v>2388</v>
      </c>
      <c r="G845" s="11" t="s">
        <v>2389</v>
      </c>
      <c r="H845" s="9" t="s">
        <v>2390</v>
      </c>
      <c r="I845" s="10">
        <v>45603</v>
      </c>
    </row>
    <row r="846" spans="1:9" x14ac:dyDescent="0.15">
      <c r="A846" s="9">
        <v>845</v>
      </c>
      <c r="B846" s="9" t="s">
        <v>9</v>
      </c>
      <c r="C846" s="9">
        <v>1923</v>
      </c>
      <c r="D846" s="10">
        <v>45701</v>
      </c>
      <c r="E846" s="13" t="str">
        <f>+HYPERLINK("http://trademark.i-assist.jp/data/china/image_1923th/81822797.pdf","81822797")</f>
        <v>81822797</v>
      </c>
      <c r="F846" s="9" t="s">
        <v>2391</v>
      </c>
      <c r="G846" s="9" t="s">
        <v>2392</v>
      </c>
      <c r="H846" s="9" t="s">
        <v>2393</v>
      </c>
      <c r="I846" s="10">
        <v>45603</v>
      </c>
    </row>
    <row r="847" spans="1:9" x14ac:dyDescent="0.15">
      <c r="A847" s="9">
        <v>846</v>
      </c>
      <c r="B847" s="9" t="s">
        <v>9</v>
      </c>
      <c r="C847" s="9">
        <v>1923</v>
      </c>
      <c r="D847" s="10">
        <v>45701</v>
      </c>
      <c r="E847" s="13" t="str">
        <f>+HYPERLINK("http://trademark.i-assist.jp/data/china/image_1923th/81822901.pdf","81822901")</f>
        <v>81822901</v>
      </c>
      <c r="F847" s="11" t="s">
        <v>2394</v>
      </c>
      <c r="G847" s="11" t="s">
        <v>2395</v>
      </c>
      <c r="H847" s="9" t="s">
        <v>2396</v>
      </c>
      <c r="I847" s="10">
        <v>45603</v>
      </c>
    </row>
    <row r="848" spans="1:9" x14ac:dyDescent="0.15">
      <c r="A848" s="9">
        <v>847</v>
      </c>
      <c r="B848" s="9" t="s">
        <v>9</v>
      </c>
      <c r="C848" s="9">
        <v>1923</v>
      </c>
      <c r="D848" s="10">
        <v>45701</v>
      </c>
      <c r="E848" s="13" t="str">
        <f>+HYPERLINK("http://trademark.i-assist.jp/data/china/image_1923th/81823122.pdf","81823122")</f>
        <v>81823122</v>
      </c>
      <c r="F848" s="11" t="s">
        <v>2397</v>
      </c>
      <c r="G848" s="9" t="s">
        <v>2336</v>
      </c>
      <c r="H848" s="9" t="s">
        <v>2398</v>
      </c>
      <c r="I848" s="10">
        <v>45603</v>
      </c>
    </row>
    <row r="849" spans="1:9" x14ac:dyDescent="0.15">
      <c r="A849" s="9">
        <v>848</v>
      </c>
      <c r="B849" s="9" t="s">
        <v>9</v>
      </c>
      <c r="C849" s="9">
        <v>1923</v>
      </c>
      <c r="D849" s="10">
        <v>45701</v>
      </c>
      <c r="E849" s="13" t="str">
        <f>+HYPERLINK("http://trademark.i-assist.jp/data/china/image_1923th/81823349.pdf","81823349")</f>
        <v>81823349</v>
      </c>
      <c r="F849" s="9" t="s">
        <v>2399</v>
      </c>
      <c r="G849" s="9" t="s">
        <v>2370</v>
      </c>
      <c r="H849" s="9" t="s">
        <v>2400</v>
      </c>
      <c r="I849" s="10">
        <v>45603</v>
      </c>
    </row>
    <row r="850" spans="1:9" x14ac:dyDescent="0.15">
      <c r="A850" s="9">
        <v>849</v>
      </c>
      <c r="B850" s="9" t="s">
        <v>9</v>
      </c>
      <c r="C850" s="9">
        <v>1923</v>
      </c>
      <c r="D850" s="10">
        <v>45701</v>
      </c>
      <c r="E850" s="13" t="str">
        <f>+HYPERLINK("http://trademark.i-assist.jp/data/china/image_1923th/81823679.pdf","81823679")</f>
        <v>81823679</v>
      </c>
      <c r="F850" s="9" t="s">
        <v>2401</v>
      </c>
      <c r="G850" s="9" t="s">
        <v>2370</v>
      </c>
      <c r="H850" s="9" t="s">
        <v>2402</v>
      </c>
      <c r="I850" s="10">
        <v>45603</v>
      </c>
    </row>
    <row r="851" spans="1:9" x14ac:dyDescent="0.15">
      <c r="A851" s="9">
        <v>850</v>
      </c>
      <c r="B851" s="9" t="s">
        <v>9</v>
      </c>
      <c r="C851" s="9">
        <v>1923</v>
      </c>
      <c r="D851" s="10">
        <v>45701</v>
      </c>
      <c r="E851" s="13" t="str">
        <f>+HYPERLINK("http://trademark.i-assist.jp/data/china/image_1923th/81823684.pdf","81823684")</f>
        <v>81823684</v>
      </c>
      <c r="F851" s="9" t="s">
        <v>2403</v>
      </c>
      <c r="G851" s="9" t="s">
        <v>2370</v>
      </c>
      <c r="H851" s="9" t="s">
        <v>2404</v>
      </c>
      <c r="I851" s="10">
        <v>45603</v>
      </c>
    </row>
    <row r="852" spans="1:9" x14ac:dyDescent="0.15">
      <c r="A852" s="9">
        <v>851</v>
      </c>
      <c r="B852" s="9" t="s">
        <v>9</v>
      </c>
      <c r="C852" s="9">
        <v>1923</v>
      </c>
      <c r="D852" s="10">
        <v>45701</v>
      </c>
      <c r="E852" s="13" t="str">
        <f>+HYPERLINK("http://trademark.i-assist.jp/data/china/image_1923th/81824076.pdf","81824076")</f>
        <v>81824076</v>
      </c>
      <c r="F852" s="9" t="s">
        <v>2405</v>
      </c>
      <c r="G852" s="9" t="s">
        <v>47</v>
      </c>
      <c r="H852" s="9" t="s">
        <v>2406</v>
      </c>
      <c r="I852" s="10">
        <v>45603</v>
      </c>
    </row>
    <row r="853" spans="1:9" x14ac:dyDescent="0.15">
      <c r="A853" s="9">
        <v>852</v>
      </c>
      <c r="B853" s="9" t="s">
        <v>9</v>
      </c>
      <c r="C853" s="9">
        <v>1923</v>
      </c>
      <c r="D853" s="10">
        <v>45701</v>
      </c>
      <c r="E853" s="13" t="str">
        <f>+HYPERLINK("http://trademark.i-assist.jp/data/china/image_1923th/81824104.pdf","81824104")</f>
        <v>81824104</v>
      </c>
      <c r="F853" s="9" t="s">
        <v>2407</v>
      </c>
      <c r="G853" s="9" t="s">
        <v>47</v>
      </c>
      <c r="H853" s="9" t="s">
        <v>2408</v>
      </c>
      <c r="I853" s="10">
        <v>45603</v>
      </c>
    </row>
    <row r="854" spans="1:9" x14ac:dyDescent="0.15">
      <c r="A854" s="9">
        <v>853</v>
      </c>
      <c r="B854" s="9" t="s">
        <v>9</v>
      </c>
      <c r="C854" s="9">
        <v>1923</v>
      </c>
      <c r="D854" s="10">
        <v>45701</v>
      </c>
      <c r="E854" s="13" t="str">
        <f>+HYPERLINK("http://trademark.i-assist.jp/data/china/image_1923th/81825690.pdf","81825690")</f>
        <v>81825690</v>
      </c>
      <c r="F854" s="9" t="s">
        <v>2409</v>
      </c>
      <c r="G854" s="9" t="s">
        <v>2410</v>
      </c>
      <c r="H854" s="9" t="s">
        <v>2411</v>
      </c>
      <c r="I854" s="10">
        <v>45603</v>
      </c>
    </row>
    <row r="855" spans="1:9" x14ac:dyDescent="0.15">
      <c r="A855" s="9">
        <v>854</v>
      </c>
      <c r="B855" s="9" t="s">
        <v>9</v>
      </c>
      <c r="C855" s="9">
        <v>1923</v>
      </c>
      <c r="D855" s="10">
        <v>45701</v>
      </c>
      <c r="E855" s="13" t="str">
        <f>+HYPERLINK("http://trademark.i-assist.jp/data/china/image_1923th/81825985.pdf","81825985")</f>
        <v>81825985</v>
      </c>
      <c r="F855" s="9" t="s">
        <v>2412</v>
      </c>
      <c r="G855" s="9" t="s">
        <v>33</v>
      </c>
      <c r="H855" s="9" t="s">
        <v>2413</v>
      </c>
      <c r="I855" s="10">
        <v>45603</v>
      </c>
    </row>
    <row r="856" spans="1:9" x14ac:dyDescent="0.15">
      <c r="A856" s="9">
        <v>855</v>
      </c>
      <c r="B856" s="9" t="s">
        <v>9</v>
      </c>
      <c r="C856" s="9">
        <v>1923</v>
      </c>
      <c r="D856" s="10">
        <v>45701</v>
      </c>
      <c r="E856" s="13" t="str">
        <f>+HYPERLINK("http://trademark.i-assist.jp/data/china/image_1923th/81826112.pdf","81826112")</f>
        <v>81826112</v>
      </c>
      <c r="F856" s="11" t="s">
        <v>2414</v>
      </c>
      <c r="G856" s="9" t="s">
        <v>2386</v>
      </c>
      <c r="H856" s="9" t="s">
        <v>2415</v>
      </c>
      <c r="I856" s="10">
        <v>45603</v>
      </c>
    </row>
    <row r="857" spans="1:9" x14ac:dyDescent="0.15">
      <c r="A857" s="9">
        <v>856</v>
      </c>
      <c r="B857" s="9" t="s">
        <v>9</v>
      </c>
      <c r="C857" s="9">
        <v>1923</v>
      </c>
      <c r="D857" s="10">
        <v>45701</v>
      </c>
      <c r="E857" s="13" t="str">
        <f>+HYPERLINK("http://trademark.i-assist.jp/data/china/image_1923th/81826484.pdf","81826484")</f>
        <v>81826484</v>
      </c>
      <c r="F857" s="9" t="s">
        <v>2416</v>
      </c>
      <c r="G857" s="9" t="s">
        <v>2370</v>
      </c>
      <c r="H857" s="9" t="s">
        <v>2417</v>
      </c>
      <c r="I857" s="10">
        <v>45603</v>
      </c>
    </row>
    <row r="858" spans="1:9" x14ac:dyDescent="0.15">
      <c r="A858" s="9">
        <v>857</v>
      </c>
      <c r="B858" s="9" t="s">
        <v>9</v>
      </c>
      <c r="C858" s="9">
        <v>1923</v>
      </c>
      <c r="D858" s="10">
        <v>45701</v>
      </c>
      <c r="E858" s="13" t="str">
        <f>+HYPERLINK("http://trademark.i-assist.jp/data/china/image_1923th/81826679.pdf","81826679")</f>
        <v>81826679</v>
      </c>
      <c r="F858" s="9" t="s">
        <v>2418</v>
      </c>
      <c r="G858" s="9" t="s">
        <v>47</v>
      </c>
      <c r="H858" s="9" t="s">
        <v>2419</v>
      </c>
      <c r="I858" s="10">
        <v>45603</v>
      </c>
    </row>
    <row r="859" spans="1:9" x14ac:dyDescent="0.15">
      <c r="A859" s="9">
        <v>858</v>
      </c>
      <c r="B859" s="9" t="s">
        <v>9</v>
      </c>
      <c r="C859" s="9">
        <v>1923</v>
      </c>
      <c r="D859" s="10">
        <v>45701</v>
      </c>
      <c r="E859" s="13" t="str">
        <f>+HYPERLINK("http://trademark.i-assist.jp/data/china/image_1923th/81827284.pdf","81827284")</f>
        <v>81827284</v>
      </c>
      <c r="F859" s="11" t="s">
        <v>2420</v>
      </c>
      <c r="G859" s="9" t="s">
        <v>2421</v>
      </c>
      <c r="H859" s="9" t="s">
        <v>2422</v>
      </c>
      <c r="I859" s="10">
        <v>45603</v>
      </c>
    </row>
    <row r="860" spans="1:9" x14ac:dyDescent="0.15">
      <c r="A860" s="9">
        <v>859</v>
      </c>
      <c r="B860" s="9" t="s">
        <v>9</v>
      </c>
      <c r="C860" s="9">
        <v>1923</v>
      </c>
      <c r="D860" s="10">
        <v>45701</v>
      </c>
      <c r="E860" s="13" t="str">
        <f>+HYPERLINK("http://trademark.i-assist.jp/data/china/image_1923th/81827435.pdf","81827435")</f>
        <v>81827435</v>
      </c>
      <c r="F860" s="9" t="s">
        <v>2423</v>
      </c>
      <c r="G860" s="9" t="s">
        <v>2424</v>
      </c>
      <c r="H860" s="9" t="s">
        <v>2425</v>
      </c>
      <c r="I860" s="10">
        <v>45603</v>
      </c>
    </row>
    <row r="861" spans="1:9" x14ac:dyDescent="0.15">
      <c r="A861" s="9">
        <v>860</v>
      </c>
      <c r="B861" s="9" t="s">
        <v>9</v>
      </c>
      <c r="C861" s="9">
        <v>1923</v>
      </c>
      <c r="D861" s="10">
        <v>45701</v>
      </c>
      <c r="E861" s="13" t="str">
        <f>+HYPERLINK("http://trademark.i-assist.jp/data/china/image_1923th/81827668.pdf","81827668")</f>
        <v>81827668</v>
      </c>
      <c r="F861" s="11" t="s">
        <v>2426</v>
      </c>
      <c r="G861" s="9" t="s">
        <v>2427</v>
      </c>
      <c r="H861" s="9" t="s">
        <v>2428</v>
      </c>
      <c r="I861" s="10">
        <v>45603</v>
      </c>
    </row>
    <row r="862" spans="1:9" x14ac:dyDescent="0.15">
      <c r="A862" s="9">
        <v>861</v>
      </c>
      <c r="B862" s="9" t="s">
        <v>9</v>
      </c>
      <c r="C862" s="9">
        <v>1923</v>
      </c>
      <c r="D862" s="10">
        <v>45701</v>
      </c>
      <c r="E862" s="13" t="str">
        <f>+HYPERLINK("http://trademark.i-assist.jp/data/china/image_1923th/81828130.pdf","81828130")</f>
        <v>81828130</v>
      </c>
      <c r="F862" s="9" t="s">
        <v>2429</v>
      </c>
      <c r="G862" s="11" t="s">
        <v>2430</v>
      </c>
      <c r="H862" s="11" t="s">
        <v>2431</v>
      </c>
      <c r="I862" s="10">
        <v>45603</v>
      </c>
    </row>
    <row r="863" spans="1:9" x14ac:dyDescent="0.15">
      <c r="A863" s="9">
        <v>862</v>
      </c>
      <c r="B863" s="9" t="s">
        <v>9</v>
      </c>
      <c r="C863" s="9">
        <v>1923</v>
      </c>
      <c r="D863" s="10">
        <v>45701</v>
      </c>
      <c r="E863" s="13" t="str">
        <f>+HYPERLINK("http://trademark.i-assist.jp/data/china/image_1923th/81828185.pdf","81828185")</f>
        <v>81828185</v>
      </c>
      <c r="F863" s="9" t="s">
        <v>2432</v>
      </c>
      <c r="G863" s="9" t="s">
        <v>47</v>
      </c>
      <c r="H863" s="9" t="s">
        <v>2433</v>
      </c>
      <c r="I863" s="10">
        <v>45603</v>
      </c>
    </row>
    <row r="864" spans="1:9" x14ac:dyDescent="0.15">
      <c r="A864" s="9">
        <v>863</v>
      </c>
      <c r="B864" s="9" t="s">
        <v>9</v>
      </c>
      <c r="C864" s="9">
        <v>1923</v>
      </c>
      <c r="D864" s="10">
        <v>45701</v>
      </c>
      <c r="E864" s="13" t="str">
        <f>+HYPERLINK("http://trademark.i-assist.jp/data/china/image_1923th/81828262.pdf","81828262")</f>
        <v>81828262</v>
      </c>
      <c r="F864" s="9" t="s">
        <v>2434</v>
      </c>
      <c r="G864" s="9" t="s">
        <v>2435</v>
      </c>
      <c r="H864" s="9" t="s">
        <v>2436</v>
      </c>
      <c r="I864" s="10">
        <v>45603</v>
      </c>
    </row>
    <row r="865" spans="1:9" x14ac:dyDescent="0.15">
      <c r="A865" s="9">
        <v>864</v>
      </c>
      <c r="B865" s="9" t="s">
        <v>9</v>
      </c>
      <c r="C865" s="9">
        <v>1923</v>
      </c>
      <c r="D865" s="10">
        <v>45701</v>
      </c>
      <c r="E865" s="13" t="str">
        <f>+HYPERLINK("http://trademark.i-assist.jp/data/china/image_1923th/81828429.pdf","81828429")</f>
        <v>81828429</v>
      </c>
      <c r="F865" s="12" t="s">
        <v>2437</v>
      </c>
      <c r="G865" s="11" t="s">
        <v>820</v>
      </c>
      <c r="H865" s="9" t="s">
        <v>2438</v>
      </c>
      <c r="I865" s="10">
        <v>45603</v>
      </c>
    </row>
    <row r="866" spans="1:9" x14ac:dyDescent="0.15">
      <c r="A866" s="9">
        <v>865</v>
      </c>
      <c r="B866" s="9" t="s">
        <v>9</v>
      </c>
      <c r="C866" s="9">
        <v>1923</v>
      </c>
      <c r="D866" s="10">
        <v>45701</v>
      </c>
      <c r="E866" s="13" t="str">
        <f>+HYPERLINK("http://trademark.i-assist.jp/data/china/image_1923th/81828448.pdf","81828448")</f>
        <v>81828448</v>
      </c>
      <c r="F866" s="11" t="s">
        <v>2439</v>
      </c>
      <c r="G866" s="9" t="s">
        <v>2440</v>
      </c>
      <c r="H866" s="9" t="s">
        <v>2441</v>
      </c>
      <c r="I866" s="10">
        <v>45603</v>
      </c>
    </row>
    <row r="867" spans="1:9" x14ac:dyDescent="0.15">
      <c r="A867" s="9">
        <v>866</v>
      </c>
      <c r="B867" s="9" t="s">
        <v>9</v>
      </c>
      <c r="C867" s="9">
        <v>1923</v>
      </c>
      <c r="D867" s="10">
        <v>45701</v>
      </c>
      <c r="E867" s="13" t="str">
        <f>+HYPERLINK("http://trademark.i-assist.jp/data/china/image_1923th/81828664.pdf","81828664")</f>
        <v>81828664</v>
      </c>
      <c r="F867" s="9" t="s">
        <v>2442</v>
      </c>
      <c r="G867" s="9" t="s">
        <v>2443</v>
      </c>
      <c r="H867" s="9" t="s">
        <v>2444</v>
      </c>
      <c r="I867" s="10">
        <v>45603</v>
      </c>
    </row>
    <row r="868" spans="1:9" x14ac:dyDescent="0.15">
      <c r="A868" s="9">
        <v>867</v>
      </c>
      <c r="B868" s="9" t="s">
        <v>9</v>
      </c>
      <c r="C868" s="9">
        <v>1923</v>
      </c>
      <c r="D868" s="10">
        <v>45701</v>
      </c>
      <c r="E868" s="13" t="str">
        <f>+HYPERLINK("http://trademark.i-assist.jp/data/china/image_1923th/81828936.pdf","81828936")</f>
        <v>81828936</v>
      </c>
      <c r="F868" s="11" t="s">
        <v>2445</v>
      </c>
      <c r="G868" s="11" t="s">
        <v>2446</v>
      </c>
      <c r="H868" s="9" t="s">
        <v>2447</v>
      </c>
      <c r="I868" s="10">
        <v>45603</v>
      </c>
    </row>
    <row r="869" spans="1:9" x14ac:dyDescent="0.15">
      <c r="A869" s="9">
        <v>868</v>
      </c>
      <c r="B869" s="9" t="s">
        <v>9</v>
      </c>
      <c r="C869" s="9">
        <v>1923</v>
      </c>
      <c r="D869" s="10">
        <v>45701</v>
      </c>
      <c r="E869" s="13" t="str">
        <f>+HYPERLINK("http://trademark.i-assist.jp/data/china/image_1923th/81829859.pdf","81829859")</f>
        <v>81829859</v>
      </c>
      <c r="F869" s="9" t="s">
        <v>2448</v>
      </c>
      <c r="G869" s="9" t="s">
        <v>47</v>
      </c>
      <c r="H869" s="9" t="s">
        <v>2449</v>
      </c>
      <c r="I869" s="10">
        <v>45603</v>
      </c>
    </row>
    <row r="870" spans="1:9" x14ac:dyDescent="0.15">
      <c r="A870" s="9">
        <v>869</v>
      </c>
      <c r="B870" s="9" t="s">
        <v>9</v>
      </c>
      <c r="C870" s="9">
        <v>1923</v>
      </c>
      <c r="D870" s="10">
        <v>45701</v>
      </c>
      <c r="E870" s="13" t="str">
        <f>+HYPERLINK("http://trademark.i-assist.jp/data/china/image_1923th/81829980.pdf","81829980")</f>
        <v>81829980</v>
      </c>
      <c r="F870" s="9" t="s">
        <v>2450</v>
      </c>
      <c r="G870" s="9" t="s">
        <v>2370</v>
      </c>
      <c r="H870" s="9" t="s">
        <v>2451</v>
      </c>
      <c r="I870" s="10">
        <v>45603</v>
      </c>
    </row>
    <row r="871" spans="1:9" x14ac:dyDescent="0.15">
      <c r="A871" s="9">
        <v>870</v>
      </c>
      <c r="B871" s="9" t="s">
        <v>9</v>
      </c>
      <c r="C871" s="9">
        <v>1923</v>
      </c>
      <c r="D871" s="10">
        <v>45701</v>
      </c>
      <c r="E871" s="13" t="str">
        <f>+HYPERLINK("http://trademark.i-assist.jp/data/china/image_1923th/81830506.pdf","81830506")</f>
        <v>81830506</v>
      </c>
      <c r="F871" s="9" t="s">
        <v>2452</v>
      </c>
      <c r="G871" s="9" t="s">
        <v>2453</v>
      </c>
      <c r="H871" s="11" t="s">
        <v>2454</v>
      </c>
      <c r="I871" s="10">
        <v>45603</v>
      </c>
    </row>
    <row r="872" spans="1:9" x14ac:dyDescent="0.15">
      <c r="A872" s="9">
        <v>871</v>
      </c>
      <c r="B872" s="9" t="s">
        <v>9</v>
      </c>
      <c r="C872" s="9">
        <v>1923</v>
      </c>
      <c r="D872" s="10">
        <v>45701</v>
      </c>
      <c r="E872" s="13" t="str">
        <f>+HYPERLINK("http://trademark.i-assist.jp/data/china/image_1923th/81830596.pdf","81830596")</f>
        <v>81830596</v>
      </c>
      <c r="F872" s="11" t="s">
        <v>2455</v>
      </c>
      <c r="G872" s="9" t="s">
        <v>2456</v>
      </c>
      <c r="H872" s="9" t="s">
        <v>2457</v>
      </c>
      <c r="I872" s="10">
        <v>45603</v>
      </c>
    </row>
    <row r="873" spans="1:9" x14ac:dyDescent="0.15">
      <c r="A873" s="9">
        <v>872</v>
      </c>
      <c r="B873" s="9" t="s">
        <v>9</v>
      </c>
      <c r="C873" s="9">
        <v>1923</v>
      </c>
      <c r="D873" s="10">
        <v>45701</v>
      </c>
      <c r="E873" s="13" t="str">
        <f>+HYPERLINK("http://trademark.i-assist.jp/data/china/image_1923th/81831429.pdf","81831429")</f>
        <v>81831429</v>
      </c>
      <c r="F873" s="9" t="s">
        <v>2458</v>
      </c>
      <c r="G873" s="9" t="s">
        <v>2370</v>
      </c>
      <c r="H873" s="11" t="s">
        <v>2459</v>
      </c>
      <c r="I873" s="10">
        <v>45603</v>
      </c>
    </row>
    <row r="874" spans="1:9" x14ac:dyDescent="0.15">
      <c r="A874" s="9">
        <v>873</v>
      </c>
      <c r="B874" s="9" t="s">
        <v>9</v>
      </c>
      <c r="C874" s="9">
        <v>1923</v>
      </c>
      <c r="D874" s="10">
        <v>45701</v>
      </c>
      <c r="E874" s="13" t="str">
        <f>+HYPERLINK("http://trademark.i-assist.jp/data/china/image_1923th/81831473.pdf","81831473")</f>
        <v>81831473</v>
      </c>
      <c r="F874" s="9" t="s">
        <v>2460</v>
      </c>
      <c r="G874" s="9" t="s">
        <v>2370</v>
      </c>
      <c r="H874" s="9" t="s">
        <v>2461</v>
      </c>
      <c r="I874" s="10">
        <v>45603</v>
      </c>
    </row>
    <row r="875" spans="1:9" x14ac:dyDescent="0.15">
      <c r="A875" s="9">
        <v>874</v>
      </c>
      <c r="B875" s="9" t="s">
        <v>9</v>
      </c>
      <c r="C875" s="9">
        <v>1923</v>
      </c>
      <c r="D875" s="10">
        <v>45701</v>
      </c>
      <c r="E875" s="13" t="str">
        <f>+HYPERLINK("http://trademark.i-assist.jp/data/china/image_1923th/81831810.pdf","81831810")</f>
        <v>81831810</v>
      </c>
      <c r="F875" s="9" t="s">
        <v>2462</v>
      </c>
      <c r="G875" s="9" t="s">
        <v>34</v>
      </c>
      <c r="H875" s="9" t="s">
        <v>2463</v>
      </c>
      <c r="I875" s="10">
        <v>45603</v>
      </c>
    </row>
    <row r="876" spans="1:9" x14ac:dyDescent="0.15">
      <c r="A876" s="9">
        <v>875</v>
      </c>
      <c r="B876" s="9" t="s">
        <v>9</v>
      </c>
      <c r="C876" s="9">
        <v>1923</v>
      </c>
      <c r="D876" s="10">
        <v>45701</v>
      </c>
      <c r="E876" s="13" t="str">
        <f>+HYPERLINK("http://trademark.i-assist.jp/data/china/image_1923th/81831935.pdf","81831935")</f>
        <v>81831935</v>
      </c>
      <c r="F876" s="9" t="s">
        <v>2464</v>
      </c>
      <c r="G876" s="11" t="s">
        <v>2465</v>
      </c>
      <c r="H876" s="9" t="s">
        <v>2466</v>
      </c>
      <c r="I876" s="10">
        <v>45603</v>
      </c>
    </row>
    <row r="877" spans="1:9" x14ac:dyDescent="0.15">
      <c r="A877" s="9">
        <v>876</v>
      </c>
      <c r="B877" s="9" t="s">
        <v>9</v>
      </c>
      <c r="C877" s="9">
        <v>1923</v>
      </c>
      <c r="D877" s="10">
        <v>45701</v>
      </c>
      <c r="E877" s="13" t="str">
        <f>+HYPERLINK("http://trademark.i-assist.jp/data/china/image_1923th/81832195.pdf","81832195")</f>
        <v>81832195</v>
      </c>
      <c r="F877" s="9" t="s">
        <v>2467</v>
      </c>
      <c r="G877" s="9" t="s">
        <v>2468</v>
      </c>
      <c r="H877" s="9" t="s">
        <v>2469</v>
      </c>
      <c r="I877" s="10">
        <v>45603</v>
      </c>
    </row>
    <row r="878" spans="1:9" x14ac:dyDescent="0.15">
      <c r="A878" s="9">
        <v>877</v>
      </c>
      <c r="B878" s="9" t="s">
        <v>9</v>
      </c>
      <c r="C878" s="9">
        <v>1923</v>
      </c>
      <c r="D878" s="10">
        <v>45701</v>
      </c>
      <c r="E878" s="13" t="str">
        <f>+HYPERLINK("http://trademark.i-assist.jp/data/china/image_1923th/81832617.pdf","81832617")</f>
        <v>81832617</v>
      </c>
      <c r="F878" s="9" t="s">
        <v>2470</v>
      </c>
      <c r="G878" s="9" t="s">
        <v>2471</v>
      </c>
      <c r="H878" s="9" t="s">
        <v>2472</v>
      </c>
      <c r="I878" s="10">
        <v>45603</v>
      </c>
    </row>
    <row r="879" spans="1:9" x14ac:dyDescent="0.15">
      <c r="A879" s="9">
        <v>878</v>
      </c>
      <c r="B879" s="9" t="s">
        <v>9</v>
      </c>
      <c r="C879" s="9">
        <v>1923</v>
      </c>
      <c r="D879" s="10">
        <v>45701</v>
      </c>
      <c r="E879" s="13" t="str">
        <f>+HYPERLINK("http://trademark.i-assist.jp/data/china/image_1923th/81832886.pdf","81832886")</f>
        <v>81832886</v>
      </c>
      <c r="F879" s="11" t="s">
        <v>126</v>
      </c>
      <c r="G879" s="9" t="s">
        <v>2473</v>
      </c>
      <c r="H879" s="9" t="s">
        <v>2474</v>
      </c>
      <c r="I879" s="10">
        <v>45603</v>
      </c>
    </row>
    <row r="880" spans="1:9" x14ac:dyDescent="0.15">
      <c r="A880" s="9">
        <v>879</v>
      </c>
      <c r="B880" s="9" t="s">
        <v>9</v>
      </c>
      <c r="C880" s="9">
        <v>1923</v>
      </c>
      <c r="D880" s="10">
        <v>45701</v>
      </c>
      <c r="E880" s="13" t="str">
        <f>+HYPERLINK("http://trademark.i-assist.jp/data/china/image_1923th/81833106.pdf","81833106")</f>
        <v>81833106</v>
      </c>
      <c r="F880" s="9" t="s">
        <v>2475</v>
      </c>
      <c r="G880" s="11" t="s">
        <v>2476</v>
      </c>
      <c r="H880" s="9" t="s">
        <v>2477</v>
      </c>
      <c r="I880" s="10">
        <v>45603</v>
      </c>
    </row>
    <row r="881" spans="1:9" x14ac:dyDescent="0.15">
      <c r="A881" s="9">
        <v>880</v>
      </c>
      <c r="B881" s="9" t="s">
        <v>9</v>
      </c>
      <c r="C881" s="9">
        <v>1923</v>
      </c>
      <c r="D881" s="10">
        <v>45701</v>
      </c>
      <c r="E881" s="13" t="str">
        <f>+HYPERLINK("http://trademark.i-assist.jp/data/china/image_1923th/81833214.pdf","81833214")</f>
        <v>81833214</v>
      </c>
      <c r="F881" s="9" t="s">
        <v>2478</v>
      </c>
      <c r="G881" s="9" t="s">
        <v>2479</v>
      </c>
      <c r="H881" s="9" t="s">
        <v>2480</v>
      </c>
      <c r="I881" s="10">
        <v>45603</v>
      </c>
    </row>
    <row r="882" spans="1:9" x14ac:dyDescent="0.15">
      <c r="A882" s="9">
        <v>881</v>
      </c>
      <c r="B882" s="9" t="s">
        <v>9</v>
      </c>
      <c r="C882" s="9">
        <v>1923</v>
      </c>
      <c r="D882" s="10">
        <v>45701</v>
      </c>
      <c r="E882" s="13" t="str">
        <f>+HYPERLINK("http://trademark.i-assist.jp/data/china/image_1923th/81833734.pdf","81833734")</f>
        <v>81833734</v>
      </c>
      <c r="F882" s="9" t="s">
        <v>2481</v>
      </c>
      <c r="G882" s="9" t="s">
        <v>2482</v>
      </c>
      <c r="H882" s="11" t="s">
        <v>2483</v>
      </c>
      <c r="I882" s="10">
        <v>45603</v>
      </c>
    </row>
    <row r="883" spans="1:9" x14ac:dyDescent="0.15">
      <c r="A883" s="9">
        <v>882</v>
      </c>
      <c r="B883" s="9" t="s">
        <v>9</v>
      </c>
      <c r="C883" s="9">
        <v>1923</v>
      </c>
      <c r="D883" s="10">
        <v>45701</v>
      </c>
      <c r="E883" s="13" t="str">
        <f>+HYPERLINK("http://trademark.i-assist.jp/data/china/image_1923th/81833945.pdf","81833945")</f>
        <v>81833945</v>
      </c>
      <c r="F883" s="9" t="s">
        <v>2484</v>
      </c>
      <c r="G883" s="9" t="s">
        <v>2485</v>
      </c>
      <c r="H883" s="9" t="s">
        <v>2486</v>
      </c>
      <c r="I883" s="10">
        <v>45603</v>
      </c>
    </row>
    <row r="884" spans="1:9" x14ac:dyDescent="0.15">
      <c r="A884" s="9">
        <v>883</v>
      </c>
      <c r="B884" s="9" t="s">
        <v>9</v>
      </c>
      <c r="C884" s="9">
        <v>1923</v>
      </c>
      <c r="D884" s="10">
        <v>45701</v>
      </c>
      <c r="E884" s="13" t="str">
        <f>+HYPERLINK("http://trademark.i-assist.jp/data/china/image_1923th/81834250.pdf","81834250")</f>
        <v>81834250</v>
      </c>
      <c r="F884" s="9" t="s">
        <v>2487</v>
      </c>
      <c r="G884" s="9" t="s">
        <v>2488</v>
      </c>
      <c r="H884" s="9" t="s">
        <v>2489</v>
      </c>
      <c r="I884" s="10">
        <v>45603</v>
      </c>
    </row>
    <row r="885" spans="1:9" x14ac:dyDescent="0.15">
      <c r="A885" s="9">
        <v>884</v>
      </c>
      <c r="B885" s="9" t="s">
        <v>9</v>
      </c>
      <c r="C885" s="9">
        <v>1923</v>
      </c>
      <c r="D885" s="10">
        <v>45701</v>
      </c>
      <c r="E885" s="13" t="str">
        <f>+HYPERLINK("http://trademark.i-assist.jp/data/china/image_1923th/81834490.pdf","81834490")</f>
        <v>81834490</v>
      </c>
      <c r="F885" s="11" t="s">
        <v>2490</v>
      </c>
      <c r="G885" s="9" t="s">
        <v>2336</v>
      </c>
      <c r="H885" s="11" t="s">
        <v>2491</v>
      </c>
      <c r="I885" s="10">
        <v>45603</v>
      </c>
    </row>
    <row r="886" spans="1:9" x14ac:dyDescent="0.15">
      <c r="A886" s="9">
        <v>885</v>
      </c>
      <c r="B886" s="9" t="s">
        <v>9</v>
      </c>
      <c r="C886" s="9">
        <v>1923</v>
      </c>
      <c r="D886" s="10">
        <v>45701</v>
      </c>
      <c r="E886" s="13" t="str">
        <f>+HYPERLINK("http://trademark.i-assist.jp/data/china/image_1923th/81834822.pdf","81834822")</f>
        <v>81834822</v>
      </c>
      <c r="F886" s="11" t="s">
        <v>2492</v>
      </c>
      <c r="G886" s="9" t="s">
        <v>2479</v>
      </c>
      <c r="H886" s="9" t="s">
        <v>2493</v>
      </c>
      <c r="I886" s="10">
        <v>45603</v>
      </c>
    </row>
    <row r="887" spans="1:9" x14ac:dyDescent="0.15">
      <c r="A887" s="9">
        <v>886</v>
      </c>
      <c r="B887" s="9" t="s">
        <v>9</v>
      </c>
      <c r="C887" s="9">
        <v>1923</v>
      </c>
      <c r="D887" s="10">
        <v>45701</v>
      </c>
      <c r="E887" s="13" t="str">
        <f>+HYPERLINK("http://trademark.i-assist.jp/data/china/image_1923th/81835442.pdf","81835442")</f>
        <v>81835442</v>
      </c>
      <c r="F887" s="11" t="s">
        <v>2494</v>
      </c>
      <c r="G887" s="9" t="s">
        <v>2495</v>
      </c>
      <c r="H887" s="9" t="s">
        <v>2496</v>
      </c>
      <c r="I887" s="10">
        <v>45603</v>
      </c>
    </row>
    <row r="888" spans="1:9" x14ac:dyDescent="0.15">
      <c r="A888" s="9">
        <v>887</v>
      </c>
      <c r="B888" s="9" t="s">
        <v>9</v>
      </c>
      <c r="C888" s="9">
        <v>1923</v>
      </c>
      <c r="D888" s="10">
        <v>45701</v>
      </c>
      <c r="E888" s="13" t="str">
        <f>+HYPERLINK("http://trademark.i-assist.jp/data/china/image_1923th/81835494.pdf","81835494")</f>
        <v>81835494</v>
      </c>
      <c r="F888" s="9" t="s">
        <v>2497</v>
      </c>
      <c r="G888" s="11" t="s">
        <v>2498</v>
      </c>
      <c r="H888" s="9" t="s">
        <v>2499</v>
      </c>
      <c r="I888" s="10">
        <v>45603</v>
      </c>
    </row>
    <row r="889" spans="1:9" x14ac:dyDescent="0.15">
      <c r="A889" s="9">
        <v>888</v>
      </c>
      <c r="B889" s="9" t="s">
        <v>9</v>
      </c>
      <c r="C889" s="9">
        <v>1923</v>
      </c>
      <c r="D889" s="10">
        <v>45701</v>
      </c>
      <c r="E889" s="13" t="str">
        <f>+HYPERLINK("http://trademark.i-assist.jp/data/china/image_1923th/81836069.pdf","81836069")</f>
        <v>81836069</v>
      </c>
      <c r="F889" s="9" t="s">
        <v>2500</v>
      </c>
      <c r="G889" s="9" t="s">
        <v>2501</v>
      </c>
      <c r="H889" s="9" t="s">
        <v>2502</v>
      </c>
      <c r="I889" s="10">
        <v>45603</v>
      </c>
    </row>
    <row r="890" spans="1:9" x14ac:dyDescent="0.15">
      <c r="A890" s="9">
        <v>889</v>
      </c>
      <c r="B890" s="9" t="s">
        <v>9</v>
      </c>
      <c r="C890" s="9">
        <v>1923</v>
      </c>
      <c r="D890" s="10">
        <v>45701</v>
      </c>
      <c r="E890" s="13" t="str">
        <f>+HYPERLINK("http://trademark.i-assist.jp/data/china/image_1923th/81836281.pdf","81836281")</f>
        <v>81836281</v>
      </c>
      <c r="F890" s="9" t="s">
        <v>2503</v>
      </c>
      <c r="G890" s="9" t="s">
        <v>2370</v>
      </c>
      <c r="H890" s="9" t="s">
        <v>2504</v>
      </c>
      <c r="I890" s="10">
        <v>45603</v>
      </c>
    </row>
    <row r="891" spans="1:9" x14ac:dyDescent="0.15">
      <c r="A891" s="9">
        <v>890</v>
      </c>
      <c r="B891" s="9" t="s">
        <v>9</v>
      </c>
      <c r="C891" s="9">
        <v>1923</v>
      </c>
      <c r="D891" s="10">
        <v>45701</v>
      </c>
      <c r="E891" s="13" t="str">
        <f>+HYPERLINK("http://trademark.i-assist.jp/data/china/image_1923th/81836430.pdf","81836430")</f>
        <v>81836430</v>
      </c>
      <c r="F891" s="9" t="s">
        <v>2505</v>
      </c>
      <c r="G891" s="9" t="s">
        <v>2506</v>
      </c>
      <c r="H891" s="9" t="s">
        <v>2507</v>
      </c>
      <c r="I891" s="10">
        <v>45603</v>
      </c>
    </row>
    <row r="892" spans="1:9" x14ac:dyDescent="0.15">
      <c r="A892" s="9">
        <v>891</v>
      </c>
      <c r="B892" s="9" t="s">
        <v>9</v>
      </c>
      <c r="C892" s="9">
        <v>1923</v>
      </c>
      <c r="D892" s="10">
        <v>45701</v>
      </c>
      <c r="E892" s="13" t="str">
        <f>+HYPERLINK("http://trademark.i-assist.jp/data/china/image_1923th/81836508.pdf","81836508")</f>
        <v>81836508</v>
      </c>
      <c r="F892" s="9" t="s">
        <v>2508</v>
      </c>
      <c r="G892" s="9" t="s">
        <v>2509</v>
      </c>
      <c r="H892" s="9" t="s">
        <v>2510</v>
      </c>
      <c r="I892" s="10">
        <v>45603</v>
      </c>
    </row>
    <row r="893" spans="1:9" x14ac:dyDescent="0.15">
      <c r="A893" s="9">
        <v>892</v>
      </c>
      <c r="B893" s="9" t="s">
        <v>9</v>
      </c>
      <c r="C893" s="9">
        <v>1923</v>
      </c>
      <c r="D893" s="10">
        <v>45701</v>
      </c>
      <c r="E893" s="13" t="str">
        <f>+HYPERLINK("http://trademark.i-assist.jp/data/china/image_1923th/81836788.pdf","81836788")</f>
        <v>81836788</v>
      </c>
      <c r="F893" s="9" t="s">
        <v>2511</v>
      </c>
      <c r="G893" s="9" t="s">
        <v>47</v>
      </c>
      <c r="H893" s="9" t="s">
        <v>2512</v>
      </c>
      <c r="I893" s="10">
        <v>45603</v>
      </c>
    </row>
    <row r="894" spans="1:9" x14ac:dyDescent="0.15">
      <c r="A894" s="9">
        <v>893</v>
      </c>
      <c r="B894" s="9" t="s">
        <v>9</v>
      </c>
      <c r="C894" s="9">
        <v>1923</v>
      </c>
      <c r="D894" s="10">
        <v>45701</v>
      </c>
      <c r="E894" s="13" t="str">
        <f>+HYPERLINK("http://trademark.i-assist.jp/data/china/image_1923th/81837097.pdf","81837097")</f>
        <v>81837097</v>
      </c>
      <c r="F894" s="9" t="s">
        <v>2513</v>
      </c>
      <c r="G894" s="9" t="s">
        <v>2514</v>
      </c>
      <c r="H894" s="9" t="s">
        <v>2515</v>
      </c>
      <c r="I894" s="10">
        <v>45603</v>
      </c>
    </row>
    <row r="895" spans="1:9" x14ac:dyDescent="0.15">
      <c r="A895" s="9">
        <v>894</v>
      </c>
      <c r="B895" s="9" t="s">
        <v>9</v>
      </c>
      <c r="C895" s="9">
        <v>1923</v>
      </c>
      <c r="D895" s="10">
        <v>45701</v>
      </c>
      <c r="E895" s="13" t="str">
        <f>+HYPERLINK("http://trademark.i-assist.jp/data/china/image_1923th/81837134.pdf","81837134")</f>
        <v>81837134</v>
      </c>
      <c r="F895" s="9" t="s">
        <v>2516</v>
      </c>
      <c r="G895" s="11" t="s">
        <v>2517</v>
      </c>
      <c r="H895" s="9" t="s">
        <v>2518</v>
      </c>
      <c r="I895" s="10">
        <v>45603</v>
      </c>
    </row>
    <row r="896" spans="1:9" x14ac:dyDescent="0.15">
      <c r="A896" s="9">
        <v>895</v>
      </c>
      <c r="B896" s="9" t="s">
        <v>9</v>
      </c>
      <c r="C896" s="9">
        <v>1923</v>
      </c>
      <c r="D896" s="10">
        <v>45701</v>
      </c>
      <c r="E896" s="13" t="str">
        <f>+HYPERLINK("http://trademark.i-assist.jp/data/china/image_1923th/81837247.pdf","81837247")</f>
        <v>81837247</v>
      </c>
      <c r="F896" s="9" t="s">
        <v>2519</v>
      </c>
      <c r="G896" s="11" t="s">
        <v>2520</v>
      </c>
      <c r="H896" s="9" t="s">
        <v>2521</v>
      </c>
      <c r="I896" s="10">
        <v>45603</v>
      </c>
    </row>
    <row r="897" spans="1:9" x14ac:dyDescent="0.15">
      <c r="A897" s="9">
        <v>896</v>
      </c>
      <c r="B897" s="9" t="s">
        <v>9</v>
      </c>
      <c r="C897" s="9">
        <v>1923</v>
      </c>
      <c r="D897" s="10">
        <v>45701</v>
      </c>
      <c r="E897" s="13" t="str">
        <f>+HYPERLINK("http://trademark.i-assist.jp/data/china/image_1923th/81837281.pdf","81837281")</f>
        <v>81837281</v>
      </c>
      <c r="F897" s="9" t="s">
        <v>2522</v>
      </c>
      <c r="G897" s="9" t="s">
        <v>2523</v>
      </c>
      <c r="H897" s="9" t="s">
        <v>2524</v>
      </c>
      <c r="I897" s="10">
        <v>45603</v>
      </c>
    </row>
    <row r="898" spans="1:9" x14ac:dyDescent="0.15">
      <c r="A898" s="9">
        <v>897</v>
      </c>
      <c r="B898" s="9" t="s">
        <v>9</v>
      </c>
      <c r="C898" s="9">
        <v>1923</v>
      </c>
      <c r="D898" s="10">
        <v>45701</v>
      </c>
      <c r="E898" s="13" t="str">
        <f>+HYPERLINK("http://trademark.i-assist.jp/data/china/image_1923th/81837502.pdf","81837502")</f>
        <v>81837502</v>
      </c>
      <c r="F898" s="9" t="s">
        <v>2525</v>
      </c>
      <c r="G898" s="9" t="s">
        <v>2336</v>
      </c>
      <c r="H898" s="9" t="s">
        <v>2526</v>
      </c>
      <c r="I898" s="10">
        <v>45603</v>
      </c>
    </row>
    <row r="899" spans="1:9" x14ac:dyDescent="0.15">
      <c r="A899" s="9">
        <v>898</v>
      </c>
      <c r="B899" s="9" t="s">
        <v>9</v>
      </c>
      <c r="C899" s="9">
        <v>1923</v>
      </c>
      <c r="D899" s="10">
        <v>45701</v>
      </c>
      <c r="E899" s="13" t="str">
        <f>+HYPERLINK("http://trademark.i-assist.jp/data/china/image_1923th/81837525.pdf","81837525")</f>
        <v>81837525</v>
      </c>
      <c r="F899" s="11" t="s">
        <v>2527</v>
      </c>
      <c r="G899" s="9" t="s">
        <v>2336</v>
      </c>
      <c r="H899" s="9" t="s">
        <v>2528</v>
      </c>
      <c r="I899" s="10">
        <v>45603</v>
      </c>
    </row>
    <row r="900" spans="1:9" x14ac:dyDescent="0.15">
      <c r="A900" s="9">
        <v>899</v>
      </c>
      <c r="B900" s="9" t="s">
        <v>9</v>
      </c>
      <c r="C900" s="9">
        <v>1923</v>
      </c>
      <c r="D900" s="10">
        <v>45701</v>
      </c>
      <c r="E900" s="13" t="str">
        <f>+HYPERLINK("http://trademark.i-assist.jp/data/china/image_1923th/81837528.pdf","81837528")</f>
        <v>81837528</v>
      </c>
      <c r="F900" s="9" t="s">
        <v>2529</v>
      </c>
      <c r="G900" s="9" t="s">
        <v>39</v>
      </c>
      <c r="H900" s="9" t="s">
        <v>2530</v>
      </c>
      <c r="I900" s="10">
        <v>45603</v>
      </c>
    </row>
    <row r="901" spans="1:9" x14ac:dyDescent="0.15">
      <c r="A901" s="9">
        <v>900</v>
      </c>
      <c r="B901" s="9" t="s">
        <v>9</v>
      </c>
      <c r="C901" s="9">
        <v>1923</v>
      </c>
      <c r="D901" s="10">
        <v>45701</v>
      </c>
      <c r="E901" s="13" t="str">
        <f>+HYPERLINK("http://trademark.i-assist.jp/data/china/image_1923th/81837548.pdf","81837548")</f>
        <v>81837548</v>
      </c>
      <c r="F901" s="11" t="s">
        <v>2531</v>
      </c>
      <c r="G901" s="9" t="s">
        <v>2336</v>
      </c>
      <c r="H901" s="9" t="s">
        <v>2532</v>
      </c>
      <c r="I901" s="10">
        <v>45603</v>
      </c>
    </row>
    <row r="902" spans="1:9" x14ac:dyDescent="0.15">
      <c r="A902" s="9">
        <v>901</v>
      </c>
      <c r="B902" s="9" t="s">
        <v>9</v>
      </c>
      <c r="C902" s="9">
        <v>1923</v>
      </c>
      <c r="D902" s="10">
        <v>45701</v>
      </c>
      <c r="E902" s="13" t="str">
        <f>+HYPERLINK("http://trademark.i-assist.jp/data/china/image_1923th/81837570.pdf","81837570")</f>
        <v>81837570</v>
      </c>
      <c r="F902" s="11" t="s">
        <v>2533</v>
      </c>
      <c r="G902" s="9" t="s">
        <v>2534</v>
      </c>
      <c r="H902" s="9" t="s">
        <v>2535</v>
      </c>
      <c r="I902" s="10">
        <v>45603</v>
      </c>
    </row>
    <row r="903" spans="1:9" x14ac:dyDescent="0.15">
      <c r="A903" s="9">
        <v>902</v>
      </c>
      <c r="B903" s="9" t="s">
        <v>9</v>
      </c>
      <c r="C903" s="9">
        <v>1923</v>
      </c>
      <c r="D903" s="10">
        <v>45701</v>
      </c>
      <c r="E903" s="13" t="str">
        <f>+HYPERLINK("http://trademark.i-assist.jp/data/china/image_1923th/81838340.pdf","81838340")</f>
        <v>81838340</v>
      </c>
      <c r="F903" s="9" t="s">
        <v>2536</v>
      </c>
      <c r="G903" s="11" t="s">
        <v>2537</v>
      </c>
      <c r="H903" s="9" t="s">
        <v>2538</v>
      </c>
      <c r="I903" s="10">
        <v>45603</v>
      </c>
    </row>
    <row r="904" spans="1:9" x14ac:dyDescent="0.15">
      <c r="A904" s="9">
        <v>903</v>
      </c>
      <c r="B904" s="9" t="s">
        <v>9</v>
      </c>
      <c r="C904" s="9">
        <v>1923</v>
      </c>
      <c r="D904" s="10">
        <v>45701</v>
      </c>
      <c r="E904" s="13" t="str">
        <f>+HYPERLINK("http://trademark.i-assist.jp/data/china/image_1923th/81838672.pdf","81838672")</f>
        <v>81838672</v>
      </c>
      <c r="F904" s="9" t="s">
        <v>2539</v>
      </c>
      <c r="G904" s="12" t="s">
        <v>2540</v>
      </c>
      <c r="H904" s="11" t="s">
        <v>2541</v>
      </c>
      <c r="I904" s="10">
        <v>45603</v>
      </c>
    </row>
    <row r="905" spans="1:9" x14ac:dyDescent="0.15">
      <c r="A905" s="9">
        <v>904</v>
      </c>
      <c r="B905" s="9" t="s">
        <v>9</v>
      </c>
      <c r="C905" s="9">
        <v>1923</v>
      </c>
      <c r="D905" s="10">
        <v>45701</v>
      </c>
      <c r="E905" s="13" t="str">
        <f>+HYPERLINK("http://trademark.i-assist.jp/data/china/image_1923th/81838678.pdf","81838678")</f>
        <v>81838678</v>
      </c>
      <c r="F905" s="12" t="s">
        <v>2542</v>
      </c>
      <c r="G905" s="11" t="s">
        <v>820</v>
      </c>
      <c r="H905" s="11" t="s">
        <v>2543</v>
      </c>
      <c r="I905" s="10">
        <v>45603</v>
      </c>
    </row>
    <row r="906" spans="1:9" x14ac:dyDescent="0.15">
      <c r="A906" s="9">
        <v>905</v>
      </c>
      <c r="B906" s="9" t="s">
        <v>9</v>
      </c>
      <c r="C906" s="9">
        <v>1923</v>
      </c>
      <c r="D906" s="10">
        <v>45701</v>
      </c>
      <c r="E906" s="13" t="str">
        <f>+HYPERLINK("http://trademark.i-assist.jp/data/china/image_1923th/81838756.pdf","81838756")</f>
        <v>81838756</v>
      </c>
      <c r="F906" s="11" t="s">
        <v>2544</v>
      </c>
      <c r="G906" s="9" t="s">
        <v>2427</v>
      </c>
      <c r="H906" s="9" t="s">
        <v>2545</v>
      </c>
      <c r="I906" s="10">
        <v>45603</v>
      </c>
    </row>
    <row r="907" spans="1:9" x14ac:dyDescent="0.15">
      <c r="A907" s="9">
        <v>906</v>
      </c>
      <c r="B907" s="9" t="s">
        <v>9</v>
      </c>
      <c r="C907" s="9">
        <v>1923</v>
      </c>
      <c r="D907" s="10">
        <v>45701</v>
      </c>
      <c r="E907" s="13" t="str">
        <f>+HYPERLINK("http://trademark.i-assist.jp/data/china/image_1923th/81839003.pdf","81839003")</f>
        <v>81839003</v>
      </c>
      <c r="F907" s="9" t="s">
        <v>2546</v>
      </c>
      <c r="G907" s="9" t="s">
        <v>2547</v>
      </c>
      <c r="H907" s="9" t="s">
        <v>2548</v>
      </c>
      <c r="I907" s="10">
        <v>45603</v>
      </c>
    </row>
    <row r="908" spans="1:9" x14ac:dyDescent="0.15">
      <c r="A908" s="9">
        <v>907</v>
      </c>
      <c r="B908" s="9" t="s">
        <v>9</v>
      </c>
      <c r="C908" s="9">
        <v>1923</v>
      </c>
      <c r="D908" s="10">
        <v>45701</v>
      </c>
      <c r="E908" s="13" t="str">
        <f>+HYPERLINK("http://trademark.i-assist.jp/data/china/image_1923th/81839391.pdf","81839391")</f>
        <v>81839391</v>
      </c>
      <c r="F908" s="9" t="s">
        <v>2549</v>
      </c>
      <c r="G908" s="9" t="s">
        <v>2550</v>
      </c>
      <c r="H908" s="9" t="s">
        <v>2551</v>
      </c>
      <c r="I908" s="10">
        <v>45603</v>
      </c>
    </row>
    <row r="909" spans="1:9" x14ac:dyDescent="0.15">
      <c r="A909" s="9">
        <v>908</v>
      </c>
      <c r="B909" s="9" t="s">
        <v>9</v>
      </c>
      <c r="C909" s="9">
        <v>1923</v>
      </c>
      <c r="D909" s="10">
        <v>45701</v>
      </c>
      <c r="E909" s="13" t="str">
        <f>+HYPERLINK("http://trademark.i-assist.jp/data/china/image_1923th/81839964.pdf","81839964")</f>
        <v>81839964</v>
      </c>
      <c r="F909" s="9" t="s">
        <v>2513</v>
      </c>
      <c r="G909" s="9" t="s">
        <v>2514</v>
      </c>
      <c r="H909" s="9" t="s">
        <v>2552</v>
      </c>
      <c r="I909" s="10">
        <v>45603</v>
      </c>
    </row>
    <row r="910" spans="1:9" x14ac:dyDescent="0.15">
      <c r="A910" s="9">
        <v>909</v>
      </c>
      <c r="B910" s="9" t="s">
        <v>9</v>
      </c>
      <c r="C910" s="9">
        <v>1923</v>
      </c>
      <c r="D910" s="10">
        <v>45701</v>
      </c>
      <c r="E910" s="13" t="str">
        <f>+HYPERLINK("http://trademark.i-assist.jp/data/china/image_1923th/81840173.pdf","81840173")</f>
        <v>81840173</v>
      </c>
      <c r="F910" s="9" t="s">
        <v>2553</v>
      </c>
      <c r="G910" s="9" t="s">
        <v>2386</v>
      </c>
      <c r="H910" s="9" t="s">
        <v>2554</v>
      </c>
      <c r="I910" s="10">
        <v>45603</v>
      </c>
    </row>
    <row r="911" spans="1:9" x14ac:dyDescent="0.15">
      <c r="A911" s="9">
        <v>910</v>
      </c>
      <c r="B911" s="9" t="s">
        <v>9</v>
      </c>
      <c r="C911" s="9">
        <v>1923</v>
      </c>
      <c r="D911" s="10">
        <v>45701</v>
      </c>
      <c r="E911" s="13" t="str">
        <f>+HYPERLINK("http://trademark.i-assist.jp/data/china/image_1923th/81840550.pdf","81840550")</f>
        <v>81840550</v>
      </c>
      <c r="F911" s="9" t="s">
        <v>2555</v>
      </c>
      <c r="G911" s="9" t="s">
        <v>47</v>
      </c>
      <c r="H911" s="9" t="s">
        <v>2556</v>
      </c>
      <c r="I911" s="10">
        <v>45603</v>
      </c>
    </row>
    <row r="912" spans="1:9" x14ac:dyDescent="0.15">
      <c r="A912" s="9">
        <v>911</v>
      </c>
      <c r="B912" s="9" t="s">
        <v>9</v>
      </c>
      <c r="C912" s="9">
        <v>1923</v>
      </c>
      <c r="D912" s="10">
        <v>45701</v>
      </c>
      <c r="E912" s="13" t="str">
        <f>+HYPERLINK("http://trademark.i-assist.jp/data/china/image_1923th/81840606.pdf","81840606")</f>
        <v>81840606</v>
      </c>
      <c r="F912" s="11" t="s">
        <v>2557</v>
      </c>
      <c r="G912" s="9" t="s">
        <v>47</v>
      </c>
      <c r="H912" s="11" t="s">
        <v>2558</v>
      </c>
      <c r="I912" s="10">
        <v>45603</v>
      </c>
    </row>
    <row r="913" spans="1:9" x14ac:dyDescent="0.15">
      <c r="A913" s="9">
        <v>912</v>
      </c>
      <c r="B913" s="9" t="s">
        <v>9</v>
      </c>
      <c r="C913" s="9">
        <v>1923</v>
      </c>
      <c r="D913" s="10">
        <v>45701</v>
      </c>
      <c r="E913" s="13" t="str">
        <f>+HYPERLINK("http://trademark.i-assist.jp/data/china/image_1923th/81840807.pdf","81840807")</f>
        <v>81840807</v>
      </c>
      <c r="F913" s="11" t="s">
        <v>2559</v>
      </c>
      <c r="G913" s="9" t="s">
        <v>2560</v>
      </c>
      <c r="H913" s="9" t="s">
        <v>2561</v>
      </c>
      <c r="I913" s="10">
        <v>45603</v>
      </c>
    </row>
    <row r="914" spans="1:9" x14ac:dyDescent="0.15">
      <c r="A914" s="9">
        <v>913</v>
      </c>
      <c r="B914" s="9" t="s">
        <v>9</v>
      </c>
      <c r="C914" s="9">
        <v>1923</v>
      </c>
      <c r="D914" s="10">
        <v>45701</v>
      </c>
      <c r="E914" s="13" t="str">
        <f>+HYPERLINK("http://trademark.i-assist.jp/data/china/image_1923th/81840839.pdf","81840839")</f>
        <v>81840839</v>
      </c>
      <c r="F914" s="9" t="s">
        <v>2562</v>
      </c>
      <c r="G914" s="9" t="s">
        <v>2370</v>
      </c>
      <c r="H914" s="9" t="s">
        <v>2563</v>
      </c>
      <c r="I914" s="10">
        <v>45603</v>
      </c>
    </row>
    <row r="915" spans="1:9" x14ac:dyDescent="0.15">
      <c r="A915" s="9">
        <v>914</v>
      </c>
      <c r="B915" s="9" t="s">
        <v>9</v>
      </c>
      <c r="C915" s="9">
        <v>1923</v>
      </c>
      <c r="D915" s="10">
        <v>45701</v>
      </c>
      <c r="E915" s="13" t="str">
        <f>+HYPERLINK("http://trademark.i-assist.jp/data/china/image_1923th/81840931.pdf","81840931")</f>
        <v>81840931</v>
      </c>
      <c r="F915" s="9" t="s">
        <v>2564</v>
      </c>
      <c r="G915" s="11" t="s">
        <v>2476</v>
      </c>
      <c r="H915" s="9" t="s">
        <v>2565</v>
      </c>
      <c r="I915" s="10">
        <v>45603</v>
      </c>
    </row>
    <row r="916" spans="1:9" x14ac:dyDescent="0.15">
      <c r="A916" s="9">
        <v>915</v>
      </c>
      <c r="B916" s="9" t="s">
        <v>9</v>
      </c>
      <c r="C916" s="9">
        <v>1923</v>
      </c>
      <c r="D916" s="10">
        <v>45701</v>
      </c>
      <c r="E916" s="13" t="str">
        <f>+HYPERLINK("http://trademark.i-assist.jp/data/china/image_1923th/81841489.pdf","81841489")</f>
        <v>81841489</v>
      </c>
      <c r="F916" s="9" t="s">
        <v>2566</v>
      </c>
      <c r="G916" s="9" t="s">
        <v>2567</v>
      </c>
      <c r="H916" s="11" t="s">
        <v>2568</v>
      </c>
      <c r="I916" s="10">
        <v>45604</v>
      </c>
    </row>
    <row r="917" spans="1:9" x14ac:dyDescent="0.15">
      <c r="A917" s="9">
        <v>916</v>
      </c>
      <c r="B917" s="9" t="s">
        <v>9</v>
      </c>
      <c r="C917" s="9">
        <v>1923</v>
      </c>
      <c r="D917" s="10">
        <v>45701</v>
      </c>
      <c r="E917" s="13" t="str">
        <f>+HYPERLINK("http://trademark.i-assist.jp/data/china/image_1923th/81841645.pdf","81841645")</f>
        <v>81841645</v>
      </c>
      <c r="F917" s="9" t="s">
        <v>2569</v>
      </c>
      <c r="G917" s="9" t="s">
        <v>2570</v>
      </c>
      <c r="H917" s="11" t="s">
        <v>2571</v>
      </c>
      <c r="I917" s="10">
        <v>45604</v>
      </c>
    </row>
    <row r="918" spans="1:9" x14ac:dyDescent="0.15">
      <c r="A918" s="9">
        <v>917</v>
      </c>
      <c r="B918" s="9" t="s">
        <v>9</v>
      </c>
      <c r="C918" s="9">
        <v>1923</v>
      </c>
      <c r="D918" s="10">
        <v>45701</v>
      </c>
      <c r="E918" s="13" t="str">
        <f>+HYPERLINK("http://trademark.i-assist.jp/data/china/image_1923th/81841786.pdf","81841786")</f>
        <v>81841786</v>
      </c>
      <c r="F918" s="9" t="s">
        <v>2572</v>
      </c>
      <c r="G918" s="9" t="s">
        <v>2570</v>
      </c>
      <c r="H918" s="9" t="s">
        <v>2573</v>
      </c>
      <c r="I918" s="10">
        <v>45604</v>
      </c>
    </row>
    <row r="919" spans="1:9" x14ac:dyDescent="0.15">
      <c r="A919" s="9">
        <v>918</v>
      </c>
      <c r="B919" s="9" t="s">
        <v>9</v>
      </c>
      <c r="C919" s="9">
        <v>1923</v>
      </c>
      <c r="D919" s="10">
        <v>45701</v>
      </c>
      <c r="E919" s="13" t="str">
        <f>+HYPERLINK("http://trademark.i-assist.jp/data/china/image_1923th/81842086.pdf","81842086")</f>
        <v>81842086</v>
      </c>
      <c r="F919" s="9" t="s">
        <v>2574</v>
      </c>
      <c r="G919" s="9" t="s">
        <v>46</v>
      </c>
      <c r="H919" s="9" t="s">
        <v>2575</v>
      </c>
      <c r="I919" s="10">
        <v>45604</v>
      </c>
    </row>
    <row r="920" spans="1:9" x14ac:dyDescent="0.15">
      <c r="A920" s="9">
        <v>919</v>
      </c>
      <c r="B920" s="9" t="s">
        <v>9</v>
      </c>
      <c r="C920" s="9">
        <v>1923</v>
      </c>
      <c r="D920" s="10">
        <v>45701</v>
      </c>
      <c r="E920" s="13" t="str">
        <f>+HYPERLINK("http://trademark.i-assist.jp/data/china/image_1923th/81842230.pdf","81842230")</f>
        <v>81842230</v>
      </c>
      <c r="F920" s="9" t="s">
        <v>2576</v>
      </c>
      <c r="G920" s="9" t="s">
        <v>2577</v>
      </c>
      <c r="H920" s="9" t="s">
        <v>2578</v>
      </c>
      <c r="I920" s="10">
        <v>45604</v>
      </c>
    </row>
    <row r="921" spans="1:9" x14ac:dyDescent="0.15">
      <c r="A921" s="9">
        <v>920</v>
      </c>
      <c r="B921" s="9" t="s">
        <v>9</v>
      </c>
      <c r="C921" s="9">
        <v>1923</v>
      </c>
      <c r="D921" s="10">
        <v>45701</v>
      </c>
      <c r="E921" s="13" t="str">
        <f>+HYPERLINK("http://trademark.i-assist.jp/data/china/image_1923th/81842484.pdf","81842484")</f>
        <v>81842484</v>
      </c>
      <c r="F921" s="9" t="s">
        <v>2579</v>
      </c>
      <c r="G921" s="11" t="s">
        <v>2580</v>
      </c>
      <c r="H921" s="9" t="s">
        <v>2581</v>
      </c>
      <c r="I921" s="10">
        <v>45604</v>
      </c>
    </row>
    <row r="922" spans="1:9" x14ac:dyDescent="0.15">
      <c r="A922" s="9">
        <v>921</v>
      </c>
      <c r="B922" s="9" t="s">
        <v>9</v>
      </c>
      <c r="C922" s="9">
        <v>1923</v>
      </c>
      <c r="D922" s="10">
        <v>45701</v>
      </c>
      <c r="E922" s="13" t="str">
        <f>+HYPERLINK("http://trademark.i-assist.jp/data/china/image_1923th/81842604.pdf","81842604")</f>
        <v>81842604</v>
      </c>
      <c r="F922" s="9" t="s">
        <v>2582</v>
      </c>
      <c r="G922" s="11" t="s">
        <v>2583</v>
      </c>
      <c r="H922" s="9" t="s">
        <v>2584</v>
      </c>
      <c r="I922" s="10">
        <v>45604</v>
      </c>
    </row>
    <row r="923" spans="1:9" x14ac:dyDescent="0.15">
      <c r="A923" s="9">
        <v>922</v>
      </c>
      <c r="B923" s="9" t="s">
        <v>9</v>
      </c>
      <c r="C923" s="9">
        <v>1923</v>
      </c>
      <c r="D923" s="10">
        <v>45701</v>
      </c>
      <c r="E923" s="13" t="str">
        <f>+HYPERLINK("http://trademark.i-assist.jp/data/china/image_1923th/81842736.pdf","81842736")</f>
        <v>81842736</v>
      </c>
      <c r="F923" s="9" t="s">
        <v>2585</v>
      </c>
      <c r="G923" s="9" t="s">
        <v>2586</v>
      </c>
      <c r="H923" s="9" t="s">
        <v>2587</v>
      </c>
      <c r="I923" s="10">
        <v>45604</v>
      </c>
    </row>
    <row r="924" spans="1:9" x14ac:dyDescent="0.15">
      <c r="A924" s="9">
        <v>923</v>
      </c>
      <c r="B924" s="9" t="s">
        <v>9</v>
      </c>
      <c r="C924" s="9">
        <v>1923</v>
      </c>
      <c r="D924" s="10">
        <v>45701</v>
      </c>
      <c r="E924" s="13" t="str">
        <f>+HYPERLINK("http://trademark.i-assist.jp/data/china/image_1923th/81843066.pdf","81843066")</f>
        <v>81843066</v>
      </c>
      <c r="F924" s="9" t="s">
        <v>2588</v>
      </c>
      <c r="G924" s="9" t="s">
        <v>2589</v>
      </c>
      <c r="H924" s="9" t="s">
        <v>2590</v>
      </c>
      <c r="I924" s="10">
        <v>45604</v>
      </c>
    </row>
    <row r="925" spans="1:9" x14ac:dyDescent="0.15">
      <c r="A925" s="9">
        <v>924</v>
      </c>
      <c r="B925" s="9" t="s">
        <v>9</v>
      </c>
      <c r="C925" s="9">
        <v>1923</v>
      </c>
      <c r="D925" s="10">
        <v>45701</v>
      </c>
      <c r="E925" s="13" t="str">
        <f>+HYPERLINK("http://trademark.i-assist.jp/data/china/image_1923th/81843366.pdf","81843366")</f>
        <v>81843366</v>
      </c>
      <c r="F925" s="9" t="s">
        <v>2591</v>
      </c>
      <c r="G925" s="9" t="s">
        <v>2592</v>
      </c>
      <c r="H925" s="9" t="s">
        <v>2593</v>
      </c>
      <c r="I925" s="10">
        <v>45604</v>
      </c>
    </row>
    <row r="926" spans="1:9" x14ac:dyDescent="0.15">
      <c r="A926" s="9">
        <v>925</v>
      </c>
      <c r="B926" s="9" t="s">
        <v>9</v>
      </c>
      <c r="C926" s="9">
        <v>1923</v>
      </c>
      <c r="D926" s="10">
        <v>45701</v>
      </c>
      <c r="E926" s="13" t="str">
        <f>+HYPERLINK("http://trademark.i-assist.jp/data/china/image_1923th/81844394.pdf","81844394")</f>
        <v>81844394</v>
      </c>
      <c r="F926" s="9" t="s">
        <v>2594</v>
      </c>
      <c r="G926" s="9" t="s">
        <v>2595</v>
      </c>
      <c r="H926" s="9" t="s">
        <v>2596</v>
      </c>
      <c r="I926" s="10">
        <v>45604</v>
      </c>
    </row>
    <row r="927" spans="1:9" x14ac:dyDescent="0.15">
      <c r="A927" s="9">
        <v>926</v>
      </c>
      <c r="B927" s="9" t="s">
        <v>9</v>
      </c>
      <c r="C927" s="9">
        <v>1923</v>
      </c>
      <c r="D927" s="10">
        <v>45701</v>
      </c>
      <c r="E927" s="13" t="str">
        <f>+HYPERLINK("http://trademark.i-assist.jp/data/china/image_1923th/81844411.pdf","81844411")</f>
        <v>81844411</v>
      </c>
      <c r="F927" s="9" t="s">
        <v>2597</v>
      </c>
      <c r="G927" s="11" t="s">
        <v>2598</v>
      </c>
      <c r="H927" s="9" t="s">
        <v>2599</v>
      </c>
      <c r="I927" s="10">
        <v>45604</v>
      </c>
    </row>
    <row r="928" spans="1:9" x14ac:dyDescent="0.15">
      <c r="A928" s="9">
        <v>927</v>
      </c>
      <c r="B928" s="9" t="s">
        <v>9</v>
      </c>
      <c r="C928" s="9">
        <v>1923</v>
      </c>
      <c r="D928" s="10">
        <v>45701</v>
      </c>
      <c r="E928" s="13" t="str">
        <f>+HYPERLINK("http://trademark.i-assist.jp/data/china/image_1923th/81844557.pdf","81844557")</f>
        <v>81844557</v>
      </c>
      <c r="F928" s="11" t="s">
        <v>126</v>
      </c>
      <c r="G928" s="9" t="s">
        <v>2600</v>
      </c>
      <c r="H928" s="9" t="s">
        <v>2601</v>
      </c>
      <c r="I928" s="10">
        <v>45604</v>
      </c>
    </row>
    <row r="929" spans="1:9" x14ac:dyDescent="0.15">
      <c r="A929" s="9">
        <v>928</v>
      </c>
      <c r="B929" s="9" t="s">
        <v>9</v>
      </c>
      <c r="C929" s="9">
        <v>1923</v>
      </c>
      <c r="D929" s="10">
        <v>45701</v>
      </c>
      <c r="E929" s="13" t="str">
        <f>+HYPERLINK("http://trademark.i-assist.jp/data/china/image_1923th/81844772.pdf","81844772")</f>
        <v>81844772</v>
      </c>
      <c r="F929" s="11" t="s">
        <v>2602</v>
      </c>
      <c r="G929" s="9" t="s">
        <v>2603</v>
      </c>
      <c r="H929" s="9" t="s">
        <v>2604</v>
      </c>
      <c r="I929" s="10">
        <v>45604</v>
      </c>
    </row>
    <row r="930" spans="1:9" x14ac:dyDescent="0.15">
      <c r="A930" s="9">
        <v>929</v>
      </c>
      <c r="B930" s="9" t="s">
        <v>9</v>
      </c>
      <c r="C930" s="9">
        <v>1923</v>
      </c>
      <c r="D930" s="10">
        <v>45701</v>
      </c>
      <c r="E930" s="13" t="str">
        <f>+HYPERLINK("http://trademark.i-assist.jp/data/china/image_1923th/81844827.pdf","81844827")</f>
        <v>81844827</v>
      </c>
      <c r="F930" s="11" t="s">
        <v>126</v>
      </c>
      <c r="G930" s="11" t="s">
        <v>2605</v>
      </c>
      <c r="H930" s="9" t="s">
        <v>2606</v>
      </c>
      <c r="I930" s="10">
        <v>45604</v>
      </c>
    </row>
    <row r="931" spans="1:9" x14ac:dyDescent="0.15">
      <c r="A931" s="9">
        <v>930</v>
      </c>
      <c r="B931" s="9" t="s">
        <v>9</v>
      </c>
      <c r="C931" s="9">
        <v>1923</v>
      </c>
      <c r="D931" s="10">
        <v>45701</v>
      </c>
      <c r="E931" s="13" t="str">
        <f>+HYPERLINK("http://trademark.i-assist.jp/data/china/image_1923th/81845033.pdf","81845033")</f>
        <v>81845033</v>
      </c>
      <c r="F931" s="11" t="s">
        <v>2607</v>
      </c>
      <c r="G931" s="9" t="s">
        <v>2608</v>
      </c>
      <c r="H931" s="9" t="s">
        <v>2609</v>
      </c>
      <c r="I931" s="10">
        <v>45604</v>
      </c>
    </row>
    <row r="932" spans="1:9" x14ac:dyDescent="0.15">
      <c r="A932" s="9">
        <v>931</v>
      </c>
      <c r="B932" s="9" t="s">
        <v>9</v>
      </c>
      <c r="C932" s="9">
        <v>1923</v>
      </c>
      <c r="D932" s="10">
        <v>45701</v>
      </c>
      <c r="E932" s="13" t="str">
        <f>+HYPERLINK("http://trademark.i-assist.jp/data/china/image_1923th/81845282.pdf","81845282")</f>
        <v>81845282</v>
      </c>
      <c r="F932" s="9" t="s">
        <v>2610</v>
      </c>
      <c r="G932" s="9" t="s">
        <v>2611</v>
      </c>
      <c r="H932" s="11" t="s">
        <v>2612</v>
      </c>
      <c r="I932" s="10">
        <v>45604</v>
      </c>
    </row>
    <row r="933" spans="1:9" x14ac:dyDescent="0.15">
      <c r="A933" s="9">
        <v>932</v>
      </c>
      <c r="B933" s="9" t="s">
        <v>9</v>
      </c>
      <c r="C933" s="9">
        <v>1923</v>
      </c>
      <c r="D933" s="10">
        <v>45701</v>
      </c>
      <c r="E933" s="13" t="str">
        <f>+HYPERLINK("http://trademark.i-assist.jp/data/china/image_1923th/81845317.pdf","81845317")</f>
        <v>81845317</v>
      </c>
      <c r="F933" s="9" t="s">
        <v>2613</v>
      </c>
      <c r="G933" s="9" t="s">
        <v>2614</v>
      </c>
      <c r="H933" s="9" t="s">
        <v>2615</v>
      </c>
      <c r="I933" s="10">
        <v>45604</v>
      </c>
    </row>
    <row r="934" spans="1:9" x14ac:dyDescent="0.15">
      <c r="A934" s="9">
        <v>933</v>
      </c>
      <c r="B934" s="9" t="s">
        <v>9</v>
      </c>
      <c r="C934" s="9">
        <v>1923</v>
      </c>
      <c r="D934" s="10">
        <v>45701</v>
      </c>
      <c r="E934" s="13" t="str">
        <f>+HYPERLINK("http://trademark.i-assist.jp/data/china/image_1923th/81845784.pdf","81845784")</f>
        <v>81845784</v>
      </c>
      <c r="F934" s="9" t="s">
        <v>2616</v>
      </c>
      <c r="G934" s="9" t="s">
        <v>2617</v>
      </c>
      <c r="H934" s="9" t="s">
        <v>2618</v>
      </c>
      <c r="I934" s="10">
        <v>45604</v>
      </c>
    </row>
    <row r="935" spans="1:9" x14ac:dyDescent="0.15">
      <c r="A935" s="9">
        <v>934</v>
      </c>
      <c r="B935" s="9" t="s">
        <v>9</v>
      </c>
      <c r="C935" s="9">
        <v>1923</v>
      </c>
      <c r="D935" s="10">
        <v>45701</v>
      </c>
      <c r="E935" s="13" t="str">
        <f>+HYPERLINK("http://trademark.i-assist.jp/data/china/image_1923th/81845885.pdf","81845885")</f>
        <v>81845885</v>
      </c>
      <c r="F935" s="9" t="s">
        <v>2619</v>
      </c>
      <c r="G935" s="9" t="s">
        <v>2620</v>
      </c>
      <c r="H935" s="9" t="s">
        <v>2621</v>
      </c>
      <c r="I935" s="10">
        <v>45604</v>
      </c>
    </row>
    <row r="936" spans="1:9" x14ac:dyDescent="0.15">
      <c r="A936" s="9">
        <v>935</v>
      </c>
      <c r="B936" s="9" t="s">
        <v>9</v>
      </c>
      <c r="C936" s="9">
        <v>1923</v>
      </c>
      <c r="D936" s="10">
        <v>45701</v>
      </c>
      <c r="E936" s="13" t="str">
        <f>+HYPERLINK("http://trademark.i-assist.jp/data/china/image_1923th/81845928.pdf","81845928")</f>
        <v>81845928</v>
      </c>
      <c r="F936" s="11" t="s">
        <v>2622</v>
      </c>
      <c r="G936" s="9" t="s">
        <v>2623</v>
      </c>
      <c r="H936" s="9" t="s">
        <v>2624</v>
      </c>
      <c r="I936" s="10">
        <v>45604</v>
      </c>
    </row>
    <row r="937" spans="1:9" x14ac:dyDescent="0.15">
      <c r="A937" s="9">
        <v>936</v>
      </c>
      <c r="B937" s="9" t="s">
        <v>9</v>
      </c>
      <c r="C937" s="9">
        <v>1923</v>
      </c>
      <c r="D937" s="10">
        <v>45701</v>
      </c>
      <c r="E937" s="13" t="str">
        <f>+HYPERLINK("http://trademark.i-assist.jp/data/china/image_1923th/81846013.pdf","81846013")</f>
        <v>81846013</v>
      </c>
      <c r="F937" s="9" t="s">
        <v>2625</v>
      </c>
      <c r="G937" s="9" t="s">
        <v>2626</v>
      </c>
      <c r="H937" s="9" t="s">
        <v>2627</v>
      </c>
      <c r="I937" s="10">
        <v>45604</v>
      </c>
    </row>
    <row r="938" spans="1:9" x14ac:dyDescent="0.15">
      <c r="A938" s="9">
        <v>937</v>
      </c>
      <c r="B938" s="9" t="s">
        <v>9</v>
      </c>
      <c r="C938" s="9">
        <v>1923</v>
      </c>
      <c r="D938" s="10">
        <v>45701</v>
      </c>
      <c r="E938" s="13" t="str">
        <f>+HYPERLINK("http://trademark.i-assist.jp/data/china/image_1923th/81846023.pdf","81846023")</f>
        <v>81846023</v>
      </c>
      <c r="F938" s="9" t="s">
        <v>2628</v>
      </c>
      <c r="G938" s="9" t="s">
        <v>2629</v>
      </c>
      <c r="H938" s="9" t="s">
        <v>2630</v>
      </c>
      <c r="I938" s="10">
        <v>45604</v>
      </c>
    </row>
    <row r="939" spans="1:9" x14ac:dyDescent="0.15">
      <c r="A939" s="9">
        <v>938</v>
      </c>
      <c r="B939" s="9" t="s">
        <v>9</v>
      </c>
      <c r="C939" s="9">
        <v>1923</v>
      </c>
      <c r="D939" s="10">
        <v>45701</v>
      </c>
      <c r="E939" s="13" t="str">
        <f>+HYPERLINK("http://trademark.i-assist.jp/data/china/image_1923th/81846079.pdf","81846079")</f>
        <v>81846079</v>
      </c>
      <c r="F939" s="9" t="s">
        <v>2631</v>
      </c>
      <c r="G939" s="9" t="s">
        <v>2632</v>
      </c>
      <c r="H939" s="9" t="s">
        <v>2633</v>
      </c>
      <c r="I939" s="10">
        <v>45604</v>
      </c>
    </row>
    <row r="940" spans="1:9" x14ac:dyDescent="0.15">
      <c r="A940" s="9">
        <v>939</v>
      </c>
      <c r="B940" s="9" t="s">
        <v>9</v>
      </c>
      <c r="C940" s="9">
        <v>1923</v>
      </c>
      <c r="D940" s="10">
        <v>45701</v>
      </c>
      <c r="E940" s="13" t="str">
        <f>+HYPERLINK("http://trademark.i-assist.jp/data/china/image_1923th/81846099.pdf","81846099")</f>
        <v>81846099</v>
      </c>
      <c r="F940" s="11" t="s">
        <v>126</v>
      </c>
      <c r="G940" s="11" t="s">
        <v>2634</v>
      </c>
      <c r="H940" s="9" t="s">
        <v>2635</v>
      </c>
      <c r="I940" s="10">
        <v>45604</v>
      </c>
    </row>
    <row r="941" spans="1:9" x14ac:dyDescent="0.15">
      <c r="A941" s="9">
        <v>940</v>
      </c>
      <c r="B941" s="9" t="s">
        <v>9</v>
      </c>
      <c r="C941" s="9">
        <v>1923</v>
      </c>
      <c r="D941" s="10">
        <v>45701</v>
      </c>
      <c r="E941" s="13" t="str">
        <f>+HYPERLINK("http://trademark.i-assist.jp/data/china/image_1923th/81846648.pdf","81846648")</f>
        <v>81846648</v>
      </c>
      <c r="F941" s="9" t="s">
        <v>2636</v>
      </c>
      <c r="G941" s="9" t="s">
        <v>2637</v>
      </c>
      <c r="H941" s="11" t="s">
        <v>2638</v>
      </c>
      <c r="I941" s="10">
        <v>45604</v>
      </c>
    </row>
    <row r="942" spans="1:9" x14ac:dyDescent="0.15">
      <c r="A942" s="9">
        <v>941</v>
      </c>
      <c r="B942" s="9" t="s">
        <v>9</v>
      </c>
      <c r="C942" s="9">
        <v>1923</v>
      </c>
      <c r="D942" s="10">
        <v>45701</v>
      </c>
      <c r="E942" s="13" t="str">
        <f>+HYPERLINK("http://trademark.i-assist.jp/data/china/image_1923th/81847023.pdf","81847023")</f>
        <v>81847023</v>
      </c>
      <c r="F942" s="11" t="s">
        <v>2639</v>
      </c>
      <c r="G942" s="11" t="s">
        <v>2640</v>
      </c>
      <c r="H942" s="9" t="s">
        <v>2641</v>
      </c>
      <c r="I942" s="10">
        <v>45604</v>
      </c>
    </row>
    <row r="943" spans="1:9" x14ac:dyDescent="0.15">
      <c r="A943" s="9">
        <v>942</v>
      </c>
      <c r="B943" s="9" t="s">
        <v>9</v>
      </c>
      <c r="C943" s="9">
        <v>1923</v>
      </c>
      <c r="D943" s="10">
        <v>45701</v>
      </c>
      <c r="E943" s="13" t="str">
        <f>+HYPERLINK("http://trademark.i-assist.jp/data/china/image_1923th/81847401.pdf","81847401")</f>
        <v>81847401</v>
      </c>
      <c r="F943" s="9" t="s">
        <v>2642</v>
      </c>
      <c r="G943" s="9" t="s">
        <v>2643</v>
      </c>
      <c r="H943" s="9" t="s">
        <v>2644</v>
      </c>
      <c r="I943" s="10">
        <v>45604</v>
      </c>
    </row>
    <row r="944" spans="1:9" x14ac:dyDescent="0.15">
      <c r="A944" s="9">
        <v>943</v>
      </c>
      <c r="B944" s="9" t="s">
        <v>9</v>
      </c>
      <c r="C944" s="9">
        <v>1923</v>
      </c>
      <c r="D944" s="10">
        <v>45701</v>
      </c>
      <c r="E944" s="13" t="str">
        <f>+HYPERLINK("http://trademark.i-assist.jp/data/china/image_1923th/81847415.pdf","81847415")</f>
        <v>81847415</v>
      </c>
      <c r="F944" s="9" t="s">
        <v>2645</v>
      </c>
      <c r="G944" s="9" t="s">
        <v>2643</v>
      </c>
      <c r="H944" s="11" t="s">
        <v>2646</v>
      </c>
      <c r="I944" s="10">
        <v>45604</v>
      </c>
    </row>
    <row r="945" spans="1:9" x14ac:dyDescent="0.15">
      <c r="A945" s="9">
        <v>944</v>
      </c>
      <c r="B945" s="9" t="s">
        <v>9</v>
      </c>
      <c r="C945" s="9">
        <v>1923</v>
      </c>
      <c r="D945" s="10">
        <v>45701</v>
      </c>
      <c r="E945" s="13" t="str">
        <f>+HYPERLINK("http://trademark.i-assist.jp/data/china/image_1923th/81847440.pdf","81847440")</f>
        <v>81847440</v>
      </c>
      <c r="F945" s="9" t="s">
        <v>2647</v>
      </c>
      <c r="G945" s="11" t="s">
        <v>2648</v>
      </c>
      <c r="H945" s="9" t="s">
        <v>2649</v>
      </c>
      <c r="I945" s="10">
        <v>45604</v>
      </c>
    </row>
    <row r="946" spans="1:9" x14ac:dyDescent="0.15">
      <c r="A946" s="9">
        <v>945</v>
      </c>
      <c r="B946" s="9" t="s">
        <v>9</v>
      </c>
      <c r="C946" s="9">
        <v>1923</v>
      </c>
      <c r="D946" s="10">
        <v>45701</v>
      </c>
      <c r="E946" s="13" t="str">
        <f>+HYPERLINK("http://trademark.i-assist.jp/data/china/image_1923th/81847456.pdf","81847456")</f>
        <v>81847456</v>
      </c>
      <c r="F946" s="11" t="s">
        <v>2650</v>
      </c>
      <c r="G946" s="9" t="s">
        <v>2651</v>
      </c>
      <c r="H946" s="9" t="s">
        <v>2652</v>
      </c>
      <c r="I946" s="10">
        <v>45604</v>
      </c>
    </row>
    <row r="947" spans="1:9" x14ac:dyDescent="0.15">
      <c r="A947" s="9">
        <v>946</v>
      </c>
      <c r="B947" s="9" t="s">
        <v>9</v>
      </c>
      <c r="C947" s="9">
        <v>1923</v>
      </c>
      <c r="D947" s="10">
        <v>45701</v>
      </c>
      <c r="E947" s="13" t="str">
        <f>+HYPERLINK("http://trademark.i-assist.jp/data/china/image_1923th/81847826.pdf","81847826")</f>
        <v>81847826</v>
      </c>
      <c r="F947" s="11" t="s">
        <v>2653</v>
      </c>
      <c r="G947" s="11" t="s">
        <v>2654</v>
      </c>
      <c r="H947" s="9" t="s">
        <v>2655</v>
      </c>
      <c r="I947" s="10">
        <v>45604</v>
      </c>
    </row>
    <row r="948" spans="1:9" x14ac:dyDescent="0.15">
      <c r="A948" s="9">
        <v>947</v>
      </c>
      <c r="B948" s="9" t="s">
        <v>9</v>
      </c>
      <c r="C948" s="9">
        <v>1923</v>
      </c>
      <c r="D948" s="10">
        <v>45701</v>
      </c>
      <c r="E948" s="13" t="str">
        <f>+HYPERLINK("http://trademark.i-assist.jp/data/china/image_1923th/81847873.pdf","81847873")</f>
        <v>81847873</v>
      </c>
      <c r="F948" s="9" t="s">
        <v>2656</v>
      </c>
      <c r="G948" s="9" t="s">
        <v>2657</v>
      </c>
      <c r="H948" s="9" t="s">
        <v>2658</v>
      </c>
      <c r="I948" s="10">
        <v>45604</v>
      </c>
    </row>
    <row r="949" spans="1:9" x14ac:dyDescent="0.15">
      <c r="A949" s="9">
        <v>948</v>
      </c>
      <c r="B949" s="9" t="s">
        <v>9</v>
      </c>
      <c r="C949" s="9">
        <v>1923</v>
      </c>
      <c r="D949" s="10">
        <v>45701</v>
      </c>
      <c r="E949" s="13" t="str">
        <f>+HYPERLINK("http://trademark.i-assist.jp/data/china/image_1923th/81847934.pdf","81847934")</f>
        <v>81847934</v>
      </c>
      <c r="F949" s="9" t="s">
        <v>2659</v>
      </c>
      <c r="G949" s="11" t="s">
        <v>2660</v>
      </c>
      <c r="H949" s="9" t="s">
        <v>2661</v>
      </c>
      <c r="I949" s="10">
        <v>45604</v>
      </c>
    </row>
    <row r="950" spans="1:9" x14ac:dyDescent="0.15">
      <c r="A950" s="9">
        <v>949</v>
      </c>
      <c r="B950" s="9" t="s">
        <v>9</v>
      </c>
      <c r="C950" s="9">
        <v>1923</v>
      </c>
      <c r="D950" s="10">
        <v>45701</v>
      </c>
      <c r="E950" s="13" t="str">
        <f>+HYPERLINK("http://trademark.i-assist.jp/data/china/image_1923th/81847949.pdf","81847949")</f>
        <v>81847949</v>
      </c>
      <c r="F950" s="9" t="s">
        <v>2662</v>
      </c>
      <c r="G950" s="9" t="s">
        <v>2663</v>
      </c>
      <c r="H950" s="9" t="s">
        <v>2664</v>
      </c>
      <c r="I950" s="10">
        <v>45604</v>
      </c>
    </row>
    <row r="951" spans="1:9" x14ac:dyDescent="0.15">
      <c r="A951" s="9">
        <v>950</v>
      </c>
      <c r="B951" s="9" t="s">
        <v>9</v>
      </c>
      <c r="C951" s="9">
        <v>1923</v>
      </c>
      <c r="D951" s="10">
        <v>45701</v>
      </c>
      <c r="E951" s="13" t="str">
        <f>+HYPERLINK("http://trademark.i-assist.jp/data/china/image_1923th/81848336.pdf","81848336")</f>
        <v>81848336</v>
      </c>
      <c r="F951" s="9" t="s">
        <v>2665</v>
      </c>
      <c r="G951" s="9" t="s">
        <v>2666</v>
      </c>
      <c r="H951" s="11" t="s">
        <v>2667</v>
      </c>
      <c r="I951" s="10">
        <v>45604</v>
      </c>
    </row>
    <row r="952" spans="1:9" x14ac:dyDescent="0.15">
      <c r="A952" s="9">
        <v>951</v>
      </c>
      <c r="B952" s="9" t="s">
        <v>9</v>
      </c>
      <c r="C952" s="9">
        <v>1923</v>
      </c>
      <c r="D952" s="10">
        <v>45701</v>
      </c>
      <c r="E952" s="13" t="str">
        <f>+HYPERLINK("http://trademark.i-assist.jp/data/china/image_1923th/81848444.pdf","81848444")</f>
        <v>81848444</v>
      </c>
      <c r="F952" s="9" t="s">
        <v>2668</v>
      </c>
      <c r="G952" s="9" t="s">
        <v>2669</v>
      </c>
      <c r="H952" s="9" t="s">
        <v>2670</v>
      </c>
      <c r="I952" s="10">
        <v>45604</v>
      </c>
    </row>
    <row r="953" spans="1:9" x14ac:dyDescent="0.15">
      <c r="A953" s="9">
        <v>952</v>
      </c>
      <c r="B953" s="9" t="s">
        <v>9</v>
      </c>
      <c r="C953" s="9">
        <v>1923</v>
      </c>
      <c r="D953" s="10">
        <v>45701</v>
      </c>
      <c r="E953" s="13" t="str">
        <f>+HYPERLINK("http://trademark.i-assist.jp/data/china/image_1923th/81848446.pdf","81848446")</f>
        <v>81848446</v>
      </c>
      <c r="F953" s="9" t="s">
        <v>2671</v>
      </c>
      <c r="G953" s="11" t="s">
        <v>2672</v>
      </c>
      <c r="H953" s="9" t="s">
        <v>2673</v>
      </c>
      <c r="I953" s="10">
        <v>45604</v>
      </c>
    </row>
    <row r="954" spans="1:9" x14ac:dyDescent="0.15">
      <c r="A954" s="9">
        <v>953</v>
      </c>
      <c r="B954" s="9" t="s">
        <v>9</v>
      </c>
      <c r="C954" s="9">
        <v>1923</v>
      </c>
      <c r="D954" s="10">
        <v>45701</v>
      </c>
      <c r="E954" s="13" t="str">
        <f>+HYPERLINK("http://trademark.i-assist.jp/data/china/image_1923th/81848558.pdf","81848558")</f>
        <v>81848558</v>
      </c>
      <c r="F954" s="9" t="s">
        <v>2674</v>
      </c>
      <c r="G954" s="11" t="s">
        <v>2675</v>
      </c>
      <c r="H954" s="11" t="s">
        <v>2676</v>
      </c>
      <c r="I954" s="10">
        <v>45604</v>
      </c>
    </row>
    <row r="955" spans="1:9" x14ac:dyDescent="0.15">
      <c r="A955" s="9">
        <v>954</v>
      </c>
      <c r="B955" s="9" t="s">
        <v>9</v>
      </c>
      <c r="C955" s="9">
        <v>1923</v>
      </c>
      <c r="D955" s="10">
        <v>45701</v>
      </c>
      <c r="E955" s="13" t="str">
        <f>+HYPERLINK("http://trademark.i-assist.jp/data/china/image_1923th/81848571.pdf","81848571")</f>
        <v>81848571</v>
      </c>
      <c r="F955" s="12" t="s">
        <v>2677</v>
      </c>
      <c r="G955" s="9" t="s">
        <v>2678</v>
      </c>
      <c r="H955" s="9" t="s">
        <v>2679</v>
      </c>
      <c r="I955" s="10">
        <v>45604</v>
      </c>
    </row>
    <row r="956" spans="1:9" x14ac:dyDescent="0.15">
      <c r="A956" s="9">
        <v>955</v>
      </c>
      <c r="B956" s="9" t="s">
        <v>9</v>
      </c>
      <c r="C956" s="9">
        <v>1923</v>
      </c>
      <c r="D956" s="10">
        <v>45701</v>
      </c>
      <c r="E956" s="13" t="str">
        <f>+HYPERLINK("http://trademark.i-assist.jp/data/china/image_1923th/81848615.pdf","81848615")</f>
        <v>81848615</v>
      </c>
      <c r="F956" s="9" t="s">
        <v>2680</v>
      </c>
      <c r="G956" s="9" t="s">
        <v>2681</v>
      </c>
      <c r="H956" s="9" t="s">
        <v>2682</v>
      </c>
      <c r="I956" s="10">
        <v>45604</v>
      </c>
    </row>
    <row r="957" spans="1:9" x14ac:dyDescent="0.15">
      <c r="A957" s="9">
        <v>956</v>
      </c>
      <c r="B957" s="9" t="s">
        <v>9</v>
      </c>
      <c r="C957" s="9">
        <v>1923</v>
      </c>
      <c r="D957" s="10">
        <v>45701</v>
      </c>
      <c r="E957" s="13" t="str">
        <f>+HYPERLINK("http://trademark.i-assist.jp/data/china/image_1923th/81848678.pdf","81848678")</f>
        <v>81848678</v>
      </c>
      <c r="F957" s="11" t="s">
        <v>2683</v>
      </c>
      <c r="G957" s="9" t="s">
        <v>2684</v>
      </c>
      <c r="H957" s="9" t="s">
        <v>2685</v>
      </c>
      <c r="I957" s="10">
        <v>45604</v>
      </c>
    </row>
    <row r="958" spans="1:9" x14ac:dyDescent="0.15">
      <c r="A958" s="9">
        <v>957</v>
      </c>
      <c r="B958" s="9" t="s">
        <v>9</v>
      </c>
      <c r="C958" s="9">
        <v>1923</v>
      </c>
      <c r="D958" s="10">
        <v>45701</v>
      </c>
      <c r="E958" s="13" t="str">
        <f>+HYPERLINK("http://trademark.i-assist.jp/data/china/image_1923th/81848738.pdf","81848738")</f>
        <v>81848738</v>
      </c>
      <c r="F958" s="9" t="s">
        <v>2686</v>
      </c>
      <c r="G958" s="9" t="s">
        <v>2577</v>
      </c>
      <c r="H958" s="9" t="s">
        <v>2687</v>
      </c>
      <c r="I958" s="10">
        <v>45604</v>
      </c>
    </row>
    <row r="959" spans="1:9" x14ac:dyDescent="0.15">
      <c r="A959" s="9">
        <v>958</v>
      </c>
      <c r="B959" s="9" t="s">
        <v>9</v>
      </c>
      <c r="C959" s="9">
        <v>1923</v>
      </c>
      <c r="D959" s="10">
        <v>45701</v>
      </c>
      <c r="E959" s="13" t="str">
        <f>+HYPERLINK("http://trademark.i-assist.jp/data/china/image_1923th/81848790.pdf","81848790")</f>
        <v>81848790</v>
      </c>
      <c r="F959" s="11" t="s">
        <v>126</v>
      </c>
      <c r="G959" s="9" t="s">
        <v>2688</v>
      </c>
      <c r="H959" s="9" t="s">
        <v>2689</v>
      </c>
      <c r="I959" s="10">
        <v>45604</v>
      </c>
    </row>
    <row r="960" spans="1:9" x14ac:dyDescent="0.15">
      <c r="A960" s="9">
        <v>959</v>
      </c>
      <c r="B960" s="9" t="s">
        <v>9</v>
      </c>
      <c r="C960" s="9">
        <v>1923</v>
      </c>
      <c r="D960" s="10">
        <v>45701</v>
      </c>
      <c r="E960" s="13" t="str">
        <f>+HYPERLINK("http://trademark.i-assist.jp/data/china/image_1923th/81848955.pdf","81848955")</f>
        <v>81848955</v>
      </c>
      <c r="F960" s="9" t="s">
        <v>2690</v>
      </c>
      <c r="G960" s="9" t="s">
        <v>2684</v>
      </c>
      <c r="H960" s="9" t="s">
        <v>2691</v>
      </c>
      <c r="I960" s="10">
        <v>45604</v>
      </c>
    </row>
    <row r="961" spans="1:9" x14ac:dyDescent="0.15">
      <c r="A961" s="9">
        <v>960</v>
      </c>
      <c r="B961" s="9" t="s">
        <v>9</v>
      </c>
      <c r="C961" s="9">
        <v>1923</v>
      </c>
      <c r="D961" s="10">
        <v>45701</v>
      </c>
      <c r="E961" s="13" t="str">
        <f>+HYPERLINK("http://trademark.i-assist.jp/data/china/image_1923th/81849222.pdf","81849222")</f>
        <v>81849222</v>
      </c>
      <c r="F961" s="9" t="s">
        <v>2692</v>
      </c>
      <c r="G961" s="9" t="s">
        <v>2567</v>
      </c>
      <c r="H961" s="9" t="s">
        <v>2693</v>
      </c>
      <c r="I961" s="10">
        <v>45604</v>
      </c>
    </row>
    <row r="962" spans="1:9" x14ac:dyDescent="0.15">
      <c r="A962" s="9">
        <v>961</v>
      </c>
      <c r="B962" s="9" t="s">
        <v>9</v>
      </c>
      <c r="C962" s="9">
        <v>1923</v>
      </c>
      <c r="D962" s="10">
        <v>45701</v>
      </c>
      <c r="E962" s="13" t="str">
        <f>+HYPERLINK("http://trademark.i-assist.jp/data/china/image_1923th/81849325.pdf","81849325")</f>
        <v>81849325</v>
      </c>
      <c r="F962" s="9" t="s">
        <v>2694</v>
      </c>
      <c r="G962" s="9" t="s">
        <v>2040</v>
      </c>
      <c r="H962" s="9" t="s">
        <v>2695</v>
      </c>
      <c r="I962" s="10">
        <v>45604</v>
      </c>
    </row>
    <row r="963" spans="1:9" x14ac:dyDescent="0.15">
      <c r="A963" s="9">
        <v>962</v>
      </c>
      <c r="B963" s="9" t="s">
        <v>9</v>
      </c>
      <c r="C963" s="9">
        <v>1923</v>
      </c>
      <c r="D963" s="10">
        <v>45701</v>
      </c>
      <c r="E963" s="13" t="str">
        <f>+HYPERLINK("http://trademark.i-assist.jp/data/china/image_1923th/81849806.pdf","81849806")</f>
        <v>81849806</v>
      </c>
      <c r="F963" s="9" t="s">
        <v>2696</v>
      </c>
      <c r="G963" s="11" t="s">
        <v>2697</v>
      </c>
      <c r="H963" s="9" t="s">
        <v>2698</v>
      </c>
      <c r="I963" s="10">
        <v>45604</v>
      </c>
    </row>
    <row r="964" spans="1:9" x14ac:dyDescent="0.15">
      <c r="A964" s="9">
        <v>963</v>
      </c>
      <c r="B964" s="9" t="s">
        <v>9</v>
      </c>
      <c r="C964" s="9">
        <v>1923</v>
      </c>
      <c r="D964" s="10">
        <v>45701</v>
      </c>
      <c r="E964" s="13" t="str">
        <f>+HYPERLINK("http://trademark.i-assist.jp/data/china/image_1923th/81850026.pdf","81850026")</f>
        <v>81850026</v>
      </c>
      <c r="F964" s="9" t="s">
        <v>2699</v>
      </c>
      <c r="G964" s="9" t="s">
        <v>2570</v>
      </c>
      <c r="H964" s="9" t="s">
        <v>2700</v>
      </c>
      <c r="I964" s="10">
        <v>45604</v>
      </c>
    </row>
    <row r="965" spans="1:9" x14ac:dyDescent="0.15">
      <c r="A965" s="9">
        <v>964</v>
      </c>
      <c r="B965" s="9" t="s">
        <v>9</v>
      </c>
      <c r="C965" s="9">
        <v>1923</v>
      </c>
      <c r="D965" s="10">
        <v>45701</v>
      </c>
      <c r="E965" s="13" t="str">
        <f>+HYPERLINK("http://trademark.i-assist.jp/data/china/image_1923th/81850206.pdf","81850206")</f>
        <v>81850206</v>
      </c>
      <c r="F965" s="11" t="s">
        <v>2701</v>
      </c>
      <c r="G965" s="9" t="s">
        <v>2702</v>
      </c>
      <c r="H965" s="9" t="s">
        <v>2703</v>
      </c>
      <c r="I965" s="10">
        <v>45604</v>
      </c>
    </row>
    <row r="966" spans="1:9" x14ac:dyDescent="0.15">
      <c r="A966" s="9">
        <v>965</v>
      </c>
      <c r="B966" s="9" t="s">
        <v>9</v>
      </c>
      <c r="C966" s="9">
        <v>1923</v>
      </c>
      <c r="D966" s="10">
        <v>45701</v>
      </c>
      <c r="E966" s="13" t="str">
        <f>+HYPERLINK("http://trademark.i-assist.jp/data/china/image_1923th/81850330.pdf","81850330")</f>
        <v>81850330</v>
      </c>
      <c r="F966" s="11" t="s">
        <v>2704</v>
      </c>
      <c r="G966" s="11" t="s">
        <v>2705</v>
      </c>
      <c r="H966" s="9" t="s">
        <v>2706</v>
      </c>
      <c r="I966" s="10">
        <v>45604</v>
      </c>
    </row>
    <row r="967" spans="1:9" x14ac:dyDescent="0.15">
      <c r="A967" s="9">
        <v>966</v>
      </c>
      <c r="B967" s="9" t="s">
        <v>9</v>
      </c>
      <c r="C967" s="9">
        <v>1923</v>
      </c>
      <c r="D967" s="10">
        <v>45701</v>
      </c>
      <c r="E967" s="13" t="str">
        <f>+HYPERLINK("http://trademark.i-assist.jp/data/china/image_1923th/81850450.pdf","81850450")</f>
        <v>81850450</v>
      </c>
      <c r="F967" s="11" t="s">
        <v>2707</v>
      </c>
      <c r="G967" s="11" t="s">
        <v>2654</v>
      </c>
      <c r="H967" s="9" t="s">
        <v>2708</v>
      </c>
      <c r="I967" s="10">
        <v>45604</v>
      </c>
    </row>
    <row r="968" spans="1:9" x14ac:dyDescent="0.15">
      <c r="A968" s="9">
        <v>967</v>
      </c>
      <c r="B968" s="9" t="s">
        <v>9</v>
      </c>
      <c r="C968" s="9">
        <v>1923</v>
      </c>
      <c r="D968" s="10">
        <v>45701</v>
      </c>
      <c r="E968" s="13" t="str">
        <f>+HYPERLINK("http://trademark.i-assist.jp/data/china/image_1923th/81850519.pdf","81850519")</f>
        <v>81850519</v>
      </c>
      <c r="F968" s="9" t="s">
        <v>2709</v>
      </c>
      <c r="G968" s="9" t="s">
        <v>2629</v>
      </c>
      <c r="H968" s="9" t="s">
        <v>2710</v>
      </c>
      <c r="I968" s="10">
        <v>45604</v>
      </c>
    </row>
    <row r="969" spans="1:9" x14ac:dyDescent="0.15">
      <c r="A969" s="9">
        <v>968</v>
      </c>
      <c r="B969" s="9" t="s">
        <v>9</v>
      </c>
      <c r="C969" s="9">
        <v>1923</v>
      </c>
      <c r="D969" s="10">
        <v>45701</v>
      </c>
      <c r="E969" s="13" t="str">
        <f>+HYPERLINK("http://trademark.i-assist.jp/data/china/image_1923th/81850573.pdf","81850573")</f>
        <v>81850573</v>
      </c>
      <c r="F969" s="9" t="s">
        <v>2711</v>
      </c>
      <c r="G969" s="9" t="s">
        <v>44</v>
      </c>
      <c r="H969" s="9" t="s">
        <v>2712</v>
      </c>
      <c r="I969" s="10">
        <v>45604</v>
      </c>
    </row>
    <row r="970" spans="1:9" x14ac:dyDescent="0.15">
      <c r="A970" s="9">
        <v>969</v>
      </c>
      <c r="B970" s="9" t="s">
        <v>9</v>
      </c>
      <c r="C970" s="9">
        <v>1923</v>
      </c>
      <c r="D970" s="10">
        <v>45701</v>
      </c>
      <c r="E970" s="13" t="str">
        <f>+HYPERLINK("http://trademark.i-assist.jp/data/china/image_1923th/81850628.pdf","81850628")</f>
        <v>81850628</v>
      </c>
      <c r="F970" s="9" t="s">
        <v>2713</v>
      </c>
      <c r="G970" s="9" t="s">
        <v>2577</v>
      </c>
      <c r="H970" s="9" t="s">
        <v>2714</v>
      </c>
      <c r="I970" s="10">
        <v>45604</v>
      </c>
    </row>
    <row r="971" spans="1:9" x14ac:dyDescent="0.15">
      <c r="A971" s="9">
        <v>970</v>
      </c>
      <c r="B971" s="9" t="s">
        <v>9</v>
      </c>
      <c r="C971" s="9">
        <v>1923</v>
      </c>
      <c r="D971" s="10">
        <v>45701</v>
      </c>
      <c r="E971" s="13" t="str">
        <f>+HYPERLINK("http://trademark.i-assist.jp/data/china/image_1923th/81850674.pdf","81850674")</f>
        <v>81850674</v>
      </c>
      <c r="F971" s="9" t="s">
        <v>2715</v>
      </c>
      <c r="G971" s="9" t="s">
        <v>2716</v>
      </c>
      <c r="H971" s="9" t="s">
        <v>2717</v>
      </c>
      <c r="I971" s="10">
        <v>45604</v>
      </c>
    </row>
    <row r="972" spans="1:9" x14ac:dyDescent="0.15">
      <c r="A972" s="9">
        <v>971</v>
      </c>
      <c r="B972" s="9" t="s">
        <v>9</v>
      </c>
      <c r="C972" s="9">
        <v>1923</v>
      </c>
      <c r="D972" s="10">
        <v>45701</v>
      </c>
      <c r="E972" s="13" t="str">
        <f>+HYPERLINK("http://trademark.i-assist.jp/data/china/image_1923th/81850968.pdf","81850968")</f>
        <v>81850968</v>
      </c>
      <c r="F972" s="9" t="s">
        <v>2718</v>
      </c>
      <c r="G972" s="11" t="s">
        <v>2719</v>
      </c>
      <c r="H972" s="9" t="s">
        <v>2720</v>
      </c>
      <c r="I972" s="10">
        <v>45604</v>
      </c>
    </row>
    <row r="973" spans="1:9" x14ac:dyDescent="0.15">
      <c r="A973" s="9">
        <v>972</v>
      </c>
      <c r="B973" s="9" t="s">
        <v>9</v>
      </c>
      <c r="C973" s="9">
        <v>1923</v>
      </c>
      <c r="D973" s="10">
        <v>45701</v>
      </c>
      <c r="E973" s="13" t="str">
        <f>+HYPERLINK("http://trademark.i-assist.jp/data/china/image_1923th/81851029.pdf","81851029")</f>
        <v>81851029</v>
      </c>
      <c r="F973" s="9" t="s">
        <v>2721</v>
      </c>
      <c r="G973" s="9" t="s">
        <v>2577</v>
      </c>
      <c r="H973" s="9" t="s">
        <v>2722</v>
      </c>
      <c r="I973" s="10">
        <v>45604</v>
      </c>
    </row>
    <row r="974" spans="1:9" x14ac:dyDescent="0.15">
      <c r="A974" s="9">
        <v>973</v>
      </c>
      <c r="B974" s="9" t="s">
        <v>9</v>
      </c>
      <c r="C974" s="9">
        <v>1923</v>
      </c>
      <c r="D974" s="10">
        <v>45701</v>
      </c>
      <c r="E974" s="13" t="str">
        <f>+HYPERLINK("http://trademark.i-assist.jp/data/china/image_1923th/81851349.pdf","81851349")</f>
        <v>81851349</v>
      </c>
      <c r="F974" s="9" t="s">
        <v>2723</v>
      </c>
      <c r="G974" s="9" t="s">
        <v>2617</v>
      </c>
      <c r="H974" s="9" t="s">
        <v>2724</v>
      </c>
      <c r="I974" s="10">
        <v>45604</v>
      </c>
    </row>
    <row r="975" spans="1:9" x14ac:dyDescent="0.15">
      <c r="A975" s="9">
        <v>974</v>
      </c>
      <c r="B975" s="9" t="s">
        <v>9</v>
      </c>
      <c r="C975" s="9">
        <v>1923</v>
      </c>
      <c r="D975" s="10">
        <v>45701</v>
      </c>
      <c r="E975" s="13" t="str">
        <f>+HYPERLINK("http://trademark.i-assist.jp/data/china/image_1923th/81851547.pdf","81851547")</f>
        <v>81851547</v>
      </c>
      <c r="F975" s="9" t="s">
        <v>2725</v>
      </c>
      <c r="G975" s="9" t="s">
        <v>2726</v>
      </c>
      <c r="H975" s="11" t="s">
        <v>2727</v>
      </c>
      <c r="I975" s="10">
        <v>45604</v>
      </c>
    </row>
    <row r="976" spans="1:9" x14ac:dyDescent="0.15">
      <c r="A976" s="9">
        <v>975</v>
      </c>
      <c r="B976" s="9" t="s">
        <v>9</v>
      </c>
      <c r="C976" s="9">
        <v>1923</v>
      </c>
      <c r="D976" s="10">
        <v>45701</v>
      </c>
      <c r="E976" s="13" t="str">
        <f>+HYPERLINK("http://trademark.i-assist.jp/data/china/image_1923th/81851664.pdf","81851664")</f>
        <v>81851664</v>
      </c>
      <c r="F976" s="9" t="s">
        <v>2728</v>
      </c>
      <c r="G976" s="9" t="s">
        <v>2729</v>
      </c>
      <c r="H976" s="9" t="s">
        <v>2730</v>
      </c>
      <c r="I976" s="10">
        <v>45604</v>
      </c>
    </row>
    <row r="977" spans="1:9" x14ac:dyDescent="0.15">
      <c r="A977" s="9">
        <v>976</v>
      </c>
      <c r="B977" s="9" t="s">
        <v>9</v>
      </c>
      <c r="C977" s="9">
        <v>1923</v>
      </c>
      <c r="D977" s="10">
        <v>45701</v>
      </c>
      <c r="E977" s="13" t="str">
        <f>+HYPERLINK("http://trademark.i-assist.jp/data/china/image_1923th/81852554.pdf","81852554")</f>
        <v>81852554</v>
      </c>
      <c r="F977" s="11" t="s">
        <v>2731</v>
      </c>
      <c r="G977" s="9" t="s">
        <v>2684</v>
      </c>
      <c r="H977" s="9" t="s">
        <v>2732</v>
      </c>
      <c r="I977" s="10">
        <v>45604</v>
      </c>
    </row>
    <row r="978" spans="1:9" x14ac:dyDescent="0.15">
      <c r="A978" s="9">
        <v>977</v>
      </c>
      <c r="B978" s="9" t="s">
        <v>9</v>
      </c>
      <c r="C978" s="9">
        <v>1923</v>
      </c>
      <c r="D978" s="10">
        <v>45701</v>
      </c>
      <c r="E978" s="13" t="str">
        <f>+HYPERLINK("http://trademark.i-assist.jp/data/china/image_1923th/81852580.pdf","81852580")</f>
        <v>81852580</v>
      </c>
      <c r="F978" s="9" t="s">
        <v>2733</v>
      </c>
      <c r="G978" s="9" t="s">
        <v>2734</v>
      </c>
      <c r="H978" s="11" t="s">
        <v>2735</v>
      </c>
      <c r="I978" s="10">
        <v>45604</v>
      </c>
    </row>
    <row r="979" spans="1:9" x14ac:dyDescent="0.15">
      <c r="A979" s="9">
        <v>978</v>
      </c>
      <c r="B979" s="9" t="s">
        <v>9</v>
      </c>
      <c r="C979" s="9">
        <v>1923</v>
      </c>
      <c r="D979" s="10">
        <v>45701</v>
      </c>
      <c r="E979" s="13" t="str">
        <f>+HYPERLINK("http://trademark.i-assist.jp/data/china/image_1923th/81852671.pdf","81852671")</f>
        <v>81852671</v>
      </c>
      <c r="F979" s="9" t="s">
        <v>2736</v>
      </c>
      <c r="G979" s="9" t="s">
        <v>2737</v>
      </c>
      <c r="H979" s="11" t="s">
        <v>2738</v>
      </c>
      <c r="I979" s="10">
        <v>45604</v>
      </c>
    </row>
    <row r="980" spans="1:9" x14ac:dyDescent="0.15">
      <c r="A980" s="9">
        <v>979</v>
      </c>
      <c r="B980" s="9" t="s">
        <v>9</v>
      </c>
      <c r="C980" s="9">
        <v>1923</v>
      </c>
      <c r="D980" s="10">
        <v>45701</v>
      </c>
      <c r="E980" s="13" t="str">
        <f>+HYPERLINK("http://trademark.i-assist.jp/data/china/image_1923th/81853394.pdf","81853394")</f>
        <v>81853394</v>
      </c>
      <c r="F980" s="9" t="s">
        <v>2739</v>
      </c>
      <c r="G980" s="9" t="s">
        <v>2740</v>
      </c>
      <c r="H980" s="9" t="s">
        <v>2741</v>
      </c>
      <c r="I980" s="10">
        <v>45604</v>
      </c>
    </row>
    <row r="981" spans="1:9" x14ac:dyDescent="0.15">
      <c r="A981" s="9">
        <v>980</v>
      </c>
      <c r="B981" s="9" t="s">
        <v>9</v>
      </c>
      <c r="C981" s="9">
        <v>1923</v>
      </c>
      <c r="D981" s="10">
        <v>45701</v>
      </c>
      <c r="E981" s="13" t="str">
        <f>+HYPERLINK("http://trademark.i-assist.jp/data/china/image_1923th/81853507.pdf","81853507")</f>
        <v>81853507</v>
      </c>
      <c r="F981" s="9" t="s">
        <v>2742</v>
      </c>
      <c r="G981" s="9" t="s">
        <v>2743</v>
      </c>
      <c r="H981" s="9" t="s">
        <v>2744</v>
      </c>
      <c r="I981" s="10">
        <v>45604</v>
      </c>
    </row>
    <row r="982" spans="1:9" x14ac:dyDescent="0.15">
      <c r="A982" s="9">
        <v>981</v>
      </c>
      <c r="B982" s="9" t="s">
        <v>9</v>
      </c>
      <c r="C982" s="9">
        <v>1923</v>
      </c>
      <c r="D982" s="10">
        <v>45701</v>
      </c>
      <c r="E982" s="13" t="str">
        <f>+HYPERLINK("http://trademark.i-assist.jp/data/china/image_1923th/81853606.pdf","81853606")</f>
        <v>81853606</v>
      </c>
      <c r="F982" s="11" t="s">
        <v>2745</v>
      </c>
      <c r="G982" s="9" t="s">
        <v>2746</v>
      </c>
      <c r="H982" s="11" t="s">
        <v>2747</v>
      </c>
      <c r="I982" s="10">
        <v>45604</v>
      </c>
    </row>
    <row r="983" spans="1:9" x14ac:dyDescent="0.15">
      <c r="A983" s="9">
        <v>982</v>
      </c>
      <c r="B983" s="9" t="s">
        <v>9</v>
      </c>
      <c r="C983" s="9">
        <v>1923</v>
      </c>
      <c r="D983" s="10">
        <v>45701</v>
      </c>
      <c r="E983" s="13" t="str">
        <f>+HYPERLINK("http://trademark.i-assist.jp/data/china/image_1923th/81853782.pdf","81853782")</f>
        <v>81853782</v>
      </c>
      <c r="F983" s="11" t="s">
        <v>2748</v>
      </c>
      <c r="G983" s="11" t="s">
        <v>2640</v>
      </c>
      <c r="H983" s="9" t="s">
        <v>2749</v>
      </c>
      <c r="I983" s="10">
        <v>45604</v>
      </c>
    </row>
    <row r="984" spans="1:9" x14ac:dyDescent="0.15">
      <c r="A984" s="9">
        <v>983</v>
      </c>
      <c r="B984" s="9" t="s">
        <v>9</v>
      </c>
      <c r="C984" s="9">
        <v>1923</v>
      </c>
      <c r="D984" s="10">
        <v>45701</v>
      </c>
      <c r="E984" s="13" t="str">
        <f>+HYPERLINK("http://trademark.i-assist.jp/data/china/image_1923th/81853802.pdf","81853802")</f>
        <v>81853802</v>
      </c>
      <c r="F984" s="11" t="s">
        <v>2750</v>
      </c>
      <c r="G984" s="9" t="s">
        <v>2751</v>
      </c>
      <c r="H984" s="9" t="s">
        <v>2752</v>
      </c>
      <c r="I984" s="10">
        <v>45604</v>
      </c>
    </row>
    <row r="985" spans="1:9" x14ac:dyDescent="0.15">
      <c r="A985" s="9">
        <v>984</v>
      </c>
      <c r="B985" s="9" t="s">
        <v>9</v>
      </c>
      <c r="C985" s="9">
        <v>1923</v>
      </c>
      <c r="D985" s="10">
        <v>45701</v>
      </c>
      <c r="E985" s="13" t="str">
        <f>+HYPERLINK("http://trademark.i-assist.jp/data/china/image_1923th/81853805.pdf","81853805")</f>
        <v>81853805</v>
      </c>
      <c r="F985" s="9" t="s">
        <v>2753</v>
      </c>
      <c r="G985" s="11" t="s">
        <v>2754</v>
      </c>
      <c r="H985" s="9" t="s">
        <v>2755</v>
      </c>
      <c r="I985" s="10">
        <v>45604</v>
      </c>
    </row>
    <row r="986" spans="1:9" x14ac:dyDescent="0.15">
      <c r="A986" s="9">
        <v>985</v>
      </c>
      <c r="B986" s="9" t="s">
        <v>9</v>
      </c>
      <c r="C986" s="9">
        <v>1923</v>
      </c>
      <c r="D986" s="10">
        <v>45701</v>
      </c>
      <c r="E986" s="13" t="str">
        <f>+HYPERLINK("http://trademark.i-assist.jp/data/china/image_1923th/81853821.pdf","81853821")</f>
        <v>81853821</v>
      </c>
      <c r="F986" s="11" t="s">
        <v>2756</v>
      </c>
      <c r="G986" s="9" t="s">
        <v>2567</v>
      </c>
      <c r="H986" s="9" t="s">
        <v>2757</v>
      </c>
      <c r="I986" s="10">
        <v>45604</v>
      </c>
    </row>
    <row r="987" spans="1:9" x14ac:dyDescent="0.15">
      <c r="A987" s="9">
        <v>986</v>
      </c>
      <c r="B987" s="9" t="s">
        <v>9</v>
      </c>
      <c r="C987" s="9">
        <v>1923</v>
      </c>
      <c r="D987" s="10">
        <v>45701</v>
      </c>
      <c r="E987" s="13" t="str">
        <f>+HYPERLINK("http://trademark.i-assist.jp/data/china/image_1923th/81853914.pdf","81853914")</f>
        <v>81853914</v>
      </c>
      <c r="F987" s="9" t="s">
        <v>2758</v>
      </c>
      <c r="G987" s="11" t="s">
        <v>2648</v>
      </c>
      <c r="H987" s="11" t="s">
        <v>2759</v>
      </c>
      <c r="I987" s="10">
        <v>45604</v>
      </c>
    </row>
    <row r="988" spans="1:9" x14ac:dyDescent="0.15">
      <c r="A988" s="9">
        <v>987</v>
      </c>
      <c r="B988" s="9" t="s">
        <v>9</v>
      </c>
      <c r="C988" s="9">
        <v>1923</v>
      </c>
      <c r="D988" s="10">
        <v>45701</v>
      </c>
      <c r="E988" s="13" t="str">
        <f>+HYPERLINK("http://trademark.i-assist.jp/data/china/image_1923th/81854100.pdf","81854100")</f>
        <v>81854100</v>
      </c>
      <c r="F988" s="9" t="s">
        <v>2760</v>
      </c>
      <c r="G988" s="9" t="s">
        <v>2761</v>
      </c>
      <c r="H988" s="11" t="s">
        <v>2762</v>
      </c>
      <c r="I988" s="10">
        <v>45604</v>
      </c>
    </row>
    <row r="989" spans="1:9" x14ac:dyDescent="0.15">
      <c r="A989" s="9">
        <v>988</v>
      </c>
      <c r="B989" s="9" t="s">
        <v>9</v>
      </c>
      <c r="C989" s="9">
        <v>1923</v>
      </c>
      <c r="D989" s="10">
        <v>45701</v>
      </c>
      <c r="E989" s="13" t="str">
        <f>+HYPERLINK("http://trademark.i-assist.jp/data/china/image_1923th/81854158.pdf","81854158")</f>
        <v>81854158</v>
      </c>
      <c r="F989" s="9" t="s">
        <v>2763</v>
      </c>
      <c r="G989" s="9" t="s">
        <v>2764</v>
      </c>
      <c r="H989" s="9" t="s">
        <v>2765</v>
      </c>
      <c r="I989" s="10">
        <v>45604</v>
      </c>
    </row>
    <row r="990" spans="1:9" x14ac:dyDescent="0.15">
      <c r="A990" s="9">
        <v>989</v>
      </c>
      <c r="B990" s="9" t="s">
        <v>9</v>
      </c>
      <c r="C990" s="9">
        <v>1923</v>
      </c>
      <c r="D990" s="10">
        <v>45701</v>
      </c>
      <c r="E990" s="13" t="str">
        <f>+HYPERLINK("http://trademark.i-assist.jp/data/china/image_1923th/81854287.pdf","81854287")</f>
        <v>81854287</v>
      </c>
      <c r="F990" s="9" t="s">
        <v>2766</v>
      </c>
      <c r="G990" s="9" t="s">
        <v>2767</v>
      </c>
      <c r="H990" s="9" t="s">
        <v>2768</v>
      </c>
      <c r="I990" s="10">
        <v>45604</v>
      </c>
    </row>
    <row r="991" spans="1:9" x14ac:dyDescent="0.15">
      <c r="A991" s="9">
        <v>990</v>
      </c>
      <c r="B991" s="9" t="s">
        <v>9</v>
      </c>
      <c r="C991" s="9">
        <v>1923</v>
      </c>
      <c r="D991" s="10">
        <v>45701</v>
      </c>
      <c r="E991" s="13" t="str">
        <f>+HYPERLINK("http://trademark.i-assist.jp/data/china/image_1923th/81854324.pdf","81854324")</f>
        <v>81854324</v>
      </c>
      <c r="F991" s="9" t="s">
        <v>2769</v>
      </c>
      <c r="G991" s="11" t="s">
        <v>2770</v>
      </c>
      <c r="H991" s="9" t="s">
        <v>2771</v>
      </c>
      <c r="I991" s="10">
        <v>45604</v>
      </c>
    </row>
    <row r="992" spans="1:9" x14ac:dyDescent="0.15">
      <c r="A992" s="9">
        <v>991</v>
      </c>
      <c r="B992" s="9" t="s">
        <v>9</v>
      </c>
      <c r="C992" s="9">
        <v>1923</v>
      </c>
      <c r="D992" s="10">
        <v>45701</v>
      </c>
      <c r="E992" s="13" t="str">
        <f>+HYPERLINK("http://trademark.i-assist.jp/data/china/image_1923th/81854449.pdf","81854449")</f>
        <v>81854449</v>
      </c>
      <c r="F992" s="9" t="s">
        <v>2772</v>
      </c>
      <c r="G992" s="9" t="s">
        <v>1785</v>
      </c>
      <c r="H992" s="9" t="s">
        <v>2773</v>
      </c>
      <c r="I992" s="10">
        <v>45604</v>
      </c>
    </row>
    <row r="993" spans="1:9" x14ac:dyDescent="0.15">
      <c r="A993" s="9">
        <v>992</v>
      </c>
      <c r="B993" s="9" t="s">
        <v>9</v>
      </c>
      <c r="C993" s="9">
        <v>1923</v>
      </c>
      <c r="D993" s="10">
        <v>45701</v>
      </c>
      <c r="E993" s="13" t="str">
        <f>+HYPERLINK("http://trademark.i-assist.jp/data/china/image_1923th/81854469.pdf","81854469")</f>
        <v>81854469</v>
      </c>
      <c r="F993" s="9" t="s">
        <v>2774</v>
      </c>
      <c r="G993" s="11" t="s">
        <v>2775</v>
      </c>
      <c r="H993" s="9" t="s">
        <v>2776</v>
      </c>
      <c r="I993" s="10">
        <v>45604</v>
      </c>
    </row>
    <row r="994" spans="1:9" x14ac:dyDescent="0.15">
      <c r="A994" s="9">
        <v>993</v>
      </c>
      <c r="B994" s="9" t="s">
        <v>9</v>
      </c>
      <c r="C994" s="9">
        <v>1923</v>
      </c>
      <c r="D994" s="10">
        <v>45701</v>
      </c>
      <c r="E994" s="13" t="str">
        <f>+HYPERLINK("http://trademark.i-assist.jp/data/china/image_1923th/81854552.pdf","81854552")</f>
        <v>81854552</v>
      </c>
      <c r="F994" s="9" t="s">
        <v>2777</v>
      </c>
      <c r="G994" s="9" t="s">
        <v>2778</v>
      </c>
      <c r="H994" s="9" t="s">
        <v>2779</v>
      </c>
      <c r="I994" s="10">
        <v>45604</v>
      </c>
    </row>
    <row r="995" spans="1:9" x14ac:dyDescent="0.15">
      <c r="A995" s="9">
        <v>994</v>
      </c>
      <c r="B995" s="9" t="s">
        <v>9</v>
      </c>
      <c r="C995" s="9">
        <v>1923</v>
      </c>
      <c r="D995" s="10">
        <v>45701</v>
      </c>
      <c r="E995" s="13" t="str">
        <f>+HYPERLINK("http://trademark.i-assist.jp/data/china/image_1923th/81854642.pdf","81854642")</f>
        <v>81854642</v>
      </c>
      <c r="F995" s="11" t="s">
        <v>2780</v>
      </c>
      <c r="G995" s="9" t="s">
        <v>2570</v>
      </c>
      <c r="H995" s="9" t="s">
        <v>2781</v>
      </c>
      <c r="I995" s="10">
        <v>45604</v>
      </c>
    </row>
    <row r="996" spans="1:9" x14ac:dyDescent="0.15">
      <c r="A996" s="9">
        <v>995</v>
      </c>
      <c r="B996" s="9" t="s">
        <v>9</v>
      </c>
      <c r="C996" s="9">
        <v>1923</v>
      </c>
      <c r="D996" s="10">
        <v>45701</v>
      </c>
      <c r="E996" s="13" t="str">
        <f>+HYPERLINK("http://trademark.i-assist.jp/data/china/image_1923th/81854986.pdf","81854986")</f>
        <v>81854986</v>
      </c>
      <c r="F996" s="9" t="s">
        <v>2782</v>
      </c>
      <c r="G996" s="9" t="s">
        <v>2783</v>
      </c>
      <c r="H996" s="9" t="s">
        <v>2784</v>
      </c>
      <c r="I996" s="10">
        <v>45604</v>
      </c>
    </row>
    <row r="997" spans="1:9" x14ac:dyDescent="0.15">
      <c r="A997" s="9">
        <v>996</v>
      </c>
      <c r="B997" s="9" t="s">
        <v>9</v>
      </c>
      <c r="C997" s="9">
        <v>1923</v>
      </c>
      <c r="D997" s="10">
        <v>45701</v>
      </c>
      <c r="E997" s="13" t="str">
        <f>+HYPERLINK("http://trademark.i-assist.jp/data/china/image_1923th/81855133.pdf","81855133")</f>
        <v>81855133</v>
      </c>
      <c r="F997" s="9" t="s">
        <v>2785</v>
      </c>
      <c r="G997" s="9" t="s">
        <v>2786</v>
      </c>
      <c r="H997" s="9" t="s">
        <v>2787</v>
      </c>
      <c r="I997" s="10">
        <v>45604</v>
      </c>
    </row>
    <row r="998" spans="1:9" x14ac:dyDescent="0.15">
      <c r="A998" s="9">
        <v>997</v>
      </c>
      <c r="B998" s="9" t="s">
        <v>9</v>
      </c>
      <c r="C998" s="9">
        <v>1923</v>
      </c>
      <c r="D998" s="10">
        <v>45701</v>
      </c>
      <c r="E998" s="13" t="str">
        <f>+HYPERLINK("http://trademark.i-assist.jp/data/china/image_1923th/81855499.pdf","81855499")</f>
        <v>81855499</v>
      </c>
      <c r="F998" s="9" t="s">
        <v>2788</v>
      </c>
      <c r="G998" s="11" t="s">
        <v>2789</v>
      </c>
      <c r="H998" s="9" t="s">
        <v>2790</v>
      </c>
      <c r="I998" s="10">
        <v>45604</v>
      </c>
    </row>
    <row r="999" spans="1:9" x14ac:dyDescent="0.15">
      <c r="A999" s="9">
        <v>998</v>
      </c>
      <c r="B999" s="9" t="s">
        <v>9</v>
      </c>
      <c r="C999" s="9">
        <v>1923</v>
      </c>
      <c r="D999" s="10">
        <v>45701</v>
      </c>
      <c r="E999" s="13" t="str">
        <f>+HYPERLINK("http://trademark.i-assist.jp/data/china/image_1923th/81855662.pdf","81855662")</f>
        <v>81855662</v>
      </c>
      <c r="F999" s="9" t="s">
        <v>2791</v>
      </c>
      <c r="G999" s="11" t="s">
        <v>2792</v>
      </c>
      <c r="H999" s="9" t="s">
        <v>2793</v>
      </c>
      <c r="I999" s="10">
        <v>45604</v>
      </c>
    </row>
    <row r="1000" spans="1:9" x14ac:dyDescent="0.15">
      <c r="A1000" s="9">
        <v>999</v>
      </c>
      <c r="B1000" s="9" t="s">
        <v>9</v>
      </c>
      <c r="C1000" s="9">
        <v>1923</v>
      </c>
      <c r="D1000" s="10">
        <v>45701</v>
      </c>
      <c r="E1000" s="13" t="str">
        <f>+HYPERLINK("http://trademark.i-assist.jp/data/china/image_1923th/81855726.pdf","81855726")</f>
        <v>81855726</v>
      </c>
      <c r="F1000" s="9" t="s">
        <v>2794</v>
      </c>
      <c r="G1000" s="9" t="s">
        <v>2795</v>
      </c>
      <c r="H1000" s="9" t="s">
        <v>2796</v>
      </c>
      <c r="I1000" s="10">
        <v>45604</v>
      </c>
    </row>
    <row r="1001" spans="1:9" x14ac:dyDescent="0.15">
      <c r="A1001" s="9">
        <v>1000</v>
      </c>
      <c r="B1001" s="9" t="s">
        <v>9</v>
      </c>
      <c r="C1001" s="9">
        <v>1923</v>
      </c>
      <c r="D1001" s="10">
        <v>45701</v>
      </c>
      <c r="E1001" s="13" t="str">
        <f>+HYPERLINK("http://trademark.i-assist.jp/data/china/image_1923th/81856029.pdf","81856029")</f>
        <v>81856029</v>
      </c>
      <c r="F1001" s="9" t="s">
        <v>2797</v>
      </c>
      <c r="G1001" s="9" t="s">
        <v>2567</v>
      </c>
      <c r="H1001" s="11" t="s">
        <v>2798</v>
      </c>
      <c r="I1001" s="10">
        <v>45604</v>
      </c>
    </row>
    <row r="1002" spans="1:9" x14ac:dyDescent="0.15">
      <c r="A1002" s="9">
        <v>1001</v>
      </c>
      <c r="B1002" s="9" t="s">
        <v>9</v>
      </c>
      <c r="C1002" s="9">
        <v>1923</v>
      </c>
      <c r="D1002" s="10">
        <v>45701</v>
      </c>
      <c r="E1002" s="13" t="str">
        <f>+HYPERLINK("http://trademark.i-assist.jp/data/china/image_1923th/81856225.pdf","81856225")</f>
        <v>81856225</v>
      </c>
      <c r="F1002" s="9" t="s">
        <v>2799</v>
      </c>
      <c r="G1002" s="11" t="s">
        <v>2800</v>
      </c>
      <c r="H1002" s="9" t="s">
        <v>2801</v>
      </c>
      <c r="I1002" s="10">
        <v>45604</v>
      </c>
    </row>
    <row r="1003" spans="1:9" x14ac:dyDescent="0.15">
      <c r="A1003" s="9">
        <v>1002</v>
      </c>
      <c r="B1003" s="9" t="s">
        <v>9</v>
      </c>
      <c r="C1003" s="9">
        <v>1923</v>
      </c>
      <c r="D1003" s="10">
        <v>45701</v>
      </c>
      <c r="E1003" s="13" t="str">
        <f>+HYPERLINK("http://trademark.i-assist.jp/data/china/image_1923th/81856361.pdf","81856361")</f>
        <v>81856361</v>
      </c>
      <c r="F1003" s="9" t="s">
        <v>2802</v>
      </c>
      <c r="G1003" s="9" t="s">
        <v>2734</v>
      </c>
      <c r="H1003" s="9" t="s">
        <v>2803</v>
      </c>
      <c r="I1003" s="10">
        <v>45604</v>
      </c>
    </row>
    <row r="1004" spans="1:9" x14ac:dyDescent="0.15">
      <c r="A1004" s="9">
        <v>1003</v>
      </c>
      <c r="B1004" s="9" t="s">
        <v>9</v>
      </c>
      <c r="C1004" s="9">
        <v>1923</v>
      </c>
      <c r="D1004" s="10">
        <v>45701</v>
      </c>
      <c r="E1004" s="13" t="str">
        <f>+HYPERLINK("http://trademark.i-assist.jp/data/china/image_1923th/81856367.pdf","81856367")</f>
        <v>81856367</v>
      </c>
      <c r="F1004" s="11" t="s">
        <v>2804</v>
      </c>
      <c r="G1004" s="9" t="s">
        <v>2734</v>
      </c>
      <c r="H1004" s="9" t="s">
        <v>2805</v>
      </c>
      <c r="I1004" s="10">
        <v>45604</v>
      </c>
    </row>
    <row r="1005" spans="1:9" x14ac:dyDescent="0.15">
      <c r="A1005" s="9">
        <v>1004</v>
      </c>
      <c r="B1005" s="9" t="s">
        <v>9</v>
      </c>
      <c r="C1005" s="9">
        <v>1923</v>
      </c>
      <c r="D1005" s="10">
        <v>45701</v>
      </c>
      <c r="E1005" s="13" t="str">
        <f>+HYPERLINK("http://trademark.i-assist.jp/data/china/image_1923th/81856374.pdf","81856374")</f>
        <v>81856374</v>
      </c>
      <c r="F1005" s="9" t="s">
        <v>2806</v>
      </c>
      <c r="G1005" s="9" t="s">
        <v>2734</v>
      </c>
      <c r="H1005" s="9" t="s">
        <v>2807</v>
      </c>
      <c r="I1005" s="10">
        <v>45604</v>
      </c>
    </row>
    <row r="1006" spans="1:9" x14ac:dyDescent="0.15">
      <c r="A1006" s="9">
        <v>1005</v>
      </c>
      <c r="B1006" s="9" t="s">
        <v>9</v>
      </c>
      <c r="C1006" s="9">
        <v>1923</v>
      </c>
      <c r="D1006" s="10">
        <v>45701</v>
      </c>
      <c r="E1006" s="13" t="str">
        <f>+HYPERLINK("http://trademark.i-assist.jp/data/china/image_1923th/81856422.pdf","81856422")</f>
        <v>81856422</v>
      </c>
      <c r="F1006" s="9" t="s">
        <v>2808</v>
      </c>
      <c r="G1006" s="9" t="s">
        <v>2809</v>
      </c>
      <c r="H1006" s="9" t="s">
        <v>2810</v>
      </c>
      <c r="I1006" s="10">
        <v>45604</v>
      </c>
    </row>
    <row r="1007" spans="1:9" x14ac:dyDescent="0.15">
      <c r="A1007" s="9">
        <v>1006</v>
      </c>
      <c r="B1007" s="9" t="s">
        <v>9</v>
      </c>
      <c r="C1007" s="9">
        <v>1923</v>
      </c>
      <c r="D1007" s="10">
        <v>45701</v>
      </c>
      <c r="E1007" s="13" t="str">
        <f>+HYPERLINK("http://trademark.i-assist.jp/data/china/image_1923th/81856438.pdf","81856438")</f>
        <v>81856438</v>
      </c>
      <c r="F1007" s="11" t="s">
        <v>2811</v>
      </c>
      <c r="G1007" s="9" t="s">
        <v>2570</v>
      </c>
      <c r="H1007" s="9" t="s">
        <v>2812</v>
      </c>
      <c r="I1007" s="10">
        <v>45604</v>
      </c>
    </row>
    <row r="1008" spans="1:9" x14ac:dyDescent="0.15">
      <c r="A1008" s="9">
        <v>1007</v>
      </c>
      <c r="B1008" s="9" t="s">
        <v>9</v>
      </c>
      <c r="C1008" s="9">
        <v>1923</v>
      </c>
      <c r="D1008" s="10">
        <v>45701</v>
      </c>
      <c r="E1008" s="13" t="str">
        <f>+HYPERLINK("http://trademark.i-assist.jp/data/china/image_1923th/81856583.pdf","81856583")</f>
        <v>81856583</v>
      </c>
      <c r="F1008" s="11" t="s">
        <v>2813</v>
      </c>
      <c r="G1008" s="9" t="s">
        <v>2620</v>
      </c>
      <c r="H1008" s="9" t="s">
        <v>2814</v>
      </c>
      <c r="I1008" s="10">
        <v>45604</v>
      </c>
    </row>
    <row r="1009" spans="1:9" x14ac:dyDescent="0.15">
      <c r="A1009" s="9">
        <v>1008</v>
      </c>
      <c r="B1009" s="9" t="s">
        <v>9</v>
      </c>
      <c r="C1009" s="9">
        <v>1923</v>
      </c>
      <c r="D1009" s="10">
        <v>45701</v>
      </c>
      <c r="E1009" s="13" t="str">
        <f>+HYPERLINK("http://trademark.i-assist.jp/data/china/image_1923th/81856639.pdf","81856639")</f>
        <v>81856639</v>
      </c>
      <c r="F1009" s="9" t="s">
        <v>2815</v>
      </c>
      <c r="G1009" s="9" t="s">
        <v>2816</v>
      </c>
      <c r="H1009" s="9" t="s">
        <v>2817</v>
      </c>
      <c r="I1009" s="10">
        <v>45604</v>
      </c>
    </row>
    <row r="1010" spans="1:9" x14ac:dyDescent="0.15">
      <c r="A1010" s="9">
        <v>1009</v>
      </c>
      <c r="B1010" s="9" t="s">
        <v>9</v>
      </c>
      <c r="C1010" s="9">
        <v>1923</v>
      </c>
      <c r="D1010" s="10">
        <v>45701</v>
      </c>
      <c r="E1010" s="13" t="str">
        <f>+HYPERLINK("http://trademark.i-assist.jp/data/china/image_1923th/81856912.pdf","81856912")</f>
        <v>81856912</v>
      </c>
      <c r="F1010" s="9" t="s">
        <v>2818</v>
      </c>
      <c r="G1010" s="11" t="s">
        <v>2654</v>
      </c>
      <c r="H1010" s="9" t="s">
        <v>2819</v>
      </c>
      <c r="I1010" s="10">
        <v>45604</v>
      </c>
    </row>
    <row r="1011" spans="1:9" x14ac:dyDescent="0.15">
      <c r="A1011" s="9">
        <v>1010</v>
      </c>
      <c r="B1011" s="9" t="s">
        <v>9</v>
      </c>
      <c r="C1011" s="9">
        <v>1923</v>
      </c>
      <c r="D1011" s="10">
        <v>45701</v>
      </c>
      <c r="E1011" s="13" t="str">
        <f>+HYPERLINK("http://trademark.i-assist.jp/data/china/image_1923th/81857188.pdf","81857188")</f>
        <v>81857188</v>
      </c>
      <c r="F1011" s="9" t="s">
        <v>2820</v>
      </c>
      <c r="G1011" s="11" t="s">
        <v>2821</v>
      </c>
      <c r="H1011" s="9" t="s">
        <v>2822</v>
      </c>
      <c r="I1011" s="10">
        <v>45604</v>
      </c>
    </row>
    <row r="1012" spans="1:9" x14ac:dyDescent="0.15">
      <c r="A1012" s="9">
        <v>1011</v>
      </c>
      <c r="B1012" s="9" t="s">
        <v>9</v>
      </c>
      <c r="C1012" s="9">
        <v>1923</v>
      </c>
      <c r="D1012" s="10">
        <v>45701</v>
      </c>
      <c r="E1012" s="13" t="str">
        <f>+HYPERLINK("http://trademark.i-assist.jp/data/china/image_1923th/81857225.pdf","81857225")</f>
        <v>81857225</v>
      </c>
      <c r="F1012" s="9" t="s">
        <v>2823</v>
      </c>
      <c r="G1012" s="9" t="s">
        <v>2824</v>
      </c>
      <c r="H1012" s="9" t="s">
        <v>2825</v>
      </c>
      <c r="I1012" s="10">
        <v>45604</v>
      </c>
    </row>
    <row r="1013" spans="1:9" x14ac:dyDescent="0.15">
      <c r="A1013" s="9">
        <v>1012</v>
      </c>
      <c r="B1013" s="9" t="s">
        <v>9</v>
      </c>
      <c r="C1013" s="9">
        <v>1923</v>
      </c>
      <c r="D1013" s="10">
        <v>45701</v>
      </c>
      <c r="E1013" s="13" t="str">
        <f>+HYPERLINK("http://trademark.i-assist.jp/data/china/image_1923th/81857423.pdf","81857423")</f>
        <v>81857423</v>
      </c>
      <c r="F1013" s="9" t="s">
        <v>2826</v>
      </c>
      <c r="G1013" s="11" t="s">
        <v>2827</v>
      </c>
      <c r="H1013" s="9" t="s">
        <v>2828</v>
      </c>
      <c r="I1013" s="10">
        <v>45604</v>
      </c>
    </row>
    <row r="1014" spans="1:9" x14ac:dyDescent="0.15">
      <c r="A1014" s="9">
        <v>1013</v>
      </c>
      <c r="B1014" s="9" t="s">
        <v>9</v>
      </c>
      <c r="C1014" s="9">
        <v>1923</v>
      </c>
      <c r="D1014" s="10">
        <v>45701</v>
      </c>
      <c r="E1014" s="13" t="str">
        <f>+HYPERLINK("http://trademark.i-assist.jp/data/china/image_1923th/81857481.pdf","81857481")</f>
        <v>81857481</v>
      </c>
      <c r="F1014" s="9" t="s">
        <v>2829</v>
      </c>
      <c r="G1014" s="9" t="s">
        <v>2830</v>
      </c>
      <c r="H1014" s="9" t="s">
        <v>2831</v>
      </c>
      <c r="I1014" s="10">
        <v>45604</v>
      </c>
    </row>
    <row r="1015" spans="1:9" x14ac:dyDescent="0.15">
      <c r="A1015" s="9">
        <v>1014</v>
      </c>
      <c r="B1015" s="9" t="s">
        <v>9</v>
      </c>
      <c r="C1015" s="9">
        <v>1923</v>
      </c>
      <c r="D1015" s="10">
        <v>45701</v>
      </c>
      <c r="E1015" s="13" t="str">
        <f>+HYPERLINK("http://trademark.i-assist.jp/data/china/image_1923th/81857680.pdf","81857680")</f>
        <v>81857680</v>
      </c>
      <c r="F1015" s="9" t="s">
        <v>2832</v>
      </c>
      <c r="G1015" s="9" t="s">
        <v>2833</v>
      </c>
      <c r="H1015" s="9" t="s">
        <v>2834</v>
      </c>
      <c r="I1015" s="10">
        <v>45604</v>
      </c>
    </row>
    <row r="1016" spans="1:9" x14ac:dyDescent="0.15">
      <c r="A1016" s="9">
        <v>1015</v>
      </c>
      <c r="B1016" s="9" t="s">
        <v>9</v>
      </c>
      <c r="C1016" s="9">
        <v>1923</v>
      </c>
      <c r="D1016" s="10">
        <v>45701</v>
      </c>
      <c r="E1016" s="13" t="str">
        <f>+HYPERLINK("http://trademark.i-assist.jp/data/china/image_1923th/81857996.pdf","81857996")</f>
        <v>81857996</v>
      </c>
      <c r="F1016" s="9" t="s">
        <v>2835</v>
      </c>
      <c r="G1016" s="9" t="s">
        <v>44</v>
      </c>
      <c r="H1016" s="9" t="s">
        <v>2836</v>
      </c>
      <c r="I1016" s="10">
        <v>45604</v>
      </c>
    </row>
    <row r="1017" spans="1:9" x14ac:dyDescent="0.15">
      <c r="A1017" s="9">
        <v>1016</v>
      </c>
      <c r="B1017" s="9" t="s">
        <v>9</v>
      </c>
      <c r="C1017" s="9">
        <v>1923</v>
      </c>
      <c r="D1017" s="10">
        <v>45701</v>
      </c>
      <c r="E1017" s="13" t="str">
        <f>+HYPERLINK("http://trademark.i-assist.jp/data/china/image_1923th/81858000.pdf","81858000")</f>
        <v>81858000</v>
      </c>
      <c r="F1017" s="9" t="s">
        <v>2837</v>
      </c>
      <c r="G1017" s="9" t="s">
        <v>44</v>
      </c>
      <c r="H1017" s="9" t="s">
        <v>2838</v>
      </c>
      <c r="I1017" s="10">
        <v>45604</v>
      </c>
    </row>
    <row r="1018" spans="1:9" x14ac:dyDescent="0.15">
      <c r="A1018" s="9">
        <v>1017</v>
      </c>
      <c r="B1018" s="9" t="s">
        <v>9</v>
      </c>
      <c r="C1018" s="9">
        <v>1923</v>
      </c>
      <c r="D1018" s="10">
        <v>45701</v>
      </c>
      <c r="E1018" s="13" t="str">
        <f>+HYPERLINK("http://trademark.i-assist.jp/data/china/image_1923th/81858060.pdf","81858060")</f>
        <v>81858060</v>
      </c>
      <c r="F1018" s="9" t="s">
        <v>2839</v>
      </c>
      <c r="G1018" s="9" t="s">
        <v>2840</v>
      </c>
      <c r="H1018" s="9" t="s">
        <v>2841</v>
      </c>
      <c r="I1018" s="10">
        <v>45604</v>
      </c>
    </row>
    <row r="1019" spans="1:9" x14ac:dyDescent="0.15">
      <c r="A1019" s="9">
        <v>1018</v>
      </c>
      <c r="B1019" s="9" t="s">
        <v>9</v>
      </c>
      <c r="C1019" s="9">
        <v>1923</v>
      </c>
      <c r="D1019" s="10">
        <v>45701</v>
      </c>
      <c r="E1019" s="13" t="str">
        <f>+HYPERLINK("http://trademark.i-assist.jp/data/china/image_1923th/81858066.pdf","81858066")</f>
        <v>81858066</v>
      </c>
      <c r="F1019" s="9" t="s">
        <v>2842</v>
      </c>
      <c r="G1019" s="9" t="s">
        <v>2840</v>
      </c>
      <c r="H1019" s="9" t="s">
        <v>2843</v>
      </c>
      <c r="I1019" s="10">
        <v>45604</v>
      </c>
    </row>
    <row r="1020" spans="1:9" x14ac:dyDescent="0.15">
      <c r="A1020" s="9">
        <v>1019</v>
      </c>
      <c r="B1020" s="9" t="s">
        <v>9</v>
      </c>
      <c r="C1020" s="9">
        <v>1923</v>
      </c>
      <c r="D1020" s="10">
        <v>45701</v>
      </c>
      <c r="E1020" s="13" t="str">
        <f>+HYPERLINK("http://trademark.i-assist.jp/data/china/image_1923th/81858105.pdf","81858105")</f>
        <v>81858105</v>
      </c>
      <c r="F1020" s="9" t="s">
        <v>2844</v>
      </c>
      <c r="G1020" s="9" t="s">
        <v>2734</v>
      </c>
      <c r="H1020" s="9" t="s">
        <v>2845</v>
      </c>
      <c r="I1020" s="10">
        <v>45604</v>
      </c>
    </row>
    <row r="1021" spans="1:9" x14ac:dyDescent="0.15">
      <c r="A1021" s="9">
        <v>1020</v>
      </c>
      <c r="B1021" s="9" t="s">
        <v>9</v>
      </c>
      <c r="C1021" s="9">
        <v>1923</v>
      </c>
      <c r="D1021" s="10">
        <v>45701</v>
      </c>
      <c r="E1021" s="13" t="str">
        <f>+HYPERLINK("http://trademark.i-assist.jp/data/china/image_1923th/81858159.pdf","81858159")</f>
        <v>81858159</v>
      </c>
      <c r="F1021" s="9" t="s">
        <v>2846</v>
      </c>
      <c r="G1021" s="11" t="s">
        <v>2847</v>
      </c>
      <c r="H1021" s="9" t="s">
        <v>2848</v>
      </c>
      <c r="I1021" s="10">
        <v>45604</v>
      </c>
    </row>
    <row r="1022" spans="1:9" x14ac:dyDescent="0.15">
      <c r="A1022" s="9">
        <v>1021</v>
      </c>
      <c r="B1022" s="9" t="s">
        <v>9</v>
      </c>
      <c r="C1022" s="9">
        <v>1923</v>
      </c>
      <c r="D1022" s="10">
        <v>45701</v>
      </c>
      <c r="E1022" s="13" t="str">
        <f>+HYPERLINK("http://trademark.i-assist.jp/data/china/image_1923th/81858197.pdf","81858197")</f>
        <v>81858197</v>
      </c>
      <c r="F1022" s="9" t="s">
        <v>2849</v>
      </c>
      <c r="G1022" s="9" t="s">
        <v>2850</v>
      </c>
      <c r="H1022" s="11" t="s">
        <v>2851</v>
      </c>
      <c r="I1022" s="10">
        <v>45604</v>
      </c>
    </row>
    <row r="1023" spans="1:9" x14ac:dyDescent="0.15">
      <c r="A1023" s="9">
        <v>1022</v>
      </c>
      <c r="B1023" s="9" t="s">
        <v>9</v>
      </c>
      <c r="C1023" s="9">
        <v>1923</v>
      </c>
      <c r="D1023" s="10">
        <v>45701</v>
      </c>
      <c r="E1023" s="13" t="str">
        <f>+HYPERLINK("http://trademark.i-assist.jp/data/china/image_1923th/81858479.pdf","81858479")</f>
        <v>81858479</v>
      </c>
      <c r="F1023" s="9" t="s">
        <v>2852</v>
      </c>
      <c r="G1023" s="9" t="s">
        <v>2643</v>
      </c>
      <c r="H1023" s="11" t="s">
        <v>2853</v>
      </c>
      <c r="I1023" s="10">
        <v>45604</v>
      </c>
    </row>
    <row r="1024" spans="1:9" x14ac:dyDescent="0.15">
      <c r="A1024" s="9">
        <v>1023</v>
      </c>
      <c r="B1024" s="9" t="s">
        <v>9</v>
      </c>
      <c r="C1024" s="9">
        <v>1923</v>
      </c>
      <c r="D1024" s="10">
        <v>45701</v>
      </c>
      <c r="E1024" s="13" t="str">
        <f>+HYPERLINK("http://trademark.i-assist.jp/data/china/image_1923th/81858609.pdf","81858609")</f>
        <v>81858609</v>
      </c>
      <c r="F1024" s="9" t="s">
        <v>2854</v>
      </c>
      <c r="G1024" s="9" t="s">
        <v>2688</v>
      </c>
      <c r="H1024" s="9" t="s">
        <v>2855</v>
      </c>
      <c r="I1024" s="10">
        <v>45604</v>
      </c>
    </row>
    <row r="1025" spans="1:9" x14ac:dyDescent="0.15">
      <c r="A1025" s="9">
        <v>1024</v>
      </c>
      <c r="B1025" s="9" t="s">
        <v>9</v>
      </c>
      <c r="C1025" s="9">
        <v>1923</v>
      </c>
      <c r="D1025" s="10">
        <v>45701</v>
      </c>
      <c r="E1025" s="13" t="str">
        <f>+HYPERLINK("http://trademark.i-assist.jp/data/china/image_1923th/81858762.pdf","81858762")</f>
        <v>81858762</v>
      </c>
      <c r="F1025" s="9" t="s">
        <v>2856</v>
      </c>
      <c r="G1025" s="9" t="s">
        <v>2857</v>
      </c>
      <c r="H1025" s="9" t="s">
        <v>2858</v>
      </c>
      <c r="I1025" s="10">
        <v>45604</v>
      </c>
    </row>
    <row r="1026" spans="1:9" x14ac:dyDescent="0.15">
      <c r="A1026" s="9">
        <v>1025</v>
      </c>
      <c r="B1026" s="9" t="s">
        <v>9</v>
      </c>
      <c r="C1026" s="9">
        <v>1923</v>
      </c>
      <c r="D1026" s="10">
        <v>45701</v>
      </c>
      <c r="E1026" s="13" t="str">
        <f>+HYPERLINK("http://trademark.i-assist.jp/data/china/image_1923th/81858864.pdf","81858864")</f>
        <v>81858864</v>
      </c>
      <c r="F1026" s="9" t="s">
        <v>2859</v>
      </c>
      <c r="G1026" s="9" t="s">
        <v>2570</v>
      </c>
      <c r="H1026" s="9" t="s">
        <v>2860</v>
      </c>
      <c r="I1026" s="10">
        <v>45604</v>
      </c>
    </row>
    <row r="1027" spans="1:9" x14ac:dyDescent="0.15">
      <c r="A1027" s="9">
        <v>1026</v>
      </c>
      <c r="B1027" s="9" t="s">
        <v>9</v>
      </c>
      <c r="C1027" s="9">
        <v>1923</v>
      </c>
      <c r="D1027" s="10">
        <v>45701</v>
      </c>
      <c r="E1027" s="13" t="str">
        <f>+HYPERLINK("http://trademark.i-assist.jp/data/china/image_1923th/81859011.pdf","81859011")</f>
        <v>81859011</v>
      </c>
      <c r="F1027" s="9" t="s">
        <v>2861</v>
      </c>
      <c r="G1027" s="9" t="s">
        <v>2862</v>
      </c>
      <c r="H1027" s="9" t="s">
        <v>2863</v>
      </c>
      <c r="I1027" s="10">
        <v>45604</v>
      </c>
    </row>
    <row r="1028" spans="1:9" x14ac:dyDescent="0.15">
      <c r="A1028" s="9">
        <v>1027</v>
      </c>
      <c r="B1028" s="9" t="s">
        <v>9</v>
      </c>
      <c r="C1028" s="9">
        <v>1923</v>
      </c>
      <c r="D1028" s="10">
        <v>45701</v>
      </c>
      <c r="E1028" s="13" t="str">
        <f>+HYPERLINK("http://trademark.i-assist.jp/data/china/image_1923th/81859031.pdf","81859031")</f>
        <v>81859031</v>
      </c>
      <c r="F1028" s="11" t="s">
        <v>2864</v>
      </c>
      <c r="G1028" s="9" t="s">
        <v>2862</v>
      </c>
      <c r="H1028" s="9" t="s">
        <v>2865</v>
      </c>
      <c r="I1028" s="10">
        <v>45604</v>
      </c>
    </row>
    <row r="1029" spans="1:9" x14ac:dyDescent="0.15">
      <c r="A1029" s="9">
        <v>1028</v>
      </c>
      <c r="B1029" s="9" t="s">
        <v>9</v>
      </c>
      <c r="C1029" s="9">
        <v>1923</v>
      </c>
      <c r="D1029" s="10">
        <v>45701</v>
      </c>
      <c r="E1029" s="13" t="str">
        <f>+HYPERLINK("http://trademark.i-assist.jp/data/china/image_1923th/81859199.pdf","81859199")</f>
        <v>81859199</v>
      </c>
      <c r="F1029" s="9" t="s">
        <v>2866</v>
      </c>
      <c r="G1029" s="11" t="s">
        <v>2867</v>
      </c>
      <c r="H1029" s="9" t="s">
        <v>2868</v>
      </c>
      <c r="I1029" s="10">
        <v>45604</v>
      </c>
    </row>
    <row r="1030" spans="1:9" x14ac:dyDescent="0.15">
      <c r="A1030" s="9">
        <v>1029</v>
      </c>
      <c r="B1030" s="9" t="s">
        <v>9</v>
      </c>
      <c r="C1030" s="9">
        <v>1923</v>
      </c>
      <c r="D1030" s="10">
        <v>45701</v>
      </c>
      <c r="E1030" s="13" t="str">
        <f>+HYPERLINK("http://trademark.i-assist.jp/data/china/image_1923th/81859336.pdf","81859336")</f>
        <v>81859336</v>
      </c>
      <c r="F1030" s="12" t="s">
        <v>2869</v>
      </c>
      <c r="G1030" s="9" t="s">
        <v>2678</v>
      </c>
      <c r="H1030" s="9" t="s">
        <v>2870</v>
      </c>
      <c r="I1030" s="10">
        <v>45604</v>
      </c>
    </row>
    <row r="1031" spans="1:9" x14ac:dyDescent="0.15">
      <c r="A1031" s="9">
        <v>1030</v>
      </c>
      <c r="B1031" s="9" t="s">
        <v>9</v>
      </c>
      <c r="C1031" s="9">
        <v>1923</v>
      </c>
      <c r="D1031" s="10">
        <v>45701</v>
      </c>
      <c r="E1031" s="13" t="str">
        <f>+HYPERLINK("http://trademark.i-assist.jp/data/china/image_1923th/81859465.pdf","81859465")</f>
        <v>81859465</v>
      </c>
      <c r="F1031" s="9" t="s">
        <v>2871</v>
      </c>
      <c r="G1031" s="9" t="s">
        <v>2567</v>
      </c>
      <c r="H1031" s="11" t="s">
        <v>2872</v>
      </c>
      <c r="I1031" s="10">
        <v>45604</v>
      </c>
    </row>
    <row r="1032" spans="1:9" x14ac:dyDescent="0.15">
      <c r="A1032" s="9">
        <v>1031</v>
      </c>
      <c r="B1032" s="9" t="s">
        <v>9</v>
      </c>
      <c r="C1032" s="9">
        <v>1923</v>
      </c>
      <c r="D1032" s="10">
        <v>45701</v>
      </c>
      <c r="E1032" s="13" t="str">
        <f>+HYPERLINK("http://trademark.i-assist.jp/data/china/image_1923th/81859560.pdf","81859560")</f>
        <v>81859560</v>
      </c>
      <c r="F1032" s="9" t="s">
        <v>2873</v>
      </c>
      <c r="G1032" s="9" t="s">
        <v>2608</v>
      </c>
      <c r="H1032" s="9" t="s">
        <v>2874</v>
      </c>
      <c r="I1032" s="10">
        <v>45604</v>
      </c>
    </row>
    <row r="1033" spans="1:9" x14ac:dyDescent="0.15">
      <c r="A1033" s="9">
        <v>1032</v>
      </c>
      <c r="B1033" s="9" t="s">
        <v>9</v>
      </c>
      <c r="C1033" s="9">
        <v>1923</v>
      </c>
      <c r="D1033" s="10">
        <v>45701</v>
      </c>
      <c r="E1033" s="13" t="str">
        <f>+HYPERLINK("http://trademark.i-assist.jp/data/china/image_1923th/81859944.pdf","81859944")</f>
        <v>81859944</v>
      </c>
      <c r="F1033" s="9" t="s">
        <v>2875</v>
      </c>
      <c r="G1033" s="9" t="s">
        <v>2876</v>
      </c>
      <c r="H1033" s="11" t="s">
        <v>2877</v>
      </c>
      <c r="I1033" s="10">
        <v>45604</v>
      </c>
    </row>
    <row r="1034" spans="1:9" x14ac:dyDescent="0.15">
      <c r="A1034" s="9">
        <v>1033</v>
      </c>
      <c r="B1034" s="9" t="s">
        <v>9</v>
      </c>
      <c r="C1034" s="9">
        <v>1923</v>
      </c>
      <c r="D1034" s="10">
        <v>45701</v>
      </c>
      <c r="E1034" s="13" t="str">
        <f>+HYPERLINK("http://trademark.i-assist.jp/data/china/image_1923th/81860167.pdf","81860167")</f>
        <v>81860167</v>
      </c>
      <c r="F1034" s="9" t="s">
        <v>2878</v>
      </c>
      <c r="G1034" s="9" t="s">
        <v>2879</v>
      </c>
      <c r="H1034" s="9" t="s">
        <v>2880</v>
      </c>
      <c r="I1034" s="10">
        <v>45604</v>
      </c>
    </row>
    <row r="1035" spans="1:9" x14ac:dyDescent="0.15">
      <c r="A1035" s="9">
        <v>1034</v>
      </c>
      <c r="B1035" s="9" t="s">
        <v>9</v>
      </c>
      <c r="C1035" s="9">
        <v>1923</v>
      </c>
      <c r="D1035" s="10">
        <v>45701</v>
      </c>
      <c r="E1035" s="13" t="str">
        <f>+HYPERLINK("http://trademark.i-assist.jp/data/china/image_1923th/81860313.pdf","81860313")</f>
        <v>81860313</v>
      </c>
      <c r="F1035" s="9" t="s">
        <v>2881</v>
      </c>
      <c r="G1035" s="9" t="s">
        <v>2370</v>
      </c>
      <c r="H1035" s="9" t="s">
        <v>2882</v>
      </c>
      <c r="I1035" s="10">
        <v>45604</v>
      </c>
    </row>
    <row r="1036" spans="1:9" x14ac:dyDescent="0.15">
      <c r="A1036" s="9">
        <v>1035</v>
      </c>
      <c r="B1036" s="9" t="s">
        <v>9</v>
      </c>
      <c r="C1036" s="9">
        <v>1923</v>
      </c>
      <c r="D1036" s="10">
        <v>45701</v>
      </c>
      <c r="E1036" s="13" t="str">
        <f>+HYPERLINK("http://trademark.i-assist.jp/data/china/image_1923th/81860377.pdf","81860377")</f>
        <v>81860377</v>
      </c>
      <c r="F1036" s="9" t="s">
        <v>2883</v>
      </c>
      <c r="G1036" s="9" t="s">
        <v>2336</v>
      </c>
      <c r="H1036" s="9" t="s">
        <v>2884</v>
      </c>
      <c r="I1036" s="10">
        <v>45604</v>
      </c>
    </row>
    <row r="1037" spans="1:9" x14ac:dyDescent="0.15">
      <c r="A1037" s="9">
        <v>1036</v>
      </c>
      <c r="B1037" s="9" t="s">
        <v>9</v>
      </c>
      <c r="C1037" s="9">
        <v>1923</v>
      </c>
      <c r="D1037" s="10">
        <v>45701</v>
      </c>
      <c r="E1037" s="13" t="str">
        <f>+HYPERLINK("http://trademark.i-assist.jp/data/china/image_1923th/81860454.pdf","81860454")</f>
        <v>81860454</v>
      </c>
      <c r="F1037" s="11" t="s">
        <v>2885</v>
      </c>
      <c r="G1037" s="9" t="s">
        <v>2737</v>
      </c>
      <c r="H1037" s="9" t="s">
        <v>2886</v>
      </c>
      <c r="I1037" s="10">
        <v>45604</v>
      </c>
    </row>
    <row r="1038" spans="1:9" x14ac:dyDescent="0.15">
      <c r="A1038" s="9">
        <v>1037</v>
      </c>
      <c r="B1038" s="9" t="s">
        <v>9</v>
      </c>
      <c r="C1038" s="9">
        <v>1923</v>
      </c>
      <c r="D1038" s="10">
        <v>45701</v>
      </c>
      <c r="E1038" s="13" t="str">
        <f>+HYPERLINK("http://trademark.i-assist.jp/data/china/image_1923th/81860915.pdf","81860915")</f>
        <v>81860915</v>
      </c>
      <c r="F1038" s="11" t="s">
        <v>2887</v>
      </c>
      <c r="G1038" s="9" t="s">
        <v>2684</v>
      </c>
      <c r="H1038" s="9" t="s">
        <v>2888</v>
      </c>
      <c r="I1038" s="10">
        <v>45604</v>
      </c>
    </row>
    <row r="1039" spans="1:9" x14ac:dyDescent="0.15">
      <c r="A1039" s="9">
        <v>1038</v>
      </c>
      <c r="B1039" s="9" t="s">
        <v>9</v>
      </c>
      <c r="C1039" s="9">
        <v>1923</v>
      </c>
      <c r="D1039" s="10">
        <v>45701</v>
      </c>
      <c r="E1039" s="13" t="str">
        <f>+HYPERLINK("http://trademark.i-assist.jp/data/china/image_1923th/81861360.pdf","81861360")</f>
        <v>81861360</v>
      </c>
      <c r="F1039" s="9" t="s">
        <v>2889</v>
      </c>
      <c r="G1039" s="9" t="s">
        <v>2890</v>
      </c>
      <c r="H1039" s="9" t="s">
        <v>2891</v>
      </c>
      <c r="I1039" s="10">
        <v>45604</v>
      </c>
    </row>
    <row r="1040" spans="1:9" x14ac:dyDescent="0.15">
      <c r="A1040" s="9">
        <v>1039</v>
      </c>
      <c r="B1040" s="9" t="s">
        <v>9</v>
      </c>
      <c r="C1040" s="9">
        <v>1923</v>
      </c>
      <c r="D1040" s="10">
        <v>45701</v>
      </c>
      <c r="E1040" s="13" t="str">
        <f>+HYPERLINK("http://trademark.i-assist.jp/data/china/image_1923th/81861664.pdf","81861664")</f>
        <v>81861664</v>
      </c>
      <c r="F1040" s="9" t="s">
        <v>2892</v>
      </c>
      <c r="G1040" s="9" t="s">
        <v>2737</v>
      </c>
      <c r="H1040" s="9" t="s">
        <v>2893</v>
      </c>
      <c r="I1040" s="10">
        <v>45604</v>
      </c>
    </row>
    <row r="1041" spans="1:9" x14ac:dyDescent="0.15">
      <c r="A1041" s="9">
        <v>1040</v>
      </c>
      <c r="B1041" s="9" t="s">
        <v>9</v>
      </c>
      <c r="C1041" s="9">
        <v>1923</v>
      </c>
      <c r="D1041" s="10">
        <v>45701</v>
      </c>
      <c r="E1041" s="13" t="str">
        <f>+HYPERLINK("http://trademark.i-assist.jp/data/china/image_1923th/81861668.pdf","81861668")</f>
        <v>81861668</v>
      </c>
      <c r="F1041" s="9" t="s">
        <v>2894</v>
      </c>
      <c r="G1041" s="9" t="s">
        <v>2895</v>
      </c>
      <c r="H1041" s="9" t="s">
        <v>2896</v>
      </c>
      <c r="I1041" s="10">
        <v>45604</v>
      </c>
    </row>
    <row r="1042" spans="1:9" x14ac:dyDescent="0.15">
      <c r="A1042" s="9">
        <v>1041</v>
      </c>
      <c r="B1042" s="9" t="s">
        <v>9</v>
      </c>
      <c r="C1042" s="9">
        <v>1923</v>
      </c>
      <c r="D1042" s="10">
        <v>45701</v>
      </c>
      <c r="E1042" s="13" t="str">
        <f>+HYPERLINK("http://trademark.i-assist.jp/data/china/image_1923th/81861936.pdf","81861936")</f>
        <v>81861936</v>
      </c>
      <c r="F1042" s="9" t="s">
        <v>2897</v>
      </c>
      <c r="G1042" s="11" t="s">
        <v>2898</v>
      </c>
      <c r="H1042" s="9" t="s">
        <v>2899</v>
      </c>
      <c r="I1042" s="10">
        <v>45604</v>
      </c>
    </row>
    <row r="1043" spans="1:9" x14ac:dyDescent="0.15">
      <c r="A1043" s="9">
        <v>1042</v>
      </c>
      <c r="B1043" s="9" t="s">
        <v>9</v>
      </c>
      <c r="C1043" s="9">
        <v>1923</v>
      </c>
      <c r="D1043" s="10">
        <v>45701</v>
      </c>
      <c r="E1043" s="13" t="str">
        <f>+HYPERLINK("http://trademark.i-assist.jp/data/china/image_1923th/81862085.pdf","81862085")</f>
        <v>81862085</v>
      </c>
      <c r="F1043" s="9" t="s">
        <v>2900</v>
      </c>
      <c r="G1043" s="9" t="s">
        <v>2901</v>
      </c>
      <c r="H1043" s="9" t="s">
        <v>2902</v>
      </c>
      <c r="I1043" s="10">
        <v>45604</v>
      </c>
    </row>
    <row r="1044" spans="1:9" x14ac:dyDescent="0.15">
      <c r="A1044" s="9">
        <v>1043</v>
      </c>
      <c r="B1044" s="9" t="s">
        <v>9</v>
      </c>
      <c r="C1044" s="9">
        <v>1923</v>
      </c>
      <c r="D1044" s="10">
        <v>45701</v>
      </c>
      <c r="E1044" s="13" t="str">
        <f>+HYPERLINK("http://trademark.i-assist.jp/data/china/image_1923th/81862394.pdf","81862394")</f>
        <v>81862394</v>
      </c>
      <c r="F1044" s="9" t="s">
        <v>2903</v>
      </c>
      <c r="G1044" s="11" t="s">
        <v>2904</v>
      </c>
      <c r="H1044" s="9" t="s">
        <v>2905</v>
      </c>
      <c r="I1044" s="10">
        <v>45604</v>
      </c>
    </row>
    <row r="1045" spans="1:9" x14ac:dyDescent="0.15">
      <c r="A1045" s="9">
        <v>1044</v>
      </c>
      <c r="B1045" s="9" t="s">
        <v>9</v>
      </c>
      <c r="C1045" s="9">
        <v>1923</v>
      </c>
      <c r="D1045" s="10">
        <v>45701</v>
      </c>
      <c r="E1045" s="13" t="str">
        <f>+HYPERLINK("http://trademark.i-assist.jp/data/china/image_1923th/81862651.pdf","81862651")</f>
        <v>81862651</v>
      </c>
      <c r="F1045" s="11" t="s">
        <v>2906</v>
      </c>
      <c r="G1045" s="9" t="s">
        <v>2907</v>
      </c>
      <c r="H1045" s="9" t="s">
        <v>2908</v>
      </c>
      <c r="I1045" s="10">
        <v>45604</v>
      </c>
    </row>
    <row r="1046" spans="1:9" x14ac:dyDescent="0.15">
      <c r="A1046" s="9">
        <v>1045</v>
      </c>
      <c r="B1046" s="9" t="s">
        <v>9</v>
      </c>
      <c r="C1046" s="9">
        <v>1923</v>
      </c>
      <c r="D1046" s="10">
        <v>45701</v>
      </c>
      <c r="E1046" s="13" t="str">
        <f>+HYPERLINK("http://trademark.i-assist.jp/data/china/image_1923th/81862736.pdf","81862736")</f>
        <v>81862736</v>
      </c>
      <c r="F1046" s="11" t="s">
        <v>2909</v>
      </c>
      <c r="G1046" s="11" t="s">
        <v>2583</v>
      </c>
      <c r="H1046" s="9" t="s">
        <v>2910</v>
      </c>
      <c r="I1046" s="10">
        <v>45604</v>
      </c>
    </row>
    <row r="1047" spans="1:9" x14ac:dyDescent="0.15">
      <c r="A1047" s="9">
        <v>1046</v>
      </c>
      <c r="B1047" s="9" t="s">
        <v>9</v>
      </c>
      <c r="C1047" s="9">
        <v>1923</v>
      </c>
      <c r="D1047" s="10">
        <v>45701</v>
      </c>
      <c r="E1047" s="13" t="str">
        <f>+HYPERLINK("http://trademark.i-assist.jp/data/china/image_1923th/81862870.pdf","81862870")</f>
        <v>81862870</v>
      </c>
      <c r="F1047" s="11" t="s">
        <v>2911</v>
      </c>
      <c r="G1047" s="9" t="s">
        <v>2684</v>
      </c>
      <c r="H1047" s="9" t="s">
        <v>2912</v>
      </c>
      <c r="I1047" s="10">
        <v>45604</v>
      </c>
    </row>
    <row r="1048" spans="1:9" x14ac:dyDescent="0.15">
      <c r="A1048" s="9">
        <v>1047</v>
      </c>
      <c r="B1048" s="9" t="s">
        <v>9</v>
      </c>
      <c r="C1048" s="9">
        <v>1923</v>
      </c>
      <c r="D1048" s="10">
        <v>45701</v>
      </c>
      <c r="E1048" s="13" t="str">
        <f>+HYPERLINK("http://trademark.i-assist.jp/data/china/image_1923th/81862879.pdf","81862879")</f>
        <v>81862879</v>
      </c>
      <c r="F1048" s="11" t="s">
        <v>2913</v>
      </c>
      <c r="G1048" s="9" t="s">
        <v>2734</v>
      </c>
      <c r="H1048" s="9" t="s">
        <v>2914</v>
      </c>
      <c r="I1048" s="10">
        <v>45604</v>
      </c>
    </row>
    <row r="1049" spans="1:9" x14ac:dyDescent="0.15">
      <c r="A1049" s="9">
        <v>1048</v>
      </c>
      <c r="B1049" s="9" t="s">
        <v>9</v>
      </c>
      <c r="C1049" s="9">
        <v>1923</v>
      </c>
      <c r="D1049" s="10">
        <v>45701</v>
      </c>
      <c r="E1049" s="13" t="str">
        <f>+HYPERLINK("http://trademark.i-assist.jp/data/china/image_1923th/81863211.pdf","81863211")</f>
        <v>81863211</v>
      </c>
      <c r="F1049" s="11" t="s">
        <v>2915</v>
      </c>
      <c r="G1049" s="11" t="s">
        <v>2654</v>
      </c>
      <c r="H1049" s="9" t="s">
        <v>2916</v>
      </c>
      <c r="I1049" s="10">
        <v>45604</v>
      </c>
    </row>
    <row r="1050" spans="1:9" x14ac:dyDescent="0.15">
      <c r="A1050" s="9">
        <v>1049</v>
      </c>
      <c r="B1050" s="9" t="s">
        <v>9</v>
      </c>
      <c r="C1050" s="9">
        <v>1923</v>
      </c>
      <c r="D1050" s="10">
        <v>45701</v>
      </c>
      <c r="E1050" s="13" t="str">
        <f>+HYPERLINK("http://trademark.i-assist.jp/data/china/image_1923th/81863481.pdf","81863481")</f>
        <v>81863481</v>
      </c>
      <c r="F1050" s="9" t="s">
        <v>2917</v>
      </c>
      <c r="G1050" s="9" t="s">
        <v>2567</v>
      </c>
      <c r="H1050" s="11" t="s">
        <v>2918</v>
      </c>
      <c r="I1050" s="10">
        <v>45604</v>
      </c>
    </row>
    <row r="1051" spans="1:9" x14ac:dyDescent="0.15">
      <c r="A1051" s="9">
        <v>1050</v>
      </c>
      <c r="B1051" s="9" t="s">
        <v>9</v>
      </c>
      <c r="C1051" s="9">
        <v>1923</v>
      </c>
      <c r="D1051" s="10">
        <v>45701</v>
      </c>
      <c r="E1051" s="13" t="str">
        <f>+HYPERLINK("http://trademark.i-assist.jp/data/china/image_1923th/81863486.pdf","81863486")</f>
        <v>81863486</v>
      </c>
      <c r="F1051" s="9" t="s">
        <v>2919</v>
      </c>
      <c r="G1051" s="9" t="s">
        <v>2567</v>
      </c>
      <c r="H1051" s="9" t="s">
        <v>2920</v>
      </c>
      <c r="I1051" s="10">
        <v>45604</v>
      </c>
    </row>
    <row r="1052" spans="1:9" x14ac:dyDescent="0.15">
      <c r="A1052" s="9">
        <v>1051</v>
      </c>
      <c r="B1052" s="9" t="s">
        <v>9</v>
      </c>
      <c r="C1052" s="9">
        <v>1923</v>
      </c>
      <c r="D1052" s="10">
        <v>45701</v>
      </c>
      <c r="E1052" s="13" t="str">
        <f>+HYPERLINK("http://trademark.i-assist.jp/data/china/image_1923th/81864301.pdf","81864301")</f>
        <v>81864301</v>
      </c>
      <c r="F1052" s="11" t="s">
        <v>2921</v>
      </c>
      <c r="G1052" s="11" t="s">
        <v>2922</v>
      </c>
      <c r="H1052" s="9" t="s">
        <v>2923</v>
      </c>
      <c r="I1052" s="10">
        <v>45604</v>
      </c>
    </row>
    <row r="1053" spans="1:9" x14ac:dyDescent="0.15">
      <c r="A1053" s="9">
        <v>1052</v>
      </c>
      <c r="B1053" s="9" t="s">
        <v>9</v>
      </c>
      <c r="C1053" s="9">
        <v>1923</v>
      </c>
      <c r="D1053" s="10">
        <v>45701</v>
      </c>
      <c r="E1053" s="13" t="str">
        <f>+HYPERLINK("http://trademark.i-assist.jp/data/china/image_1923th/81864673.pdf","81864673")</f>
        <v>81864673</v>
      </c>
      <c r="F1053" s="9" t="s">
        <v>2924</v>
      </c>
      <c r="G1053" s="9" t="s">
        <v>2925</v>
      </c>
      <c r="H1053" s="9" t="s">
        <v>2926</v>
      </c>
      <c r="I1053" s="10">
        <v>45604</v>
      </c>
    </row>
    <row r="1054" spans="1:9" x14ac:dyDescent="0.15">
      <c r="A1054" s="9">
        <v>1053</v>
      </c>
      <c r="B1054" s="9" t="s">
        <v>9</v>
      </c>
      <c r="C1054" s="9">
        <v>1923</v>
      </c>
      <c r="D1054" s="10">
        <v>45701</v>
      </c>
      <c r="E1054" s="13" t="str">
        <f>+HYPERLINK("http://trademark.i-assist.jp/data/china/image_1923th/81865161.pdf","81865161")</f>
        <v>81865161</v>
      </c>
      <c r="F1054" s="11" t="s">
        <v>2927</v>
      </c>
      <c r="G1054" s="9" t="s">
        <v>2734</v>
      </c>
      <c r="H1054" s="9" t="s">
        <v>2928</v>
      </c>
      <c r="I1054" s="10">
        <v>45604</v>
      </c>
    </row>
    <row r="1055" spans="1:9" x14ac:dyDescent="0.15">
      <c r="A1055" s="9">
        <v>1054</v>
      </c>
      <c r="B1055" s="9" t="s">
        <v>9</v>
      </c>
      <c r="C1055" s="9">
        <v>1923</v>
      </c>
      <c r="D1055" s="10">
        <v>45701</v>
      </c>
      <c r="E1055" s="13" t="str">
        <f>+HYPERLINK("http://trademark.i-assist.jp/data/china/image_1923th/81865609.pdf","81865609")</f>
        <v>81865609</v>
      </c>
      <c r="F1055" s="9" t="s">
        <v>2929</v>
      </c>
      <c r="G1055" s="9" t="s">
        <v>2570</v>
      </c>
      <c r="H1055" s="11" t="s">
        <v>2930</v>
      </c>
      <c r="I1055" s="10">
        <v>45604</v>
      </c>
    </row>
    <row r="1056" spans="1:9" x14ac:dyDescent="0.15">
      <c r="A1056" s="9">
        <v>1055</v>
      </c>
      <c r="B1056" s="9" t="s">
        <v>9</v>
      </c>
      <c r="C1056" s="9">
        <v>1923</v>
      </c>
      <c r="D1056" s="10">
        <v>45701</v>
      </c>
      <c r="E1056" s="13" t="str">
        <f>+HYPERLINK("http://trademark.i-assist.jp/data/china/image_1923th/81865682.pdf","81865682")</f>
        <v>81865682</v>
      </c>
      <c r="F1056" s="9" t="s">
        <v>2931</v>
      </c>
      <c r="G1056" s="11" t="s">
        <v>2697</v>
      </c>
      <c r="H1056" s="11" t="s">
        <v>2932</v>
      </c>
      <c r="I1056" s="10">
        <v>45604</v>
      </c>
    </row>
    <row r="1057" spans="1:9" x14ac:dyDescent="0.15">
      <c r="A1057" s="9">
        <v>1056</v>
      </c>
      <c r="B1057" s="9" t="s">
        <v>9</v>
      </c>
      <c r="C1057" s="9">
        <v>1923</v>
      </c>
      <c r="D1057" s="10">
        <v>45701</v>
      </c>
      <c r="E1057" s="13" t="str">
        <f>+HYPERLINK("http://trademark.i-assist.jp/data/china/image_1923th/81866500.pdf","81866500")</f>
        <v>81866500</v>
      </c>
      <c r="F1057" s="9" t="s">
        <v>2933</v>
      </c>
      <c r="G1057" s="11" t="s">
        <v>2934</v>
      </c>
      <c r="H1057" s="9" t="s">
        <v>2935</v>
      </c>
      <c r="I1057" s="10">
        <v>45605</v>
      </c>
    </row>
    <row r="1058" spans="1:9" x14ac:dyDescent="0.15">
      <c r="A1058" s="9">
        <v>1057</v>
      </c>
      <c r="B1058" s="9" t="s">
        <v>9</v>
      </c>
      <c r="C1058" s="9">
        <v>1923</v>
      </c>
      <c r="D1058" s="10">
        <v>45701</v>
      </c>
      <c r="E1058" s="13" t="str">
        <f>+HYPERLINK("http://trademark.i-assist.jp/data/china/image_1923th/81866700.pdf","81866700")</f>
        <v>81866700</v>
      </c>
      <c r="F1058" s="9" t="s">
        <v>2936</v>
      </c>
      <c r="G1058" s="9" t="s">
        <v>2937</v>
      </c>
      <c r="H1058" s="11" t="s">
        <v>2938</v>
      </c>
      <c r="I1058" s="10">
        <v>45605</v>
      </c>
    </row>
    <row r="1059" spans="1:9" x14ac:dyDescent="0.15">
      <c r="A1059" s="9">
        <v>1058</v>
      </c>
      <c r="B1059" s="9" t="s">
        <v>9</v>
      </c>
      <c r="C1059" s="9">
        <v>1923</v>
      </c>
      <c r="D1059" s="10">
        <v>45701</v>
      </c>
      <c r="E1059" s="13" t="str">
        <f>+HYPERLINK("http://trademark.i-assist.jp/data/china/image_1923th/81866800.pdf","81866800")</f>
        <v>81866800</v>
      </c>
      <c r="F1059" s="9" t="s">
        <v>2939</v>
      </c>
      <c r="G1059" s="9" t="s">
        <v>2940</v>
      </c>
      <c r="H1059" s="9" t="s">
        <v>2941</v>
      </c>
      <c r="I1059" s="10">
        <v>45605</v>
      </c>
    </row>
    <row r="1060" spans="1:9" x14ac:dyDescent="0.15">
      <c r="A1060" s="9">
        <v>1059</v>
      </c>
      <c r="B1060" s="9" t="s">
        <v>9</v>
      </c>
      <c r="C1060" s="9">
        <v>1923</v>
      </c>
      <c r="D1060" s="10">
        <v>45701</v>
      </c>
      <c r="E1060" s="13" t="str">
        <f>+HYPERLINK("http://trademark.i-assist.jp/data/china/image_1923th/81867286.pdf","81867286")</f>
        <v>81867286</v>
      </c>
      <c r="F1060" s="9" t="s">
        <v>2942</v>
      </c>
      <c r="G1060" s="11" t="s">
        <v>2943</v>
      </c>
      <c r="H1060" s="9" t="s">
        <v>2944</v>
      </c>
      <c r="I1060" s="10">
        <v>45605</v>
      </c>
    </row>
    <row r="1061" spans="1:9" x14ac:dyDescent="0.15">
      <c r="A1061" s="9">
        <v>1060</v>
      </c>
      <c r="B1061" s="9" t="s">
        <v>9</v>
      </c>
      <c r="C1061" s="9">
        <v>1923</v>
      </c>
      <c r="D1061" s="10">
        <v>45701</v>
      </c>
      <c r="E1061" s="13" t="str">
        <f>+HYPERLINK("http://trademark.i-assist.jp/data/china/image_1923th/81867293.pdf","81867293")</f>
        <v>81867293</v>
      </c>
      <c r="F1061" s="9" t="s">
        <v>2945</v>
      </c>
      <c r="G1061" s="11" t="s">
        <v>2943</v>
      </c>
      <c r="H1061" s="9" t="s">
        <v>2946</v>
      </c>
      <c r="I1061" s="10">
        <v>45605</v>
      </c>
    </row>
    <row r="1062" spans="1:9" x14ac:dyDescent="0.15">
      <c r="A1062" s="9">
        <v>1061</v>
      </c>
      <c r="B1062" s="9" t="s">
        <v>9</v>
      </c>
      <c r="C1062" s="9">
        <v>1923</v>
      </c>
      <c r="D1062" s="10">
        <v>45701</v>
      </c>
      <c r="E1062" s="13" t="str">
        <f>+HYPERLINK("http://trademark.i-assist.jp/data/china/image_1923th/81867479.pdf","81867479")</f>
        <v>81867479</v>
      </c>
      <c r="F1062" s="9" t="s">
        <v>2947</v>
      </c>
      <c r="G1062" s="9" t="s">
        <v>2948</v>
      </c>
      <c r="H1062" s="9" t="s">
        <v>2949</v>
      </c>
      <c r="I1062" s="10">
        <v>45605</v>
      </c>
    </row>
    <row r="1063" spans="1:9" x14ac:dyDescent="0.15">
      <c r="A1063" s="9">
        <v>1062</v>
      </c>
      <c r="B1063" s="9" t="s">
        <v>9</v>
      </c>
      <c r="C1063" s="9">
        <v>1923</v>
      </c>
      <c r="D1063" s="10">
        <v>45701</v>
      </c>
      <c r="E1063" s="13" t="str">
        <f>+HYPERLINK("http://trademark.i-assist.jp/data/china/image_1923th/81867634.pdf","81867634")</f>
        <v>81867634</v>
      </c>
      <c r="F1063" s="9" t="s">
        <v>2950</v>
      </c>
      <c r="G1063" s="9" t="s">
        <v>2951</v>
      </c>
      <c r="H1063" s="9" t="s">
        <v>2952</v>
      </c>
      <c r="I1063" s="10">
        <v>45605</v>
      </c>
    </row>
    <row r="1064" spans="1:9" x14ac:dyDescent="0.15">
      <c r="A1064" s="9">
        <v>1063</v>
      </c>
      <c r="B1064" s="9" t="s">
        <v>9</v>
      </c>
      <c r="C1064" s="9">
        <v>1923</v>
      </c>
      <c r="D1064" s="10">
        <v>45701</v>
      </c>
      <c r="E1064" s="13" t="str">
        <f>+HYPERLINK("http://trademark.i-assist.jp/data/china/image_1923th/81868107.pdf","81868107")</f>
        <v>81868107</v>
      </c>
      <c r="F1064" s="9" t="s">
        <v>2953</v>
      </c>
      <c r="G1064" s="11" t="s">
        <v>2954</v>
      </c>
      <c r="H1064" s="9" t="s">
        <v>2955</v>
      </c>
      <c r="I1064" s="10">
        <v>45605</v>
      </c>
    </row>
    <row r="1065" spans="1:9" x14ac:dyDescent="0.15">
      <c r="A1065" s="9">
        <v>1064</v>
      </c>
      <c r="B1065" s="9" t="s">
        <v>9</v>
      </c>
      <c r="C1065" s="9">
        <v>1923</v>
      </c>
      <c r="D1065" s="10">
        <v>45701</v>
      </c>
      <c r="E1065" s="13" t="str">
        <f>+HYPERLINK("http://trademark.i-assist.jp/data/china/image_1923th/81868124.pdf","81868124")</f>
        <v>81868124</v>
      </c>
      <c r="F1065" s="11" t="s">
        <v>2956</v>
      </c>
      <c r="G1065" s="11" t="s">
        <v>2957</v>
      </c>
      <c r="H1065" s="9" t="s">
        <v>2958</v>
      </c>
      <c r="I1065" s="10">
        <v>45605</v>
      </c>
    </row>
    <row r="1066" spans="1:9" x14ac:dyDescent="0.15">
      <c r="A1066" s="9">
        <v>1065</v>
      </c>
      <c r="B1066" s="9" t="s">
        <v>9</v>
      </c>
      <c r="C1066" s="9">
        <v>1923</v>
      </c>
      <c r="D1066" s="10">
        <v>45701</v>
      </c>
      <c r="E1066" s="13" t="str">
        <f>+HYPERLINK("http://trademark.i-assist.jp/data/china/image_1923th/81868337.pdf","81868337")</f>
        <v>81868337</v>
      </c>
      <c r="F1066" s="11" t="s">
        <v>126</v>
      </c>
      <c r="G1066" s="9" t="s">
        <v>2959</v>
      </c>
      <c r="H1066" s="9" t="s">
        <v>2960</v>
      </c>
      <c r="I1066" s="10">
        <v>45605</v>
      </c>
    </row>
    <row r="1067" spans="1:9" x14ac:dyDescent="0.15">
      <c r="A1067" s="9">
        <v>1066</v>
      </c>
      <c r="B1067" s="9" t="s">
        <v>9</v>
      </c>
      <c r="C1067" s="9">
        <v>1923</v>
      </c>
      <c r="D1067" s="10">
        <v>45701</v>
      </c>
      <c r="E1067" s="13" t="str">
        <f>+HYPERLINK("http://trademark.i-assist.jp/data/china/image_1923th/81868367.pdf","81868367")</f>
        <v>81868367</v>
      </c>
      <c r="F1067" s="9" t="s">
        <v>2961</v>
      </c>
      <c r="G1067" s="9" t="s">
        <v>2948</v>
      </c>
      <c r="H1067" s="9" t="s">
        <v>2962</v>
      </c>
      <c r="I1067" s="10">
        <v>45605</v>
      </c>
    </row>
    <row r="1068" spans="1:9" x14ac:dyDescent="0.15">
      <c r="A1068" s="9">
        <v>1067</v>
      </c>
      <c r="B1068" s="9" t="s">
        <v>9</v>
      </c>
      <c r="C1068" s="9">
        <v>1923</v>
      </c>
      <c r="D1068" s="10">
        <v>45701</v>
      </c>
      <c r="E1068" s="13" t="str">
        <f>+HYPERLINK("http://trademark.i-assist.jp/data/china/image_1923th/81868426.pdf","81868426")</f>
        <v>81868426</v>
      </c>
      <c r="F1068" s="9" t="s">
        <v>2963</v>
      </c>
      <c r="G1068" s="9" t="s">
        <v>2964</v>
      </c>
      <c r="H1068" s="11" t="s">
        <v>2965</v>
      </c>
      <c r="I1068" s="10">
        <v>45605</v>
      </c>
    </row>
    <row r="1069" spans="1:9" x14ac:dyDescent="0.15">
      <c r="A1069" s="9">
        <v>1068</v>
      </c>
      <c r="B1069" s="9" t="s">
        <v>9</v>
      </c>
      <c r="C1069" s="9">
        <v>1923</v>
      </c>
      <c r="D1069" s="10">
        <v>45701</v>
      </c>
      <c r="E1069" s="13" t="str">
        <f>+HYPERLINK("http://trademark.i-assist.jp/data/china/image_1923th/81868619.pdf","81868619")</f>
        <v>81868619</v>
      </c>
      <c r="F1069" s="9" t="s">
        <v>2966</v>
      </c>
      <c r="G1069" s="9" t="s">
        <v>2967</v>
      </c>
      <c r="H1069" s="9" t="s">
        <v>2968</v>
      </c>
      <c r="I1069" s="10">
        <v>45605</v>
      </c>
    </row>
    <row r="1070" spans="1:9" x14ac:dyDescent="0.15">
      <c r="A1070" s="9">
        <v>1069</v>
      </c>
      <c r="B1070" s="9" t="s">
        <v>9</v>
      </c>
      <c r="C1070" s="9">
        <v>1923</v>
      </c>
      <c r="D1070" s="10">
        <v>45701</v>
      </c>
      <c r="E1070" s="13" t="str">
        <f>+HYPERLINK("http://trademark.i-assist.jp/data/china/image_1923th/81868786.pdf","81868786")</f>
        <v>81868786</v>
      </c>
      <c r="F1070" s="11" t="s">
        <v>2969</v>
      </c>
      <c r="G1070" s="11" t="s">
        <v>2970</v>
      </c>
      <c r="H1070" s="9" t="s">
        <v>2971</v>
      </c>
      <c r="I1070" s="10">
        <v>45605</v>
      </c>
    </row>
    <row r="1071" spans="1:9" x14ac:dyDescent="0.15">
      <c r="A1071" s="9">
        <v>1070</v>
      </c>
      <c r="B1071" s="9" t="s">
        <v>9</v>
      </c>
      <c r="C1071" s="9">
        <v>1923</v>
      </c>
      <c r="D1071" s="10">
        <v>45701</v>
      </c>
      <c r="E1071" s="13" t="str">
        <f>+HYPERLINK("http://trademark.i-assist.jp/data/china/image_1923th/81869123.pdf","81869123")</f>
        <v>81869123</v>
      </c>
      <c r="F1071" s="9" t="s">
        <v>2972</v>
      </c>
      <c r="G1071" s="9" t="s">
        <v>2973</v>
      </c>
      <c r="H1071" s="9" t="s">
        <v>2974</v>
      </c>
      <c r="I1071" s="10">
        <v>45605</v>
      </c>
    </row>
    <row r="1072" spans="1:9" x14ac:dyDescent="0.15">
      <c r="A1072" s="9">
        <v>1071</v>
      </c>
      <c r="B1072" s="9" t="s">
        <v>9</v>
      </c>
      <c r="C1072" s="9">
        <v>1923</v>
      </c>
      <c r="D1072" s="10">
        <v>45701</v>
      </c>
      <c r="E1072" s="13" t="str">
        <f>+HYPERLINK("http://trademark.i-assist.jp/data/china/image_1923th/81869174.pdf","81869174")</f>
        <v>81869174</v>
      </c>
      <c r="F1072" s="9" t="s">
        <v>2975</v>
      </c>
      <c r="G1072" s="11" t="s">
        <v>2934</v>
      </c>
      <c r="H1072" s="11" t="s">
        <v>2976</v>
      </c>
      <c r="I1072" s="10">
        <v>45605</v>
      </c>
    </row>
    <row r="1073" spans="1:9" x14ac:dyDescent="0.15">
      <c r="A1073" s="9">
        <v>1072</v>
      </c>
      <c r="B1073" s="9" t="s">
        <v>9</v>
      </c>
      <c r="C1073" s="9">
        <v>1923</v>
      </c>
      <c r="D1073" s="10">
        <v>45701</v>
      </c>
      <c r="E1073" s="13" t="str">
        <f>+HYPERLINK("http://trademark.i-assist.jp/data/china/image_1923th/81869387.pdf","81869387")</f>
        <v>81869387</v>
      </c>
      <c r="F1073" s="11" t="s">
        <v>2977</v>
      </c>
      <c r="G1073" s="9" t="s">
        <v>2978</v>
      </c>
      <c r="H1073" s="9" t="s">
        <v>2979</v>
      </c>
      <c r="I1073" s="10">
        <v>45605</v>
      </c>
    </row>
    <row r="1074" spans="1:9" x14ac:dyDescent="0.15">
      <c r="A1074" s="9">
        <v>1073</v>
      </c>
      <c r="B1074" s="9" t="s">
        <v>9</v>
      </c>
      <c r="C1074" s="9">
        <v>1923</v>
      </c>
      <c r="D1074" s="10">
        <v>45701</v>
      </c>
      <c r="E1074" s="13" t="str">
        <f>+HYPERLINK("http://trademark.i-assist.jp/data/china/image_1923th/81869499.pdf","81869499")</f>
        <v>81869499</v>
      </c>
      <c r="F1074" s="11" t="s">
        <v>2980</v>
      </c>
      <c r="G1074" s="11" t="s">
        <v>2943</v>
      </c>
      <c r="H1074" s="9" t="s">
        <v>2981</v>
      </c>
      <c r="I1074" s="10">
        <v>45605</v>
      </c>
    </row>
    <row r="1075" spans="1:9" x14ac:dyDescent="0.15">
      <c r="A1075" s="9">
        <v>1074</v>
      </c>
      <c r="B1075" s="9" t="s">
        <v>9</v>
      </c>
      <c r="C1075" s="9">
        <v>1923</v>
      </c>
      <c r="D1075" s="10">
        <v>45701</v>
      </c>
      <c r="E1075" s="13" t="str">
        <f>+HYPERLINK("http://trademark.i-assist.jp/data/china/image_1923th/81869502.pdf","81869502")</f>
        <v>81869502</v>
      </c>
      <c r="F1075" s="9" t="s">
        <v>2982</v>
      </c>
      <c r="G1075" s="11" t="s">
        <v>2943</v>
      </c>
      <c r="H1075" s="11" t="s">
        <v>2983</v>
      </c>
      <c r="I1075" s="10">
        <v>45605</v>
      </c>
    </row>
    <row r="1076" spans="1:9" x14ac:dyDescent="0.15">
      <c r="A1076" s="9">
        <v>1075</v>
      </c>
      <c r="B1076" s="9" t="s">
        <v>9</v>
      </c>
      <c r="C1076" s="9">
        <v>1923</v>
      </c>
      <c r="D1076" s="10">
        <v>45701</v>
      </c>
      <c r="E1076" s="13" t="str">
        <f>+HYPERLINK("http://trademark.i-assist.jp/data/china/image_1923th/81869852.pdf","81869852")</f>
        <v>81869852</v>
      </c>
      <c r="F1076" s="11" t="s">
        <v>2984</v>
      </c>
      <c r="G1076" s="9" t="s">
        <v>48</v>
      </c>
      <c r="H1076" s="9" t="s">
        <v>2985</v>
      </c>
      <c r="I1076" s="10">
        <v>45605</v>
      </c>
    </row>
    <row r="1077" spans="1:9" x14ac:dyDescent="0.15">
      <c r="A1077" s="9">
        <v>1076</v>
      </c>
      <c r="B1077" s="9" t="s">
        <v>9</v>
      </c>
      <c r="C1077" s="9">
        <v>1923</v>
      </c>
      <c r="D1077" s="10">
        <v>45701</v>
      </c>
      <c r="E1077" s="13" t="str">
        <f>+HYPERLINK("http://trademark.i-assist.jp/data/china/image_1923th/81870520.pdf","81870520")</f>
        <v>81870520</v>
      </c>
      <c r="F1077" s="9" t="s">
        <v>2986</v>
      </c>
      <c r="G1077" s="9" t="s">
        <v>2967</v>
      </c>
      <c r="H1077" s="9" t="s">
        <v>2987</v>
      </c>
      <c r="I1077" s="10">
        <v>45605</v>
      </c>
    </row>
    <row r="1078" spans="1:9" x14ac:dyDescent="0.15">
      <c r="A1078" s="9">
        <v>1077</v>
      </c>
      <c r="B1078" s="9" t="s">
        <v>9</v>
      </c>
      <c r="C1078" s="9">
        <v>1923</v>
      </c>
      <c r="D1078" s="10">
        <v>45701</v>
      </c>
      <c r="E1078" s="13" t="str">
        <f>+HYPERLINK("http://trademark.i-assist.jp/data/china/image_1923th/81870566.pdf","81870566")</f>
        <v>81870566</v>
      </c>
      <c r="F1078" s="11" t="s">
        <v>2988</v>
      </c>
      <c r="G1078" s="11" t="s">
        <v>2957</v>
      </c>
      <c r="H1078" s="9" t="s">
        <v>2989</v>
      </c>
      <c r="I1078" s="10">
        <v>45605</v>
      </c>
    </row>
    <row r="1079" spans="1:9" x14ac:dyDescent="0.15">
      <c r="A1079" s="9">
        <v>1078</v>
      </c>
      <c r="B1079" s="9" t="s">
        <v>9</v>
      </c>
      <c r="C1079" s="9">
        <v>1923</v>
      </c>
      <c r="D1079" s="10">
        <v>45701</v>
      </c>
      <c r="E1079" s="13" t="str">
        <f>+HYPERLINK("http://trademark.i-assist.jp/data/china/image_1923th/81871053.pdf","81871053")</f>
        <v>81871053</v>
      </c>
      <c r="F1079" s="11" t="s">
        <v>2990</v>
      </c>
      <c r="G1079" s="11" t="s">
        <v>2991</v>
      </c>
      <c r="H1079" s="9" t="s">
        <v>2992</v>
      </c>
      <c r="I1079" s="10">
        <v>45605</v>
      </c>
    </row>
    <row r="1080" spans="1:9" x14ac:dyDescent="0.15">
      <c r="A1080" s="9">
        <v>1079</v>
      </c>
      <c r="B1080" s="9" t="s">
        <v>9</v>
      </c>
      <c r="C1080" s="9">
        <v>1923</v>
      </c>
      <c r="D1080" s="10">
        <v>45701</v>
      </c>
      <c r="E1080" s="13" t="str">
        <f>+HYPERLINK("http://trademark.i-assist.jp/data/china/image_1923th/81871197.pdf","81871197")</f>
        <v>81871197</v>
      </c>
      <c r="F1080" s="11" t="s">
        <v>126</v>
      </c>
      <c r="G1080" s="9" t="s">
        <v>2959</v>
      </c>
      <c r="H1080" s="9" t="s">
        <v>2993</v>
      </c>
      <c r="I1080" s="10">
        <v>45605</v>
      </c>
    </row>
    <row r="1081" spans="1:9" x14ac:dyDescent="0.15">
      <c r="A1081" s="9">
        <v>1080</v>
      </c>
      <c r="B1081" s="9" t="s">
        <v>9</v>
      </c>
      <c r="C1081" s="9">
        <v>1923</v>
      </c>
      <c r="D1081" s="10">
        <v>45701</v>
      </c>
      <c r="E1081" s="13" t="str">
        <f>+HYPERLINK("http://trademark.i-assist.jp/data/china/image_1923th/81871298.pdf","81871298")</f>
        <v>81871298</v>
      </c>
      <c r="F1081" s="9" t="s">
        <v>2994</v>
      </c>
      <c r="G1081" s="11" t="s">
        <v>2995</v>
      </c>
      <c r="H1081" s="9" t="s">
        <v>2996</v>
      </c>
      <c r="I1081" s="10">
        <v>45605</v>
      </c>
    </row>
    <row r="1082" spans="1:9" x14ac:dyDescent="0.15">
      <c r="A1082" s="9">
        <v>1081</v>
      </c>
      <c r="B1082" s="9" t="s">
        <v>9</v>
      </c>
      <c r="C1082" s="9">
        <v>1923</v>
      </c>
      <c r="D1082" s="10">
        <v>45701</v>
      </c>
      <c r="E1082" s="13" t="str">
        <f>+HYPERLINK("http://trademark.i-assist.jp/data/china/image_1923th/81871835.pdf","81871835")</f>
        <v>81871835</v>
      </c>
      <c r="F1082" s="9" t="s">
        <v>2997</v>
      </c>
      <c r="G1082" s="11" t="s">
        <v>2998</v>
      </c>
      <c r="H1082" s="11" t="s">
        <v>2999</v>
      </c>
      <c r="I1082" s="10">
        <v>45605</v>
      </c>
    </row>
    <row r="1083" spans="1:9" x14ac:dyDescent="0.15">
      <c r="A1083" s="9">
        <v>1082</v>
      </c>
      <c r="B1083" s="9" t="s">
        <v>9</v>
      </c>
      <c r="C1083" s="9">
        <v>1923</v>
      </c>
      <c r="D1083" s="10">
        <v>45701</v>
      </c>
      <c r="E1083" s="13" t="str">
        <f>+HYPERLINK("http://trademark.i-assist.jp/data/china/image_1923th/81871839.pdf","81871839")</f>
        <v>81871839</v>
      </c>
      <c r="F1083" s="9" t="s">
        <v>3000</v>
      </c>
      <c r="G1083" s="9" t="s">
        <v>40</v>
      </c>
      <c r="H1083" s="9" t="s">
        <v>3001</v>
      </c>
      <c r="I1083" s="10">
        <v>45605</v>
      </c>
    </row>
    <row r="1084" spans="1:9" x14ac:dyDescent="0.15">
      <c r="A1084" s="9">
        <v>1083</v>
      </c>
      <c r="B1084" s="9" t="s">
        <v>9</v>
      </c>
      <c r="C1084" s="9">
        <v>1923</v>
      </c>
      <c r="D1084" s="10">
        <v>45701</v>
      </c>
      <c r="E1084" s="13" t="str">
        <f>+HYPERLINK("http://trademark.i-assist.jp/data/china/image_1923th/81872635.pdf","81872635")</f>
        <v>81872635</v>
      </c>
      <c r="F1084" s="11" t="s">
        <v>3002</v>
      </c>
      <c r="G1084" s="9" t="s">
        <v>3003</v>
      </c>
      <c r="H1084" s="9" t="s">
        <v>3004</v>
      </c>
      <c r="I1084" s="10">
        <v>45605</v>
      </c>
    </row>
    <row r="1085" spans="1:9" x14ac:dyDescent="0.15">
      <c r="A1085" s="9">
        <v>1084</v>
      </c>
      <c r="B1085" s="9" t="s">
        <v>9</v>
      </c>
      <c r="C1085" s="9">
        <v>1923</v>
      </c>
      <c r="D1085" s="10">
        <v>45701</v>
      </c>
      <c r="E1085" s="13" t="str">
        <f>+HYPERLINK("http://trademark.i-assist.jp/data/china/image_1923th/81872713.pdf","81872713")</f>
        <v>81872713</v>
      </c>
      <c r="F1085" s="9" t="s">
        <v>3005</v>
      </c>
      <c r="G1085" s="9" t="s">
        <v>49</v>
      </c>
      <c r="H1085" s="9" t="s">
        <v>3006</v>
      </c>
      <c r="I1085" s="10">
        <v>45605</v>
      </c>
    </row>
    <row r="1086" spans="1:9" x14ac:dyDescent="0.15">
      <c r="A1086" s="9">
        <v>1085</v>
      </c>
      <c r="B1086" s="9" t="s">
        <v>9</v>
      </c>
      <c r="C1086" s="9">
        <v>1923</v>
      </c>
      <c r="D1086" s="10">
        <v>45701</v>
      </c>
      <c r="E1086" s="13" t="str">
        <f>+HYPERLINK("http://trademark.i-assist.jp/data/china/image_1923th/81873488.pdf","81873488")</f>
        <v>81873488</v>
      </c>
      <c r="F1086" s="9" t="s">
        <v>3007</v>
      </c>
      <c r="G1086" s="9" t="s">
        <v>3008</v>
      </c>
      <c r="H1086" s="9" t="s">
        <v>3009</v>
      </c>
      <c r="I1086" s="10">
        <v>45606</v>
      </c>
    </row>
    <row r="1087" spans="1:9" x14ac:dyDescent="0.15">
      <c r="A1087" s="9">
        <v>1086</v>
      </c>
      <c r="B1087" s="9" t="s">
        <v>9</v>
      </c>
      <c r="C1087" s="9">
        <v>1923</v>
      </c>
      <c r="D1087" s="10">
        <v>45701</v>
      </c>
      <c r="E1087" s="13" t="str">
        <f>+HYPERLINK("http://trademark.i-assist.jp/data/china/image_1923th/81873546.pdf","81873546")</f>
        <v>81873546</v>
      </c>
      <c r="F1087" s="9" t="s">
        <v>3010</v>
      </c>
      <c r="G1087" s="9" t="s">
        <v>3011</v>
      </c>
      <c r="H1087" s="9" t="s">
        <v>3012</v>
      </c>
      <c r="I1087" s="10">
        <v>45606</v>
      </c>
    </row>
    <row r="1088" spans="1:9" x14ac:dyDescent="0.15">
      <c r="A1088" s="9">
        <v>1087</v>
      </c>
      <c r="B1088" s="9" t="s">
        <v>9</v>
      </c>
      <c r="C1088" s="9">
        <v>1923</v>
      </c>
      <c r="D1088" s="10">
        <v>45701</v>
      </c>
      <c r="E1088" s="13" t="str">
        <f>+HYPERLINK("http://trademark.i-assist.jp/data/china/image_1923th/81873585.pdf","81873585")</f>
        <v>81873585</v>
      </c>
      <c r="F1088" s="9" t="s">
        <v>3013</v>
      </c>
      <c r="G1088" s="9" t="s">
        <v>3014</v>
      </c>
      <c r="H1088" s="9" t="s">
        <v>3015</v>
      </c>
      <c r="I1088" s="10">
        <v>45606</v>
      </c>
    </row>
    <row r="1089" spans="1:9" x14ac:dyDescent="0.15">
      <c r="A1089" s="9">
        <v>1088</v>
      </c>
      <c r="B1089" s="9" t="s">
        <v>9</v>
      </c>
      <c r="C1089" s="9">
        <v>1923</v>
      </c>
      <c r="D1089" s="10">
        <v>45701</v>
      </c>
      <c r="E1089" s="13" t="str">
        <f>+HYPERLINK("http://trademark.i-assist.jp/data/china/image_1923th/81873683.pdf","81873683")</f>
        <v>81873683</v>
      </c>
      <c r="F1089" s="9" t="s">
        <v>3016</v>
      </c>
      <c r="G1089" s="9" t="s">
        <v>3017</v>
      </c>
      <c r="H1089" s="9" t="s">
        <v>3018</v>
      </c>
      <c r="I1089" s="10">
        <v>45606</v>
      </c>
    </row>
    <row r="1090" spans="1:9" x14ac:dyDescent="0.15">
      <c r="A1090" s="9">
        <v>1089</v>
      </c>
      <c r="B1090" s="9" t="s">
        <v>9</v>
      </c>
      <c r="C1090" s="9">
        <v>1923</v>
      </c>
      <c r="D1090" s="10">
        <v>45701</v>
      </c>
      <c r="E1090" s="13" t="str">
        <f>+HYPERLINK("http://trademark.i-assist.jp/data/china/image_1923th/81873692.pdf","81873692")</f>
        <v>81873692</v>
      </c>
      <c r="F1090" s="9" t="s">
        <v>3019</v>
      </c>
      <c r="G1090" s="9" t="s">
        <v>3020</v>
      </c>
      <c r="H1090" s="9" t="s">
        <v>3021</v>
      </c>
      <c r="I1090" s="10">
        <v>45606</v>
      </c>
    </row>
    <row r="1091" spans="1:9" x14ac:dyDescent="0.15">
      <c r="A1091" s="9">
        <v>1090</v>
      </c>
      <c r="B1091" s="9" t="s">
        <v>9</v>
      </c>
      <c r="C1091" s="9">
        <v>1923</v>
      </c>
      <c r="D1091" s="10">
        <v>45701</v>
      </c>
      <c r="E1091" s="13" t="str">
        <f>+HYPERLINK("http://trademark.i-assist.jp/data/china/image_1923th/81874413.pdf","81874413")</f>
        <v>81874413</v>
      </c>
      <c r="F1091" s="9" t="s">
        <v>3022</v>
      </c>
      <c r="G1091" s="9" t="s">
        <v>3023</v>
      </c>
      <c r="H1091" s="9" t="s">
        <v>3024</v>
      </c>
      <c r="I1091" s="10">
        <v>45606</v>
      </c>
    </row>
    <row r="1092" spans="1:9" x14ac:dyDescent="0.15">
      <c r="A1092" s="9">
        <v>1091</v>
      </c>
      <c r="B1092" s="9" t="s">
        <v>9</v>
      </c>
      <c r="C1092" s="9">
        <v>1923</v>
      </c>
      <c r="D1092" s="10">
        <v>45701</v>
      </c>
      <c r="E1092" s="13" t="str">
        <f>+HYPERLINK("http://trademark.i-assist.jp/data/china/image_1923th/81874481.pdf","81874481")</f>
        <v>81874481</v>
      </c>
      <c r="F1092" s="9" t="s">
        <v>3025</v>
      </c>
      <c r="G1092" s="11" t="s">
        <v>3026</v>
      </c>
      <c r="H1092" s="9" t="s">
        <v>3027</v>
      </c>
      <c r="I1092" s="10">
        <v>45606</v>
      </c>
    </row>
    <row r="1093" spans="1:9" x14ac:dyDescent="0.15">
      <c r="A1093" s="9">
        <v>1092</v>
      </c>
      <c r="B1093" s="9" t="s">
        <v>9</v>
      </c>
      <c r="C1093" s="9">
        <v>1923</v>
      </c>
      <c r="D1093" s="10">
        <v>45701</v>
      </c>
      <c r="E1093" s="13" t="str">
        <f>+HYPERLINK("http://trademark.i-assist.jp/data/china/image_1923th/81874774.pdf","81874774")</f>
        <v>81874774</v>
      </c>
      <c r="F1093" s="9" t="s">
        <v>3028</v>
      </c>
      <c r="G1093" s="11" t="s">
        <v>3029</v>
      </c>
      <c r="H1093" s="9" t="s">
        <v>3030</v>
      </c>
      <c r="I1093" s="10">
        <v>45606</v>
      </c>
    </row>
    <row r="1094" spans="1:9" x14ac:dyDescent="0.15">
      <c r="A1094" s="9">
        <v>1093</v>
      </c>
      <c r="B1094" s="9" t="s">
        <v>9</v>
      </c>
      <c r="C1094" s="9">
        <v>1923</v>
      </c>
      <c r="D1094" s="10">
        <v>45701</v>
      </c>
      <c r="E1094" s="13" t="str">
        <f>+HYPERLINK("http://trademark.i-assist.jp/data/china/image_1923th/81874865.pdf","81874865")</f>
        <v>81874865</v>
      </c>
      <c r="F1094" s="9" t="s">
        <v>3031</v>
      </c>
      <c r="G1094" s="9" t="s">
        <v>3032</v>
      </c>
      <c r="H1094" s="9" t="s">
        <v>3033</v>
      </c>
      <c r="I1094" s="10">
        <v>45606</v>
      </c>
    </row>
    <row r="1095" spans="1:9" x14ac:dyDescent="0.15">
      <c r="A1095" s="9">
        <v>1094</v>
      </c>
      <c r="B1095" s="9" t="s">
        <v>9</v>
      </c>
      <c r="C1095" s="9">
        <v>1923</v>
      </c>
      <c r="D1095" s="10">
        <v>45701</v>
      </c>
      <c r="E1095" s="13" t="str">
        <f>+HYPERLINK("http://trademark.i-assist.jp/data/china/image_1923th/81874977.pdf","81874977")</f>
        <v>81874977</v>
      </c>
      <c r="F1095" s="9" t="s">
        <v>3034</v>
      </c>
      <c r="G1095" s="9" t="s">
        <v>3035</v>
      </c>
      <c r="H1095" s="9" t="s">
        <v>3036</v>
      </c>
      <c r="I1095" s="10">
        <v>45606</v>
      </c>
    </row>
    <row r="1096" spans="1:9" x14ac:dyDescent="0.15">
      <c r="A1096" s="9">
        <v>1095</v>
      </c>
      <c r="B1096" s="9" t="s">
        <v>9</v>
      </c>
      <c r="C1096" s="9">
        <v>1923</v>
      </c>
      <c r="D1096" s="10">
        <v>45701</v>
      </c>
      <c r="E1096" s="13" t="str">
        <f>+HYPERLINK("http://trademark.i-assist.jp/data/china/image_1923th/81875003.pdf","81875003")</f>
        <v>81875003</v>
      </c>
      <c r="F1096" s="9" t="s">
        <v>3037</v>
      </c>
      <c r="G1096" s="9" t="s">
        <v>3038</v>
      </c>
      <c r="H1096" s="9" t="s">
        <v>3039</v>
      </c>
      <c r="I1096" s="10">
        <v>45606</v>
      </c>
    </row>
    <row r="1097" spans="1:9" x14ac:dyDescent="0.15">
      <c r="A1097" s="9">
        <v>1096</v>
      </c>
      <c r="B1097" s="9" t="s">
        <v>9</v>
      </c>
      <c r="C1097" s="9">
        <v>1923</v>
      </c>
      <c r="D1097" s="10">
        <v>45701</v>
      </c>
      <c r="E1097" s="13" t="str">
        <f>+HYPERLINK("http://trademark.i-assist.jp/data/china/image_1923th/81875618.pdf","81875618")</f>
        <v>81875618</v>
      </c>
      <c r="F1097" s="11" t="s">
        <v>3040</v>
      </c>
      <c r="G1097" s="11" t="s">
        <v>3041</v>
      </c>
      <c r="H1097" s="11" t="s">
        <v>3042</v>
      </c>
      <c r="I1097" s="10">
        <v>45606</v>
      </c>
    </row>
    <row r="1098" spans="1:9" x14ac:dyDescent="0.15">
      <c r="A1098" s="9">
        <v>1097</v>
      </c>
      <c r="B1098" s="9" t="s">
        <v>9</v>
      </c>
      <c r="C1098" s="9">
        <v>1923</v>
      </c>
      <c r="D1098" s="10">
        <v>45701</v>
      </c>
      <c r="E1098" s="13" t="str">
        <f>+HYPERLINK("http://trademark.i-assist.jp/data/china/image_1923th/81875660.pdf","81875660")</f>
        <v>81875660</v>
      </c>
      <c r="F1098" s="11" t="s">
        <v>3043</v>
      </c>
      <c r="G1098" s="11" t="s">
        <v>3044</v>
      </c>
      <c r="H1098" s="9" t="s">
        <v>3045</v>
      </c>
      <c r="I1098" s="10">
        <v>45606</v>
      </c>
    </row>
    <row r="1099" spans="1:9" x14ac:dyDescent="0.15">
      <c r="A1099" s="9">
        <v>1098</v>
      </c>
      <c r="B1099" s="9" t="s">
        <v>9</v>
      </c>
      <c r="C1099" s="9">
        <v>1923</v>
      </c>
      <c r="D1099" s="10">
        <v>45701</v>
      </c>
      <c r="E1099" s="13" t="str">
        <f>+HYPERLINK("http://trademark.i-assist.jp/data/china/image_1923th/81875969.pdf","81875969")</f>
        <v>81875969</v>
      </c>
      <c r="F1099" s="11" t="s">
        <v>3046</v>
      </c>
      <c r="G1099" s="9" t="s">
        <v>3047</v>
      </c>
      <c r="H1099" s="9" t="s">
        <v>3048</v>
      </c>
      <c r="I1099" s="10">
        <v>45606</v>
      </c>
    </row>
    <row r="1100" spans="1:9" x14ac:dyDescent="0.15">
      <c r="A1100" s="9">
        <v>1099</v>
      </c>
      <c r="B1100" s="9" t="s">
        <v>9</v>
      </c>
      <c r="C1100" s="9">
        <v>1923</v>
      </c>
      <c r="D1100" s="10">
        <v>45701</v>
      </c>
      <c r="E1100" s="13" t="str">
        <f>+HYPERLINK("http://trademark.i-assist.jp/data/china/image_1923th/81876056.pdf","81876056")</f>
        <v>81876056</v>
      </c>
      <c r="F1100" s="11" t="s">
        <v>3049</v>
      </c>
      <c r="G1100" s="11" t="s">
        <v>3050</v>
      </c>
      <c r="H1100" s="9" t="s">
        <v>3051</v>
      </c>
      <c r="I1100" s="10">
        <v>45606</v>
      </c>
    </row>
    <row r="1101" spans="1:9" x14ac:dyDescent="0.15">
      <c r="A1101" s="9">
        <v>1100</v>
      </c>
      <c r="B1101" s="9" t="s">
        <v>9</v>
      </c>
      <c r="C1101" s="9">
        <v>1923</v>
      </c>
      <c r="D1101" s="10">
        <v>45701</v>
      </c>
      <c r="E1101" s="13" t="str">
        <f>+HYPERLINK("http://trademark.i-assist.jp/data/china/image_1923th/81876726.pdf","81876726")</f>
        <v>81876726</v>
      </c>
      <c r="F1101" s="9" t="s">
        <v>3052</v>
      </c>
      <c r="G1101" s="9" t="s">
        <v>3053</v>
      </c>
      <c r="H1101" s="9" t="s">
        <v>3054</v>
      </c>
      <c r="I1101" s="10">
        <v>45607</v>
      </c>
    </row>
    <row r="1102" spans="1:9" x14ac:dyDescent="0.15">
      <c r="A1102" s="9">
        <v>1101</v>
      </c>
      <c r="B1102" s="9" t="s">
        <v>9</v>
      </c>
      <c r="C1102" s="9">
        <v>1923</v>
      </c>
      <c r="D1102" s="10">
        <v>45701</v>
      </c>
      <c r="E1102" s="13" t="str">
        <f>+HYPERLINK("http://trademark.i-assist.jp/data/china/image_1923th/81877128.pdf","81877128")</f>
        <v>81877128</v>
      </c>
      <c r="F1102" s="9" t="s">
        <v>3055</v>
      </c>
      <c r="G1102" s="9" t="s">
        <v>3056</v>
      </c>
      <c r="H1102" s="9" t="s">
        <v>3057</v>
      </c>
      <c r="I1102" s="10">
        <v>45607</v>
      </c>
    </row>
    <row r="1103" spans="1:9" x14ac:dyDescent="0.15">
      <c r="A1103" s="9">
        <v>1102</v>
      </c>
      <c r="B1103" s="9" t="s">
        <v>9</v>
      </c>
      <c r="C1103" s="9">
        <v>1923</v>
      </c>
      <c r="D1103" s="10">
        <v>45701</v>
      </c>
      <c r="E1103" s="13" t="str">
        <f>+HYPERLINK("http://trademark.i-assist.jp/data/china/image_1923th/81877293.pdf","81877293")</f>
        <v>81877293</v>
      </c>
      <c r="F1103" s="11" t="s">
        <v>3058</v>
      </c>
      <c r="G1103" s="9" t="s">
        <v>3059</v>
      </c>
      <c r="H1103" s="9" t="s">
        <v>3060</v>
      </c>
      <c r="I1103" s="10">
        <v>45607</v>
      </c>
    </row>
    <row r="1104" spans="1:9" x14ac:dyDescent="0.15">
      <c r="A1104" s="9">
        <v>1103</v>
      </c>
      <c r="B1104" s="9" t="s">
        <v>9</v>
      </c>
      <c r="C1104" s="9">
        <v>1923</v>
      </c>
      <c r="D1104" s="10">
        <v>45701</v>
      </c>
      <c r="E1104" s="13" t="str">
        <f>+HYPERLINK("http://trademark.i-assist.jp/data/china/image_1923th/81877338.pdf","81877338")</f>
        <v>81877338</v>
      </c>
      <c r="F1104" s="9" t="s">
        <v>3061</v>
      </c>
      <c r="G1104" s="9" t="s">
        <v>3062</v>
      </c>
      <c r="H1104" s="9" t="s">
        <v>3063</v>
      </c>
      <c r="I1104" s="10">
        <v>45607</v>
      </c>
    </row>
    <row r="1105" spans="1:9" x14ac:dyDescent="0.15">
      <c r="A1105" s="9">
        <v>1104</v>
      </c>
      <c r="B1105" s="9" t="s">
        <v>9</v>
      </c>
      <c r="C1105" s="9">
        <v>1923</v>
      </c>
      <c r="D1105" s="10">
        <v>45701</v>
      </c>
      <c r="E1105" s="13" t="str">
        <f>+HYPERLINK("http://trademark.i-assist.jp/data/china/image_1923th/81877383.pdf","81877383")</f>
        <v>81877383</v>
      </c>
      <c r="F1105" s="9" t="s">
        <v>3064</v>
      </c>
      <c r="G1105" s="11" t="s">
        <v>3065</v>
      </c>
      <c r="H1105" s="9" t="s">
        <v>3066</v>
      </c>
      <c r="I1105" s="10">
        <v>45607</v>
      </c>
    </row>
    <row r="1106" spans="1:9" x14ac:dyDescent="0.15">
      <c r="A1106" s="9">
        <v>1105</v>
      </c>
      <c r="B1106" s="9" t="s">
        <v>9</v>
      </c>
      <c r="C1106" s="9">
        <v>1923</v>
      </c>
      <c r="D1106" s="10">
        <v>45701</v>
      </c>
      <c r="E1106" s="13" t="str">
        <f>+HYPERLINK("http://trademark.i-assist.jp/data/china/image_1923th/81877446.pdf","81877446")</f>
        <v>81877446</v>
      </c>
      <c r="F1106" s="11" t="s">
        <v>3067</v>
      </c>
      <c r="G1106" s="9" t="s">
        <v>3068</v>
      </c>
      <c r="H1106" s="9" t="s">
        <v>3069</v>
      </c>
      <c r="I1106" s="10">
        <v>45607</v>
      </c>
    </row>
    <row r="1107" spans="1:9" x14ac:dyDescent="0.15">
      <c r="A1107" s="9">
        <v>1106</v>
      </c>
      <c r="B1107" s="9" t="s">
        <v>9</v>
      </c>
      <c r="C1107" s="9">
        <v>1923</v>
      </c>
      <c r="D1107" s="10">
        <v>45701</v>
      </c>
      <c r="E1107" s="13" t="str">
        <f>+HYPERLINK("http://trademark.i-assist.jp/data/china/image_1923th/81877532.pdf","81877532")</f>
        <v>81877532</v>
      </c>
      <c r="F1107" s="9" t="s">
        <v>3070</v>
      </c>
      <c r="G1107" s="9" t="s">
        <v>3071</v>
      </c>
      <c r="H1107" s="9" t="s">
        <v>3072</v>
      </c>
      <c r="I1107" s="10">
        <v>45607</v>
      </c>
    </row>
    <row r="1108" spans="1:9" x14ac:dyDescent="0.15">
      <c r="A1108" s="9">
        <v>1107</v>
      </c>
      <c r="B1108" s="9" t="s">
        <v>9</v>
      </c>
      <c r="C1108" s="9">
        <v>1923</v>
      </c>
      <c r="D1108" s="10">
        <v>45701</v>
      </c>
      <c r="E1108" s="13" t="str">
        <f>+HYPERLINK("http://trademark.i-assist.jp/data/china/image_1923th/81877829.pdf","81877829")</f>
        <v>81877829</v>
      </c>
      <c r="F1108" s="9" t="s">
        <v>3073</v>
      </c>
      <c r="G1108" s="9" t="s">
        <v>3074</v>
      </c>
      <c r="H1108" s="9" t="s">
        <v>3075</v>
      </c>
      <c r="I1108" s="10">
        <v>45607</v>
      </c>
    </row>
    <row r="1109" spans="1:9" x14ac:dyDescent="0.15">
      <c r="A1109" s="9">
        <v>1108</v>
      </c>
      <c r="B1109" s="9" t="s">
        <v>9</v>
      </c>
      <c r="C1109" s="9">
        <v>1923</v>
      </c>
      <c r="D1109" s="10">
        <v>45701</v>
      </c>
      <c r="E1109" s="13" t="str">
        <f>+HYPERLINK("http://trademark.i-assist.jp/data/china/image_1923th/81877881.pdf","81877881")</f>
        <v>81877881</v>
      </c>
      <c r="F1109" s="11" t="s">
        <v>3076</v>
      </c>
      <c r="G1109" s="11" t="s">
        <v>3077</v>
      </c>
      <c r="H1109" s="9" t="s">
        <v>3078</v>
      </c>
      <c r="I1109" s="10">
        <v>45607</v>
      </c>
    </row>
    <row r="1110" spans="1:9" x14ac:dyDescent="0.15">
      <c r="A1110" s="9">
        <v>1109</v>
      </c>
      <c r="B1110" s="9" t="s">
        <v>9</v>
      </c>
      <c r="C1110" s="9">
        <v>1923</v>
      </c>
      <c r="D1110" s="10">
        <v>45701</v>
      </c>
      <c r="E1110" s="13" t="str">
        <f>+HYPERLINK("http://trademark.i-assist.jp/data/china/image_1923th/81878077.pdf","81878077")</f>
        <v>81878077</v>
      </c>
      <c r="F1110" s="9" t="s">
        <v>3079</v>
      </c>
      <c r="G1110" s="9" t="s">
        <v>3080</v>
      </c>
      <c r="H1110" s="9" t="s">
        <v>3081</v>
      </c>
      <c r="I1110" s="10">
        <v>45607</v>
      </c>
    </row>
    <row r="1111" spans="1:9" x14ac:dyDescent="0.15">
      <c r="A1111" s="9">
        <v>1110</v>
      </c>
      <c r="B1111" s="9" t="s">
        <v>9</v>
      </c>
      <c r="C1111" s="9">
        <v>1923</v>
      </c>
      <c r="D1111" s="10">
        <v>45701</v>
      </c>
      <c r="E1111" s="13" t="str">
        <f>+HYPERLINK("http://trademark.i-assist.jp/data/china/image_1923th/81878200.pdf","81878200")</f>
        <v>81878200</v>
      </c>
      <c r="F1111" s="9" t="s">
        <v>3082</v>
      </c>
      <c r="G1111" s="9" t="s">
        <v>3083</v>
      </c>
      <c r="H1111" s="9" t="s">
        <v>3084</v>
      </c>
      <c r="I1111" s="10">
        <v>45607</v>
      </c>
    </row>
    <row r="1112" spans="1:9" x14ac:dyDescent="0.15">
      <c r="A1112" s="9">
        <v>1111</v>
      </c>
      <c r="B1112" s="9" t="s">
        <v>9</v>
      </c>
      <c r="C1112" s="9">
        <v>1923</v>
      </c>
      <c r="D1112" s="10">
        <v>45701</v>
      </c>
      <c r="E1112" s="13" t="str">
        <f>+HYPERLINK("http://trademark.i-assist.jp/data/china/image_1923th/81878310.pdf","81878310")</f>
        <v>81878310</v>
      </c>
      <c r="F1112" s="11" t="s">
        <v>3085</v>
      </c>
      <c r="G1112" s="11" t="s">
        <v>3086</v>
      </c>
      <c r="H1112" s="9" t="s">
        <v>3087</v>
      </c>
      <c r="I1112" s="10">
        <v>45607</v>
      </c>
    </row>
    <row r="1113" spans="1:9" x14ac:dyDescent="0.15">
      <c r="A1113" s="9">
        <v>1112</v>
      </c>
      <c r="B1113" s="9" t="s">
        <v>9</v>
      </c>
      <c r="C1113" s="9">
        <v>1923</v>
      </c>
      <c r="D1113" s="10">
        <v>45701</v>
      </c>
      <c r="E1113" s="13" t="str">
        <f>+HYPERLINK("http://trademark.i-assist.jp/data/china/image_1923th/81878319.pdf","81878319")</f>
        <v>81878319</v>
      </c>
      <c r="F1113" s="9" t="s">
        <v>3088</v>
      </c>
      <c r="G1113" s="9" t="s">
        <v>3089</v>
      </c>
      <c r="H1113" s="9" t="s">
        <v>3090</v>
      </c>
      <c r="I1113" s="10">
        <v>45607</v>
      </c>
    </row>
    <row r="1114" spans="1:9" x14ac:dyDescent="0.15">
      <c r="A1114" s="9">
        <v>1113</v>
      </c>
      <c r="B1114" s="9" t="s">
        <v>9</v>
      </c>
      <c r="C1114" s="9">
        <v>1923</v>
      </c>
      <c r="D1114" s="10">
        <v>45701</v>
      </c>
      <c r="E1114" s="13" t="str">
        <f>+HYPERLINK("http://trademark.i-assist.jp/data/china/image_1923th/81878376.pdf","81878376")</f>
        <v>81878376</v>
      </c>
      <c r="F1114" s="9" t="s">
        <v>3091</v>
      </c>
      <c r="G1114" s="9" t="s">
        <v>3092</v>
      </c>
      <c r="H1114" s="9" t="s">
        <v>3093</v>
      </c>
      <c r="I1114" s="10">
        <v>45607</v>
      </c>
    </row>
    <row r="1115" spans="1:9" x14ac:dyDescent="0.15">
      <c r="A1115" s="9">
        <v>1114</v>
      </c>
      <c r="B1115" s="9" t="s">
        <v>9</v>
      </c>
      <c r="C1115" s="9">
        <v>1923</v>
      </c>
      <c r="D1115" s="10">
        <v>45701</v>
      </c>
      <c r="E1115" s="13" t="str">
        <f>+HYPERLINK("http://trademark.i-assist.jp/data/china/image_1923th/81878521.pdf","81878521")</f>
        <v>81878521</v>
      </c>
      <c r="F1115" s="9" t="s">
        <v>3094</v>
      </c>
      <c r="G1115" s="9" t="s">
        <v>3095</v>
      </c>
      <c r="H1115" s="9" t="s">
        <v>3096</v>
      </c>
      <c r="I1115" s="10">
        <v>45607</v>
      </c>
    </row>
    <row r="1116" spans="1:9" x14ac:dyDescent="0.15">
      <c r="A1116" s="9">
        <v>1115</v>
      </c>
      <c r="B1116" s="9" t="s">
        <v>9</v>
      </c>
      <c r="C1116" s="9">
        <v>1923</v>
      </c>
      <c r="D1116" s="10">
        <v>45701</v>
      </c>
      <c r="E1116" s="13" t="str">
        <f>+HYPERLINK("http://trademark.i-assist.jp/data/china/image_1923th/81878564.pdf","81878564")</f>
        <v>81878564</v>
      </c>
      <c r="F1116" s="11" t="s">
        <v>3097</v>
      </c>
      <c r="G1116" s="9" t="s">
        <v>3098</v>
      </c>
      <c r="H1116" s="9" t="s">
        <v>3099</v>
      </c>
      <c r="I1116" s="10">
        <v>45607</v>
      </c>
    </row>
    <row r="1117" spans="1:9" x14ac:dyDescent="0.15">
      <c r="A1117" s="9">
        <v>1116</v>
      </c>
      <c r="B1117" s="9" t="s">
        <v>9</v>
      </c>
      <c r="C1117" s="9">
        <v>1923</v>
      </c>
      <c r="D1117" s="10">
        <v>45701</v>
      </c>
      <c r="E1117" s="13" t="str">
        <f>+HYPERLINK("http://trademark.i-assist.jp/data/china/image_1923th/81878747.pdf","81878747")</f>
        <v>81878747</v>
      </c>
      <c r="F1117" s="9" t="s">
        <v>3100</v>
      </c>
      <c r="G1117" s="11" t="s">
        <v>3101</v>
      </c>
      <c r="H1117" s="9" t="s">
        <v>3102</v>
      </c>
      <c r="I1117" s="10">
        <v>45607</v>
      </c>
    </row>
    <row r="1118" spans="1:9" x14ac:dyDescent="0.15">
      <c r="A1118" s="9">
        <v>1117</v>
      </c>
      <c r="B1118" s="9" t="s">
        <v>9</v>
      </c>
      <c r="C1118" s="9">
        <v>1923</v>
      </c>
      <c r="D1118" s="10">
        <v>45701</v>
      </c>
      <c r="E1118" s="13" t="str">
        <f>+HYPERLINK("http://trademark.i-assist.jp/data/china/image_1923th/81879264.pdf","81879264")</f>
        <v>81879264</v>
      </c>
      <c r="F1118" s="9" t="s">
        <v>3103</v>
      </c>
      <c r="G1118" s="11" t="s">
        <v>3104</v>
      </c>
      <c r="H1118" s="9" t="s">
        <v>3105</v>
      </c>
      <c r="I1118" s="10">
        <v>45607</v>
      </c>
    </row>
    <row r="1119" spans="1:9" x14ac:dyDescent="0.15">
      <c r="A1119" s="9">
        <v>1118</v>
      </c>
      <c r="B1119" s="9" t="s">
        <v>9</v>
      </c>
      <c r="C1119" s="9">
        <v>1923</v>
      </c>
      <c r="D1119" s="10">
        <v>45701</v>
      </c>
      <c r="E1119" s="13" t="str">
        <f>+HYPERLINK("http://trademark.i-assist.jp/data/china/image_1923th/81879608.pdf","81879608")</f>
        <v>81879608</v>
      </c>
      <c r="F1119" s="11" t="s">
        <v>126</v>
      </c>
      <c r="G1119" s="9" t="s">
        <v>3106</v>
      </c>
      <c r="H1119" s="11" t="s">
        <v>3107</v>
      </c>
      <c r="I1119" s="10">
        <v>45607</v>
      </c>
    </row>
    <row r="1120" spans="1:9" x14ac:dyDescent="0.15">
      <c r="A1120" s="9">
        <v>1119</v>
      </c>
      <c r="B1120" s="9" t="s">
        <v>9</v>
      </c>
      <c r="C1120" s="9">
        <v>1923</v>
      </c>
      <c r="D1120" s="10">
        <v>45701</v>
      </c>
      <c r="E1120" s="13" t="str">
        <f>+HYPERLINK("http://trademark.i-assist.jp/data/china/image_1923th/81880232.pdf","81880232")</f>
        <v>81880232</v>
      </c>
      <c r="F1120" s="9" t="s">
        <v>3108</v>
      </c>
      <c r="G1120" s="9" t="s">
        <v>3068</v>
      </c>
      <c r="H1120" s="9" t="s">
        <v>3109</v>
      </c>
      <c r="I1120" s="10">
        <v>45607</v>
      </c>
    </row>
    <row r="1121" spans="1:9" x14ac:dyDescent="0.15">
      <c r="A1121" s="9">
        <v>1120</v>
      </c>
      <c r="B1121" s="9" t="s">
        <v>9</v>
      </c>
      <c r="C1121" s="9">
        <v>1923</v>
      </c>
      <c r="D1121" s="10">
        <v>45701</v>
      </c>
      <c r="E1121" s="13" t="str">
        <f>+HYPERLINK("http://trademark.i-assist.jp/data/china/image_1923th/81880237.pdf","81880237")</f>
        <v>81880237</v>
      </c>
      <c r="F1121" s="9" t="s">
        <v>3110</v>
      </c>
      <c r="G1121" s="9" t="s">
        <v>3111</v>
      </c>
      <c r="H1121" s="9" t="s">
        <v>3112</v>
      </c>
      <c r="I1121" s="10">
        <v>45607</v>
      </c>
    </row>
    <row r="1122" spans="1:9" x14ac:dyDescent="0.15">
      <c r="A1122" s="9">
        <v>1121</v>
      </c>
      <c r="B1122" s="9" t="s">
        <v>9</v>
      </c>
      <c r="C1122" s="9">
        <v>1923</v>
      </c>
      <c r="D1122" s="10">
        <v>45701</v>
      </c>
      <c r="E1122" s="13" t="str">
        <f>+HYPERLINK("http://trademark.i-assist.jp/data/china/image_1923th/81880238.pdf","81880238")</f>
        <v>81880238</v>
      </c>
      <c r="F1122" s="9" t="s">
        <v>3113</v>
      </c>
      <c r="G1122" s="9" t="s">
        <v>3068</v>
      </c>
      <c r="H1122" s="9" t="s">
        <v>3114</v>
      </c>
      <c r="I1122" s="10">
        <v>45607</v>
      </c>
    </row>
    <row r="1123" spans="1:9" x14ac:dyDescent="0.15">
      <c r="A1123" s="9">
        <v>1122</v>
      </c>
      <c r="B1123" s="9" t="s">
        <v>9</v>
      </c>
      <c r="C1123" s="9">
        <v>1923</v>
      </c>
      <c r="D1123" s="10">
        <v>45701</v>
      </c>
      <c r="E1123" s="13" t="str">
        <f>+HYPERLINK("http://trademark.i-assist.jp/data/china/image_1923th/81880432.pdf","81880432")</f>
        <v>81880432</v>
      </c>
      <c r="F1123" s="9" t="s">
        <v>3115</v>
      </c>
      <c r="G1123" s="11" t="s">
        <v>3116</v>
      </c>
      <c r="H1123" s="9" t="s">
        <v>3117</v>
      </c>
      <c r="I1123" s="10">
        <v>45607</v>
      </c>
    </row>
    <row r="1124" spans="1:9" x14ac:dyDescent="0.15">
      <c r="A1124" s="9">
        <v>1123</v>
      </c>
      <c r="B1124" s="9" t="s">
        <v>9</v>
      </c>
      <c r="C1124" s="9">
        <v>1923</v>
      </c>
      <c r="D1124" s="10">
        <v>45701</v>
      </c>
      <c r="E1124" s="13" t="str">
        <f>+HYPERLINK("http://trademark.i-assist.jp/data/china/image_1923th/81880527.pdf","81880527")</f>
        <v>81880527</v>
      </c>
      <c r="F1124" s="9" t="s">
        <v>3118</v>
      </c>
      <c r="G1124" s="9" t="s">
        <v>3119</v>
      </c>
      <c r="H1124" s="9" t="s">
        <v>3120</v>
      </c>
      <c r="I1124" s="10">
        <v>45607</v>
      </c>
    </row>
    <row r="1125" spans="1:9" x14ac:dyDescent="0.15">
      <c r="A1125" s="9">
        <v>1124</v>
      </c>
      <c r="B1125" s="9" t="s">
        <v>9</v>
      </c>
      <c r="C1125" s="9">
        <v>1923</v>
      </c>
      <c r="D1125" s="10">
        <v>45701</v>
      </c>
      <c r="E1125" s="13" t="str">
        <f>+HYPERLINK("http://trademark.i-assist.jp/data/china/image_1923th/81880789.pdf","81880789")</f>
        <v>81880789</v>
      </c>
      <c r="F1125" s="9" t="s">
        <v>3121</v>
      </c>
      <c r="G1125" s="11" t="s">
        <v>3122</v>
      </c>
      <c r="H1125" s="9" t="s">
        <v>3123</v>
      </c>
      <c r="I1125" s="10">
        <v>45607</v>
      </c>
    </row>
    <row r="1126" spans="1:9" x14ac:dyDescent="0.15">
      <c r="A1126" s="9">
        <v>1125</v>
      </c>
      <c r="B1126" s="9" t="s">
        <v>9</v>
      </c>
      <c r="C1126" s="9">
        <v>1923</v>
      </c>
      <c r="D1126" s="10">
        <v>45701</v>
      </c>
      <c r="E1126" s="13" t="str">
        <f>+HYPERLINK("http://trademark.i-assist.jp/data/china/image_1923th/81881032.pdf","81881032")</f>
        <v>81881032</v>
      </c>
      <c r="F1126" s="9" t="s">
        <v>3124</v>
      </c>
      <c r="G1126" s="9" t="s">
        <v>3125</v>
      </c>
      <c r="H1126" s="9" t="s">
        <v>3126</v>
      </c>
      <c r="I1126" s="10">
        <v>45607</v>
      </c>
    </row>
    <row r="1127" spans="1:9" x14ac:dyDescent="0.15">
      <c r="A1127" s="9">
        <v>1126</v>
      </c>
      <c r="B1127" s="9" t="s">
        <v>9</v>
      </c>
      <c r="C1127" s="9">
        <v>1923</v>
      </c>
      <c r="D1127" s="10">
        <v>45701</v>
      </c>
      <c r="E1127" s="13" t="str">
        <f>+HYPERLINK("http://trademark.i-assist.jp/data/china/image_1923th/81881103.pdf","81881103")</f>
        <v>81881103</v>
      </c>
      <c r="F1127" s="11" t="s">
        <v>3127</v>
      </c>
      <c r="G1127" s="9" t="s">
        <v>3128</v>
      </c>
      <c r="H1127" s="11" t="s">
        <v>3129</v>
      </c>
      <c r="I1127" s="10">
        <v>45607</v>
      </c>
    </row>
    <row r="1128" spans="1:9" x14ac:dyDescent="0.15">
      <c r="A1128" s="9">
        <v>1127</v>
      </c>
      <c r="B1128" s="9" t="s">
        <v>9</v>
      </c>
      <c r="C1128" s="9">
        <v>1923</v>
      </c>
      <c r="D1128" s="10">
        <v>45701</v>
      </c>
      <c r="E1128" s="13" t="str">
        <f>+HYPERLINK("http://trademark.i-assist.jp/data/china/image_1923th/81881313.pdf","81881313")</f>
        <v>81881313</v>
      </c>
      <c r="F1128" s="9" t="s">
        <v>3130</v>
      </c>
      <c r="G1128" s="9" t="s">
        <v>3131</v>
      </c>
      <c r="H1128" s="9" t="s">
        <v>3132</v>
      </c>
      <c r="I1128" s="10">
        <v>45607</v>
      </c>
    </row>
    <row r="1129" spans="1:9" x14ac:dyDescent="0.15">
      <c r="A1129" s="9">
        <v>1128</v>
      </c>
      <c r="B1129" s="9" t="s">
        <v>9</v>
      </c>
      <c r="C1129" s="9">
        <v>1923</v>
      </c>
      <c r="D1129" s="10">
        <v>45701</v>
      </c>
      <c r="E1129" s="13" t="str">
        <f>+HYPERLINK("http://trademark.i-assist.jp/data/china/image_1923th/81881321.pdf","81881321")</f>
        <v>81881321</v>
      </c>
      <c r="F1129" s="9" t="s">
        <v>3133</v>
      </c>
      <c r="G1129" s="9" t="s">
        <v>44</v>
      </c>
      <c r="H1129" s="9" t="s">
        <v>3134</v>
      </c>
      <c r="I1129" s="10">
        <v>45607</v>
      </c>
    </row>
    <row r="1130" spans="1:9" x14ac:dyDescent="0.15">
      <c r="A1130" s="9">
        <v>1129</v>
      </c>
      <c r="B1130" s="9" t="s">
        <v>9</v>
      </c>
      <c r="C1130" s="9">
        <v>1923</v>
      </c>
      <c r="D1130" s="10">
        <v>45701</v>
      </c>
      <c r="E1130" s="13" t="str">
        <f>+HYPERLINK("http://trademark.i-assist.jp/data/china/image_1923th/81881666.pdf","81881666")</f>
        <v>81881666</v>
      </c>
      <c r="F1130" s="9" t="s">
        <v>3135</v>
      </c>
      <c r="G1130" s="9" t="s">
        <v>3136</v>
      </c>
      <c r="H1130" s="9" t="s">
        <v>3137</v>
      </c>
      <c r="I1130" s="10">
        <v>45607</v>
      </c>
    </row>
    <row r="1131" spans="1:9" x14ac:dyDescent="0.15">
      <c r="A1131" s="9">
        <v>1130</v>
      </c>
      <c r="B1131" s="9" t="s">
        <v>9</v>
      </c>
      <c r="C1131" s="9">
        <v>1923</v>
      </c>
      <c r="D1131" s="10">
        <v>45701</v>
      </c>
      <c r="E1131" s="13" t="str">
        <f>+HYPERLINK("http://trademark.i-assist.jp/data/china/image_1923th/81881871.pdf","81881871")</f>
        <v>81881871</v>
      </c>
      <c r="F1131" s="11" t="s">
        <v>3138</v>
      </c>
      <c r="G1131" s="11" t="s">
        <v>3139</v>
      </c>
      <c r="H1131" s="9" t="s">
        <v>3140</v>
      </c>
      <c r="I1131" s="10">
        <v>45607</v>
      </c>
    </row>
    <row r="1132" spans="1:9" x14ac:dyDescent="0.15">
      <c r="A1132" s="9">
        <v>1131</v>
      </c>
      <c r="B1132" s="9" t="s">
        <v>9</v>
      </c>
      <c r="C1132" s="9">
        <v>1923</v>
      </c>
      <c r="D1132" s="10">
        <v>45701</v>
      </c>
      <c r="E1132" s="13" t="str">
        <f>+HYPERLINK("http://trademark.i-assist.jp/data/china/image_1923th/81882201.pdf","81882201")</f>
        <v>81882201</v>
      </c>
      <c r="F1132" s="9" t="s">
        <v>3141</v>
      </c>
      <c r="G1132" s="9" t="s">
        <v>1697</v>
      </c>
      <c r="H1132" s="9" t="s">
        <v>3142</v>
      </c>
      <c r="I1132" s="10">
        <v>45607</v>
      </c>
    </row>
    <row r="1133" spans="1:9" x14ac:dyDescent="0.15">
      <c r="A1133" s="9">
        <v>1132</v>
      </c>
      <c r="B1133" s="9" t="s">
        <v>9</v>
      </c>
      <c r="C1133" s="9">
        <v>1923</v>
      </c>
      <c r="D1133" s="10">
        <v>45701</v>
      </c>
      <c r="E1133" s="13" t="str">
        <f>+HYPERLINK("http://trademark.i-assist.jp/data/china/image_1923th/81882333.pdf","81882333")</f>
        <v>81882333</v>
      </c>
      <c r="F1133" s="9" t="s">
        <v>3143</v>
      </c>
      <c r="G1133" s="9" t="s">
        <v>3144</v>
      </c>
      <c r="H1133" s="9" t="s">
        <v>3145</v>
      </c>
      <c r="I1133" s="10">
        <v>45607</v>
      </c>
    </row>
    <row r="1134" spans="1:9" x14ac:dyDescent="0.15">
      <c r="A1134" s="9">
        <v>1133</v>
      </c>
      <c r="B1134" s="9" t="s">
        <v>9</v>
      </c>
      <c r="C1134" s="9">
        <v>1923</v>
      </c>
      <c r="D1134" s="10">
        <v>45701</v>
      </c>
      <c r="E1134" s="13" t="str">
        <f>+HYPERLINK("http://trademark.i-assist.jp/data/china/image_1923th/81882467.pdf","81882467")</f>
        <v>81882467</v>
      </c>
      <c r="F1134" s="9" t="s">
        <v>3146</v>
      </c>
      <c r="G1134" s="9" t="s">
        <v>44</v>
      </c>
      <c r="H1134" s="9" t="s">
        <v>3147</v>
      </c>
      <c r="I1134" s="10">
        <v>45607</v>
      </c>
    </row>
    <row r="1135" spans="1:9" x14ac:dyDescent="0.15">
      <c r="A1135" s="9">
        <v>1134</v>
      </c>
      <c r="B1135" s="9" t="s">
        <v>9</v>
      </c>
      <c r="C1135" s="9">
        <v>1923</v>
      </c>
      <c r="D1135" s="10">
        <v>45701</v>
      </c>
      <c r="E1135" s="13" t="str">
        <f>+HYPERLINK("http://trademark.i-assist.jp/data/china/image_1923th/81882792.pdf","81882792")</f>
        <v>81882792</v>
      </c>
      <c r="F1135" s="11" t="s">
        <v>3148</v>
      </c>
      <c r="G1135" s="9" t="s">
        <v>3149</v>
      </c>
      <c r="H1135" s="9" t="s">
        <v>3150</v>
      </c>
      <c r="I1135" s="10">
        <v>45607</v>
      </c>
    </row>
    <row r="1136" spans="1:9" x14ac:dyDescent="0.15">
      <c r="A1136" s="9">
        <v>1135</v>
      </c>
      <c r="B1136" s="9" t="s">
        <v>9</v>
      </c>
      <c r="C1136" s="9">
        <v>1923</v>
      </c>
      <c r="D1136" s="10">
        <v>45701</v>
      </c>
      <c r="E1136" s="13" t="str">
        <f>+HYPERLINK("http://trademark.i-assist.jp/data/china/image_1923th/81882994.pdf","81882994")</f>
        <v>81882994</v>
      </c>
      <c r="F1136" s="11" t="s">
        <v>3151</v>
      </c>
      <c r="G1136" s="11" t="s">
        <v>3152</v>
      </c>
      <c r="H1136" s="11" t="s">
        <v>3153</v>
      </c>
      <c r="I1136" s="10">
        <v>45607</v>
      </c>
    </row>
    <row r="1137" spans="1:9" x14ac:dyDescent="0.15">
      <c r="A1137" s="9">
        <v>1136</v>
      </c>
      <c r="B1137" s="9" t="s">
        <v>9</v>
      </c>
      <c r="C1137" s="9">
        <v>1923</v>
      </c>
      <c r="D1137" s="10">
        <v>45701</v>
      </c>
      <c r="E1137" s="13" t="str">
        <f>+HYPERLINK("http://trademark.i-assist.jp/data/china/image_1923th/81883155.pdf","81883155")</f>
        <v>81883155</v>
      </c>
      <c r="F1137" s="9" t="s">
        <v>3154</v>
      </c>
      <c r="G1137" s="11" t="s">
        <v>3155</v>
      </c>
      <c r="H1137" s="9" t="s">
        <v>3156</v>
      </c>
      <c r="I1137" s="10">
        <v>45607</v>
      </c>
    </row>
    <row r="1138" spans="1:9" x14ac:dyDescent="0.15">
      <c r="A1138" s="9">
        <v>1137</v>
      </c>
      <c r="B1138" s="9" t="s">
        <v>9</v>
      </c>
      <c r="C1138" s="9">
        <v>1923</v>
      </c>
      <c r="D1138" s="10">
        <v>45701</v>
      </c>
      <c r="E1138" s="13" t="str">
        <f>+HYPERLINK("http://trademark.i-assist.jp/data/china/image_1923th/81883532.pdf","81883532")</f>
        <v>81883532</v>
      </c>
      <c r="F1138" s="11" t="s">
        <v>3157</v>
      </c>
      <c r="G1138" s="9" t="s">
        <v>3158</v>
      </c>
      <c r="H1138" s="9" t="s">
        <v>3159</v>
      </c>
      <c r="I1138" s="10">
        <v>45607</v>
      </c>
    </row>
    <row r="1139" spans="1:9" x14ac:dyDescent="0.15">
      <c r="A1139" s="9">
        <v>1138</v>
      </c>
      <c r="B1139" s="9" t="s">
        <v>9</v>
      </c>
      <c r="C1139" s="9">
        <v>1923</v>
      </c>
      <c r="D1139" s="10">
        <v>45701</v>
      </c>
      <c r="E1139" s="13" t="str">
        <f>+HYPERLINK("http://trademark.i-assist.jp/data/china/image_1923th/81884234.pdf","81884234")</f>
        <v>81884234</v>
      </c>
      <c r="F1139" s="11" t="s">
        <v>3160</v>
      </c>
      <c r="G1139" s="9" t="s">
        <v>3089</v>
      </c>
      <c r="H1139" s="9" t="s">
        <v>3161</v>
      </c>
      <c r="I1139" s="10">
        <v>45607</v>
      </c>
    </row>
    <row r="1140" spans="1:9" x14ac:dyDescent="0.15">
      <c r="A1140" s="9">
        <v>1139</v>
      </c>
      <c r="B1140" s="9" t="s">
        <v>9</v>
      </c>
      <c r="C1140" s="9">
        <v>1923</v>
      </c>
      <c r="D1140" s="10">
        <v>45701</v>
      </c>
      <c r="E1140" s="13" t="str">
        <f>+HYPERLINK("http://trademark.i-assist.jp/data/china/image_1923th/81884252.pdf","81884252")</f>
        <v>81884252</v>
      </c>
      <c r="F1140" s="11" t="s">
        <v>3162</v>
      </c>
      <c r="G1140" s="9" t="s">
        <v>3089</v>
      </c>
      <c r="H1140" s="9" t="s">
        <v>3163</v>
      </c>
      <c r="I1140" s="10">
        <v>45607</v>
      </c>
    </row>
    <row r="1141" spans="1:9" x14ac:dyDescent="0.15">
      <c r="A1141" s="9">
        <v>1140</v>
      </c>
      <c r="B1141" s="9" t="s">
        <v>9</v>
      </c>
      <c r="C1141" s="9">
        <v>1923</v>
      </c>
      <c r="D1141" s="10">
        <v>45701</v>
      </c>
      <c r="E1141" s="13" t="str">
        <f>+HYPERLINK("http://trademark.i-assist.jp/data/china/image_1923th/81884323.pdf","81884323")</f>
        <v>81884323</v>
      </c>
      <c r="F1141" s="9" t="s">
        <v>3164</v>
      </c>
      <c r="G1141" s="11" t="s">
        <v>3165</v>
      </c>
      <c r="H1141" s="9" t="s">
        <v>3166</v>
      </c>
      <c r="I1141" s="10">
        <v>45607</v>
      </c>
    </row>
    <row r="1142" spans="1:9" x14ac:dyDescent="0.15">
      <c r="A1142" s="9">
        <v>1141</v>
      </c>
      <c r="B1142" s="9" t="s">
        <v>9</v>
      </c>
      <c r="C1142" s="9">
        <v>1923</v>
      </c>
      <c r="D1142" s="10">
        <v>45701</v>
      </c>
      <c r="E1142" s="13" t="str">
        <f>+HYPERLINK("http://trademark.i-assist.jp/data/china/image_1923th/81884589.pdf","81884589")</f>
        <v>81884589</v>
      </c>
      <c r="F1142" s="11" t="s">
        <v>3167</v>
      </c>
      <c r="G1142" s="9" t="s">
        <v>3168</v>
      </c>
      <c r="H1142" s="11" t="s">
        <v>3169</v>
      </c>
      <c r="I1142" s="10">
        <v>45607</v>
      </c>
    </row>
    <row r="1143" spans="1:9" x14ac:dyDescent="0.15">
      <c r="A1143" s="9">
        <v>1142</v>
      </c>
      <c r="B1143" s="9" t="s">
        <v>9</v>
      </c>
      <c r="C1143" s="9">
        <v>1923</v>
      </c>
      <c r="D1143" s="10">
        <v>45701</v>
      </c>
      <c r="E1143" s="13" t="str">
        <f>+HYPERLINK("http://trademark.i-assist.jp/data/china/image_1923th/81885121.pdf","81885121")</f>
        <v>81885121</v>
      </c>
      <c r="F1143" s="9" t="s">
        <v>3170</v>
      </c>
      <c r="G1143" s="9" t="s">
        <v>3068</v>
      </c>
      <c r="H1143" s="9" t="s">
        <v>3171</v>
      </c>
      <c r="I1143" s="10">
        <v>45607</v>
      </c>
    </row>
    <row r="1144" spans="1:9" x14ac:dyDescent="0.15">
      <c r="A1144" s="9">
        <v>1143</v>
      </c>
      <c r="B1144" s="9" t="s">
        <v>9</v>
      </c>
      <c r="C1144" s="9">
        <v>1923</v>
      </c>
      <c r="D1144" s="10">
        <v>45701</v>
      </c>
      <c r="E1144" s="13" t="str">
        <f>+HYPERLINK("http://trademark.i-assist.jp/data/china/image_1923th/81885141.pdf","81885141")</f>
        <v>81885141</v>
      </c>
      <c r="F1144" s="9" t="s">
        <v>3172</v>
      </c>
      <c r="G1144" s="9" t="s">
        <v>3173</v>
      </c>
      <c r="H1144" s="9" t="s">
        <v>3174</v>
      </c>
      <c r="I1144" s="10">
        <v>45607</v>
      </c>
    </row>
    <row r="1145" spans="1:9" x14ac:dyDescent="0.15">
      <c r="A1145" s="9">
        <v>1144</v>
      </c>
      <c r="B1145" s="9" t="s">
        <v>9</v>
      </c>
      <c r="C1145" s="9">
        <v>1923</v>
      </c>
      <c r="D1145" s="10">
        <v>45701</v>
      </c>
      <c r="E1145" s="13" t="str">
        <f>+HYPERLINK("http://trademark.i-assist.jp/data/china/image_1923th/81886107.pdf","81886107")</f>
        <v>81886107</v>
      </c>
      <c r="F1145" s="9" t="s">
        <v>3175</v>
      </c>
      <c r="G1145" s="9" t="s">
        <v>3176</v>
      </c>
      <c r="H1145" s="9" t="s">
        <v>3177</v>
      </c>
      <c r="I1145" s="10">
        <v>45607</v>
      </c>
    </row>
    <row r="1146" spans="1:9" x14ac:dyDescent="0.15">
      <c r="A1146" s="9">
        <v>1145</v>
      </c>
      <c r="B1146" s="9" t="s">
        <v>9</v>
      </c>
      <c r="C1146" s="9">
        <v>1923</v>
      </c>
      <c r="D1146" s="10">
        <v>45701</v>
      </c>
      <c r="E1146" s="13" t="str">
        <f>+HYPERLINK("http://trademark.i-assist.jp/data/china/image_1923th/81886177.pdf","81886177")</f>
        <v>81886177</v>
      </c>
      <c r="F1146" s="9" t="s">
        <v>3178</v>
      </c>
      <c r="G1146" s="9" t="s">
        <v>2501</v>
      </c>
      <c r="H1146" s="9" t="s">
        <v>3179</v>
      </c>
      <c r="I1146" s="10">
        <v>45607</v>
      </c>
    </row>
    <row r="1147" spans="1:9" x14ac:dyDescent="0.15">
      <c r="A1147" s="9">
        <v>1146</v>
      </c>
      <c r="B1147" s="9" t="s">
        <v>9</v>
      </c>
      <c r="C1147" s="9">
        <v>1923</v>
      </c>
      <c r="D1147" s="10">
        <v>45701</v>
      </c>
      <c r="E1147" s="13" t="str">
        <f>+HYPERLINK("http://trademark.i-assist.jp/data/china/image_1923th/81886375.pdf","81886375")</f>
        <v>81886375</v>
      </c>
      <c r="F1147" s="11" t="s">
        <v>126</v>
      </c>
      <c r="G1147" s="9" t="s">
        <v>3180</v>
      </c>
      <c r="H1147" s="9" t="s">
        <v>3181</v>
      </c>
      <c r="I1147" s="10">
        <v>45607</v>
      </c>
    </row>
    <row r="1148" spans="1:9" x14ac:dyDescent="0.15">
      <c r="A1148" s="9">
        <v>1147</v>
      </c>
      <c r="B1148" s="9" t="s">
        <v>9</v>
      </c>
      <c r="C1148" s="9">
        <v>1923</v>
      </c>
      <c r="D1148" s="10">
        <v>45701</v>
      </c>
      <c r="E1148" s="13" t="str">
        <f>+HYPERLINK("http://trademark.i-assist.jp/data/china/image_1923th/81886611.pdf","81886611")</f>
        <v>81886611</v>
      </c>
      <c r="F1148" s="11" t="s">
        <v>3182</v>
      </c>
      <c r="G1148" s="9" t="s">
        <v>29</v>
      </c>
      <c r="H1148" s="9" t="s">
        <v>3183</v>
      </c>
      <c r="I1148" s="10">
        <v>45607</v>
      </c>
    </row>
    <row r="1149" spans="1:9" x14ac:dyDescent="0.15">
      <c r="A1149" s="9">
        <v>1148</v>
      </c>
      <c r="B1149" s="9" t="s">
        <v>9</v>
      </c>
      <c r="C1149" s="9">
        <v>1923</v>
      </c>
      <c r="D1149" s="10">
        <v>45701</v>
      </c>
      <c r="E1149" s="13" t="str">
        <f>+HYPERLINK("http://trademark.i-assist.jp/data/china/image_1923th/81886720.pdf","81886720")</f>
        <v>81886720</v>
      </c>
      <c r="F1149" s="9" t="s">
        <v>3184</v>
      </c>
      <c r="G1149" s="9" t="s">
        <v>29</v>
      </c>
      <c r="H1149" s="9" t="s">
        <v>3185</v>
      </c>
      <c r="I1149" s="10">
        <v>45607</v>
      </c>
    </row>
    <row r="1150" spans="1:9" x14ac:dyDescent="0.15">
      <c r="A1150" s="9">
        <v>1149</v>
      </c>
      <c r="B1150" s="9" t="s">
        <v>9</v>
      </c>
      <c r="C1150" s="9">
        <v>1923</v>
      </c>
      <c r="D1150" s="10">
        <v>45701</v>
      </c>
      <c r="E1150" s="13" t="str">
        <f>+HYPERLINK("http://trademark.i-assist.jp/data/china/image_1923th/81886942.pdf","81886942")</f>
        <v>81886942</v>
      </c>
      <c r="F1150" s="11" t="s">
        <v>3186</v>
      </c>
      <c r="G1150" s="11" t="s">
        <v>3187</v>
      </c>
      <c r="H1150" s="9" t="s">
        <v>3188</v>
      </c>
      <c r="I1150" s="10">
        <v>45607</v>
      </c>
    </row>
    <row r="1151" spans="1:9" x14ac:dyDescent="0.15">
      <c r="A1151" s="9">
        <v>1150</v>
      </c>
      <c r="B1151" s="9" t="s">
        <v>9</v>
      </c>
      <c r="C1151" s="9">
        <v>1923</v>
      </c>
      <c r="D1151" s="10">
        <v>45701</v>
      </c>
      <c r="E1151" s="13" t="str">
        <f>+HYPERLINK("http://trademark.i-assist.jp/data/china/image_1923th/81887094.pdf","81887094")</f>
        <v>81887094</v>
      </c>
      <c r="F1151" s="9" t="s">
        <v>3189</v>
      </c>
      <c r="G1151" s="9" t="s">
        <v>3190</v>
      </c>
      <c r="H1151" s="9" t="s">
        <v>3191</v>
      </c>
      <c r="I1151" s="10">
        <v>45607</v>
      </c>
    </row>
    <row r="1152" spans="1:9" x14ac:dyDescent="0.15">
      <c r="A1152" s="9">
        <v>1151</v>
      </c>
      <c r="B1152" s="9" t="s">
        <v>9</v>
      </c>
      <c r="C1152" s="9">
        <v>1923</v>
      </c>
      <c r="D1152" s="10">
        <v>45701</v>
      </c>
      <c r="E1152" s="13" t="str">
        <f>+HYPERLINK("http://trademark.i-assist.jp/data/china/image_1923th/81887553.pdf","81887553")</f>
        <v>81887553</v>
      </c>
      <c r="F1152" s="9" t="s">
        <v>3192</v>
      </c>
      <c r="G1152" s="9" t="s">
        <v>3193</v>
      </c>
      <c r="H1152" s="9" t="s">
        <v>3194</v>
      </c>
      <c r="I1152" s="10">
        <v>45607</v>
      </c>
    </row>
    <row r="1153" spans="1:9" x14ac:dyDescent="0.15">
      <c r="A1153" s="9">
        <v>1152</v>
      </c>
      <c r="B1153" s="9" t="s">
        <v>9</v>
      </c>
      <c r="C1153" s="9">
        <v>1923</v>
      </c>
      <c r="D1153" s="10">
        <v>45701</v>
      </c>
      <c r="E1153" s="13" t="str">
        <f>+HYPERLINK("http://trademark.i-assist.jp/data/china/image_1923th/81887701.pdf","81887701")</f>
        <v>81887701</v>
      </c>
      <c r="F1153" s="9" t="s">
        <v>3195</v>
      </c>
      <c r="G1153" s="9" t="s">
        <v>44</v>
      </c>
      <c r="H1153" s="11" t="s">
        <v>3196</v>
      </c>
      <c r="I1153" s="10">
        <v>45607</v>
      </c>
    </row>
    <row r="1154" spans="1:9" x14ac:dyDescent="0.15">
      <c r="A1154" s="9">
        <v>1153</v>
      </c>
      <c r="B1154" s="9" t="s">
        <v>9</v>
      </c>
      <c r="C1154" s="9">
        <v>1923</v>
      </c>
      <c r="D1154" s="10">
        <v>45701</v>
      </c>
      <c r="E1154" s="13" t="str">
        <f>+HYPERLINK("http://trademark.i-assist.jp/data/china/image_1923th/81887905.pdf","81887905")</f>
        <v>81887905</v>
      </c>
      <c r="F1154" s="9" t="s">
        <v>3197</v>
      </c>
      <c r="G1154" s="9" t="s">
        <v>3198</v>
      </c>
      <c r="H1154" s="9" t="s">
        <v>3199</v>
      </c>
      <c r="I1154" s="10">
        <v>45607</v>
      </c>
    </row>
    <row r="1155" spans="1:9" x14ac:dyDescent="0.15">
      <c r="A1155" s="9">
        <v>1154</v>
      </c>
      <c r="B1155" s="9" t="s">
        <v>9</v>
      </c>
      <c r="C1155" s="9">
        <v>1923</v>
      </c>
      <c r="D1155" s="10">
        <v>45701</v>
      </c>
      <c r="E1155" s="13" t="str">
        <f>+HYPERLINK("http://trademark.i-assist.jp/data/china/image_1923th/81888740.pdf","81888740")</f>
        <v>81888740</v>
      </c>
      <c r="F1155" s="11" t="s">
        <v>3200</v>
      </c>
      <c r="G1155" s="9" t="s">
        <v>3201</v>
      </c>
      <c r="H1155" s="9" t="s">
        <v>3202</v>
      </c>
      <c r="I1155" s="10">
        <v>45607</v>
      </c>
    </row>
    <row r="1156" spans="1:9" x14ac:dyDescent="0.15">
      <c r="A1156" s="9">
        <v>1155</v>
      </c>
      <c r="B1156" s="9" t="s">
        <v>9</v>
      </c>
      <c r="C1156" s="9">
        <v>1923</v>
      </c>
      <c r="D1156" s="10">
        <v>45701</v>
      </c>
      <c r="E1156" s="13" t="str">
        <f>+HYPERLINK("http://trademark.i-assist.jp/data/china/image_1923th/81888964.pdf","81888964")</f>
        <v>81888964</v>
      </c>
      <c r="F1156" s="9" t="s">
        <v>3203</v>
      </c>
      <c r="G1156" s="9" t="s">
        <v>3204</v>
      </c>
      <c r="H1156" s="9" t="s">
        <v>3205</v>
      </c>
      <c r="I1156" s="10">
        <v>45607</v>
      </c>
    </row>
    <row r="1157" spans="1:9" x14ac:dyDescent="0.15">
      <c r="A1157" s="9">
        <v>1156</v>
      </c>
      <c r="B1157" s="9" t="s">
        <v>9</v>
      </c>
      <c r="C1157" s="9">
        <v>1923</v>
      </c>
      <c r="D1157" s="10">
        <v>45701</v>
      </c>
      <c r="E1157" s="13" t="str">
        <f>+HYPERLINK("http://trademark.i-assist.jp/data/china/image_1923th/81890317.pdf","81890317")</f>
        <v>81890317</v>
      </c>
      <c r="F1157" s="11" t="s">
        <v>3206</v>
      </c>
      <c r="G1157" s="9" t="s">
        <v>3207</v>
      </c>
      <c r="H1157" s="9" t="s">
        <v>3208</v>
      </c>
      <c r="I1157" s="10">
        <v>45607</v>
      </c>
    </row>
    <row r="1158" spans="1:9" x14ac:dyDescent="0.15">
      <c r="A1158" s="9">
        <v>1157</v>
      </c>
      <c r="B1158" s="9" t="s">
        <v>9</v>
      </c>
      <c r="C1158" s="9">
        <v>1923</v>
      </c>
      <c r="D1158" s="10">
        <v>45701</v>
      </c>
      <c r="E1158" s="13" t="str">
        <f>+HYPERLINK("http://trademark.i-assist.jp/data/china/image_1923th/81890439.pdf","81890439")</f>
        <v>81890439</v>
      </c>
      <c r="F1158" s="9" t="s">
        <v>3209</v>
      </c>
      <c r="G1158" s="9" t="s">
        <v>3210</v>
      </c>
      <c r="H1158" s="9" t="s">
        <v>3211</v>
      </c>
      <c r="I1158" s="10">
        <v>45607</v>
      </c>
    </row>
    <row r="1159" spans="1:9" x14ac:dyDescent="0.15">
      <c r="A1159" s="9">
        <v>1158</v>
      </c>
      <c r="B1159" s="9" t="s">
        <v>9</v>
      </c>
      <c r="C1159" s="9">
        <v>1923</v>
      </c>
      <c r="D1159" s="10">
        <v>45701</v>
      </c>
      <c r="E1159" s="13" t="str">
        <f>+HYPERLINK("http://trademark.i-assist.jp/data/china/image_1923th/81890615.pdf","81890615")</f>
        <v>81890615</v>
      </c>
      <c r="F1159" s="11" t="s">
        <v>3212</v>
      </c>
      <c r="G1159" s="9" t="s">
        <v>3089</v>
      </c>
      <c r="H1159" s="9" t="s">
        <v>3213</v>
      </c>
      <c r="I1159" s="10">
        <v>45607</v>
      </c>
    </row>
    <row r="1160" spans="1:9" x14ac:dyDescent="0.15">
      <c r="A1160" s="9">
        <v>1159</v>
      </c>
      <c r="B1160" s="9" t="s">
        <v>9</v>
      </c>
      <c r="C1160" s="9">
        <v>1923</v>
      </c>
      <c r="D1160" s="10">
        <v>45701</v>
      </c>
      <c r="E1160" s="13" t="str">
        <f>+HYPERLINK("http://trademark.i-assist.jp/data/china/image_1923th/81890625.pdf","81890625")</f>
        <v>81890625</v>
      </c>
      <c r="F1160" s="11" t="s">
        <v>3214</v>
      </c>
      <c r="G1160" s="9" t="s">
        <v>3215</v>
      </c>
      <c r="H1160" s="9" t="s">
        <v>3216</v>
      </c>
      <c r="I1160" s="10">
        <v>45607</v>
      </c>
    </row>
    <row r="1161" spans="1:9" x14ac:dyDescent="0.15">
      <c r="A1161" s="9">
        <v>1160</v>
      </c>
      <c r="B1161" s="9" t="s">
        <v>9</v>
      </c>
      <c r="C1161" s="9">
        <v>1923</v>
      </c>
      <c r="D1161" s="10">
        <v>45701</v>
      </c>
      <c r="E1161" s="13" t="str">
        <f>+HYPERLINK("http://trademark.i-assist.jp/data/china/image_1923th/81890661.pdf","81890661")</f>
        <v>81890661</v>
      </c>
      <c r="F1161" s="9" t="s">
        <v>3217</v>
      </c>
      <c r="G1161" s="9" t="s">
        <v>3080</v>
      </c>
      <c r="H1161" s="11" t="s">
        <v>3218</v>
      </c>
      <c r="I1161" s="10">
        <v>45607</v>
      </c>
    </row>
    <row r="1162" spans="1:9" x14ac:dyDescent="0.15">
      <c r="A1162" s="9">
        <v>1161</v>
      </c>
      <c r="B1162" s="9" t="s">
        <v>9</v>
      </c>
      <c r="C1162" s="9">
        <v>1923</v>
      </c>
      <c r="D1162" s="10">
        <v>45701</v>
      </c>
      <c r="E1162" s="13" t="str">
        <f>+HYPERLINK("http://trademark.i-assist.jp/data/china/image_1923th/81892146.pdf","81892146")</f>
        <v>81892146</v>
      </c>
      <c r="F1162" s="9" t="s">
        <v>3219</v>
      </c>
      <c r="G1162" s="9" t="s">
        <v>3220</v>
      </c>
      <c r="H1162" s="9" t="s">
        <v>3221</v>
      </c>
      <c r="I1162" s="10">
        <v>45607</v>
      </c>
    </row>
    <row r="1163" spans="1:9" x14ac:dyDescent="0.15">
      <c r="A1163" s="9">
        <v>1162</v>
      </c>
      <c r="B1163" s="9" t="s">
        <v>9</v>
      </c>
      <c r="C1163" s="9">
        <v>1923</v>
      </c>
      <c r="D1163" s="10">
        <v>45701</v>
      </c>
      <c r="E1163" s="13" t="str">
        <f>+HYPERLINK("http://trademark.i-assist.jp/data/china/image_1923th/81892393.pdf","81892393")</f>
        <v>81892393</v>
      </c>
      <c r="F1163" s="9" t="s">
        <v>3222</v>
      </c>
      <c r="G1163" s="9" t="s">
        <v>3223</v>
      </c>
      <c r="H1163" s="9" t="s">
        <v>3224</v>
      </c>
      <c r="I1163" s="10">
        <v>45607</v>
      </c>
    </row>
    <row r="1164" spans="1:9" x14ac:dyDescent="0.15">
      <c r="A1164" s="9">
        <v>1163</v>
      </c>
      <c r="B1164" s="9" t="s">
        <v>9</v>
      </c>
      <c r="C1164" s="9">
        <v>1923</v>
      </c>
      <c r="D1164" s="10">
        <v>45701</v>
      </c>
      <c r="E1164" s="13" t="str">
        <f>+HYPERLINK("http://trademark.i-assist.jp/data/china/image_1923th/81892405.pdf","81892405")</f>
        <v>81892405</v>
      </c>
      <c r="F1164" s="11" t="s">
        <v>126</v>
      </c>
      <c r="G1164" s="9" t="s">
        <v>3225</v>
      </c>
      <c r="H1164" s="9" t="s">
        <v>3226</v>
      </c>
      <c r="I1164" s="10">
        <v>45607</v>
      </c>
    </row>
    <row r="1165" spans="1:9" x14ac:dyDescent="0.15">
      <c r="A1165" s="9">
        <v>1164</v>
      </c>
      <c r="B1165" s="9" t="s">
        <v>9</v>
      </c>
      <c r="C1165" s="9">
        <v>1923</v>
      </c>
      <c r="D1165" s="10">
        <v>45701</v>
      </c>
      <c r="E1165" s="13" t="str">
        <f>+HYPERLINK("http://trademark.i-assist.jp/data/china/image_1923th/81892449.pdf","81892449")</f>
        <v>81892449</v>
      </c>
      <c r="F1165" s="9" t="s">
        <v>3227</v>
      </c>
      <c r="G1165" s="9" t="s">
        <v>3228</v>
      </c>
      <c r="H1165" s="9" t="s">
        <v>3229</v>
      </c>
      <c r="I1165" s="10">
        <v>45607</v>
      </c>
    </row>
    <row r="1166" spans="1:9" x14ac:dyDescent="0.15">
      <c r="A1166" s="9">
        <v>1165</v>
      </c>
      <c r="B1166" s="9" t="s">
        <v>9</v>
      </c>
      <c r="C1166" s="9">
        <v>1923</v>
      </c>
      <c r="D1166" s="10">
        <v>45701</v>
      </c>
      <c r="E1166" s="13" t="str">
        <f>+HYPERLINK("http://trademark.i-assist.jp/data/china/image_1923th/81892766.pdf","81892766")</f>
        <v>81892766</v>
      </c>
      <c r="F1166" s="11" t="s">
        <v>3230</v>
      </c>
      <c r="G1166" s="9" t="s">
        <v>3158</v>
      </c>
      <c r="H1166" s="9" t="s">
        <v>3231</v>
      </c>
      <c r="I1166" s="10">
        <v>45607</v>
      </c>
    </row>
    <row r="1167" spans="1:9" x14ac:dyDescent="0.15">
      <c r="A1167" s="9">
        <v>1166</v>
      </c>
      <c r="B1167" s="9" t="s">
        <v>9</v>
      </c>
      <c r="C1167" s="9">
        <v>1923</v>
      </c>
      <c r="D1167" s="10">
        <v>45701</v>
      </c>
      <c r="E1167" s="13" t="str">
        <f>+HYPERLINK("http://trademark.i-assist.jp/data/china/image_1923th/81892862.pdf","81892862")</f>
        <v>81892862</v>
      </c>
      <c r="F1167" s="11" t="s">
        <v>3232</v>
      </c>
      <c r="G1167" s="9" t="s">
        <v>27</v>
      </c>
      <c r="H1167" s="9" t="s">
        <v>3233</v>
      </c>
      <c r="I1167" s="10">
        <v>45607</v>
      </c>
    </row>
    <row r="1168" spans="1:9" x14ac:dyDescent="0.15">
      <c r="A1168" s="9">
        <v>1167</v>
      </c>
      <c r="B1168" s="9" t="s">
        <v>9</v>
      </c>
      <c r="C1168" s="9">
        <v>1923</v>
      </c>
      <c r="D1168" s="10">
        <v>45701</v>
      </c>
      <c r="E1168" s="13" t="str">
        <f>+HYPERLINK("http://trademark.i-assist.jp/data/china/image_1923th/81893051.pdf","81893051")</f>
        <v>81893051</v>
      </c>
      <c r="F1168" s="9" t="s">
        <v>3234</v>
      </c>
      <c r="G1168" s="9" t="s">
        <v>3235</v>
      </c>
      <c r="H1168" s="9" t="s">
        <v>3236</v>
      </c>
      <c r="I1168" s="10">
        <v>45607</v>
      </c>
    </row>
    <row r="1169" spans="1:9" x14ac:dyDescent="0.15">
      <c r="A1169" s="9">
        <v>1168</v>
      </c>
      <c r="B1169" s="9" t="s">
        <v>9</v>
      </c>
      <c r="C1169" s="9">
        <v>1923</v>
      </c>
      <c r="D1169" s="10">
        <v>45701</v>
      </c>
      <c r="E1169" s="13" t="str">
        <f>+HYPERLINK("http://trademark.i-assist.jp/data/china/image_1923th/81893109.pdf","81893109")</f>
        <v>81893109</v>
      </c>
      <c r="F1169" s="9" t="s">
        <v>3237</v>
      </c>
      <c r="G1169" s="9" t="s">
        <v>1590</v>
      </c>
      <c r="H1169" s="9" t="s">
        <v>3238</v>
      </c>
      <c r="I1169" s="10">
        <v>45607</v>
      </c>
    </row>
    <row r="1170" spans="1:9" x14ac:dyDescent="0.15">
      <c r="A1170" s="9">
        <v>1169</v>
      </c>
      <c r="B1170" s="9" t="s">
        <v>9</v>
      </c>
      <c r="C1170" s="9">
        <v>1923</v>
      </c>
      <c r="D1170" s="10">
        <v>45701</v>
      </c>
      <c r="E1170" s="13" t="str">
        <f>+HYPERLINK("http://trademark.i-assist.jp/data/china/image_1923th/81893202.pdf","81893202")</f>
        <v>81893202</v>
      </c>
      <c r="F1170" s="11" t="s">
        <v>3239</v>
      </c>
      <c r="G1170" s="9" t="s">
        <v>3207</v>
      </c>
      <c r="H1170" s="9" t="s">
        <v>3240</v>
      </c>
      <c r="I1170" s="10">
        <v>45607</v>
      </c>
    </row>
    <row r="1171" spans="1:9" x14ac:dyDescent="0.15">
      <c r="A1171" s="9">
        <v>1170</v>
      </c>
      <c r="B1171" s="9" t="s">
        <v>9</v>
      </c>
      <c r="C1171" s="9">
        <v>1923</v>
      </c>
      <c r="D1171" s="10">
        <v>45701</v>
      </c>
      <c r="E1171" s="13" t="str">
        <f>+HYPERLINK("http://trademark.i-assist.jp/data/china/image_1923th/81893223.pdf","81893223")</f>
        <v>81893223</v>
      </c>
      <c r="F1171" s="9" t="s">
        <v>3241</v>
      </c>
      <c r="G1171" s="9" t="s">
        <v>3242</v>
      </c>
      <c r="H1171" s="9" t="s">
        <v>3243</v>
      </c>
      <c r="I1171" s="10">
        <v>45607</v>
      </c>
    </row>
    <row r="1172" spans="1:9" x14ac:dyDescent="0.15">
      <c r="A1172" s="9">
        <v>1171</v>
      </c>
      <c r="B1172" s="9" t="s">
        <v>9</v>
      </c>
      <c r="C1172" s="9">
        <v>1923</v>
      </c>
      <c r="D1172" s="10">
        <v>45701</v>
      </c>
      <c r="E1172" s="13" t="str">
        <f>+HYPERLINK("http://trademark.i-assist.jp/data/china/image_1923th/81893283.pdf","81893283")</f>
        <v>81893283</v>
      </c>
      <c r="F1172" s="9" t="s">
        <v>3244</v>
      </c>
      <c r="G1172" s="9" t="s">
        <v>3245</v>
      </c>
      <c r="H1172" s="9" t="s">
        <v>3246</v>
      </c>
      <c r="I1172" s="10">
        <v>45607</v>
      </c>
    </row>
    <row r="1173" spans="1:9" x14ac:dyDescent="0.15">
      <c r="A1173" s="9">
        <v>1172</v>
      </c>
      <c r="B1173" s="9" t="s">
        <v>9</v>
      </c>
      <c r="C1173" s="9">
        <v>1923</v>
      </c>
      <c r="D1173" s="10">
        <v>45701</v>
      </c>
      <c r="E1173" s="13" t="str">
        <f>+HYPERLINK("http://trademark.i-assist.jp/data/china/image_1923th/81893664.pdf","81893664")</f>
        <v>81893664</v>
      </c>
      <c r="F1173" s="11" t="s">
        <v>126</v>
      </c>
      <c r="G1173" s="9" t="s">
        <v>3247</v>
      </c>
      <c r="H1173" s="9" t="s">
        <v>3248</v>
      </c>
      <c r="I1173" s="10">
        <v>45607</v>
      </c>
    </row>
    <row r="1174" spans="1:9" x14ac:dyDescent="0.15">
      <c r="A1174" s="9">
        <v>1173</v>
      </c>
      <c r="B1174" s="9" t="s">
        <v>9</v>
      </c>
      <c r="C1174" s="9">
        <v>1923</v>
      </c>
      <c r="D1174" s="10">
        <v>45701</v>
      </c>
      <c r="E1174" s="13" t="str">
        <f>+HYPERLINK("http://trademark.i-assist.jp/data/china/image_1923th/81893739.pdf","81893739")</f>
        <v>81893739</v>
      </c>
      <c r="F1174" s="9" t="s">
        <v>3249</v>
      </c>
      <c r="G1174" s="11" t="s">
        <v>3250</v>
      </c>
      <c r="H1174" s="9" t="s">
        <v>3251</v>
      </c>
      <c r="I1174" s="10">
        <v>45607</v>
      </c>
    </row>
    <row r="1175" spans="1:9" x14ac:dyDescent="0.15">
      <c r="A1175" s="9">
        <v>1174</v>
      </c>
      <c r="B1175" s="9" t="s">
        <v>9</v>
      </c>
      <c r="C1175" s="9">
        <v>1923</v>
      </c>
      <c r="D1175" s="10">
        <v>45701</v>
      </c>
      <c r="E1175" s="13" t="str">
        <f>+HYPERLINK("http://trademark.i-assist.jp/data/china/image_1923th/81894072.pdf","81894072")</f>
        <v>81894072</v>
      </c>
      <c r="F1175" s="9" t="s">
        <v>3252</v>
      </c>
      <c r="G1175" s="9" t="s">
        <v>3253</v>
      </c>
      <c r="H1175" s="9" t="s">
        <v>3254</v>
      </c>
      <c r="I1175" s="10">
        <v>45607</v>
      </c>
    </row>
    <row r="1176" spans="1:9" x14ac:dyDescent="0.15">
      <c r="A1176" s="9">
        <v>1175</v>
      </c>
      <c r="B1176" s="9" t="s">
        <v>9</v>
      </c>
      <c r="C1176" s="9">
        <v>1923</v>
      </c>
      <c r="D1176" s="10">
        <v>45701</v>
      </c>
      <c r="E1176" s="13" t="str">
        <f>+HYPERLINK("http://trademark.i-assist.jp/data/china/image_1923th/81894635.pdf","81894635")</f>
        <v>81894635</v>
      </c>
      <c r="F1176" s="9" t="s">
        <v>3255</v>
      </c>
      <c r="G1176" s="9" t="s">
        <v>3256</v>
      </c>
      <c r="H1176" s="9" t="s">
        <v>3257</v>
      </c>
      <c r="I1176" s="10">
        <v>45607</v>
      </c>
    </row>
    <row r="1177" spans="1:9" x14ac:dyDescent="0.15">
      <c r="A1177" s="9">
        <v>1176</v>
      </c>
      <c r="B1177" s="9" t="s">
        <v>9</v>
      </c>
      <c r="C1177" s="9">
        <v>1923</v>
      </c>
      <c r="D1177" s="10">
        <v>45701</v>
      </c>
      <c r="E1177" s="13" t="str">
        <f>+HYPERLINK("http://trademark.i-assist.jp/data/china/image_1923th/81894744.pdf","81894744")</f>
        <v>81894744</v>
      </c>
      <c r="F1177" s="9" t="s">
        <v>3258</v>
      </c>
      <c r="G1177" s="11" t="s">
        <v>3104</v>
      </c>
      <c r="H1177" s="9" t="s">
        <v>3259</v>
      </c>
      <c r="I1177" s="10">
        <v>45607</v>
      </c>
    </row>
    <row r="1178" spans="1:9" x14ac:dyDescent="0.15">
      <c r="A1178" s="9">
        <v>1177</v>
      </c>
      <c r="B1178" s="9" t="s">
        <v>9</v>
      </c>
      <c r="C1178" s="9">
        <v>1923</v>
      </c>
      <c r="D1178" s="10">
        <v>45701</v>
      </c>
      <c r="E1178" s="13" t="str">
        <f>+HYPERLINK("http://trademark.i-assist.jp/data/china/image_1923th/81895628.pdf","81895628")</f>
        <v>81895628</v>
      </c>
      <c r="F1178" s="9" t="s">
        <v>3260</v>
      </c>
      <c r="G1178" s="11" t="s">
        <v>3261</v>
      </c>
      <c r="H1178" s="9" t="s">
        <v>3262</v>
      </c>
      <c r="I1178" s="10">
        <v>45607</v>
      </c>
    </row>
    <row r="1179" spans="1:9" x14ac:dyDescent="0.15">
      <c r="A1179" s="9">
        <v>1178</v>
      </c>
      <c r="B1179" s="9" t="s">
        <v>9</v>
      </c>
      <c r="C1179" s="9">
        <v>1923</v>
      </c>
      <c r="D1179" s="10">
        <v>45701</v>
      </c>
      <c r="E1179" s="13" t="str">
        <f>+HYPERLINK("http://trademark.i-assist.jp/data/china/image_1923th/81896008.pdf","81896008")</f>
        <v>81896008</v>
      </c>
      <c r="F1179" s="9" t="s">
        <v>3263</v>
      </c>
      <c r="G1179" s="9" t="s">
        <v>3264</v>
      </c>
      <c r="H1179" s="9" t="s">
        <v>3265</v>
      </c>
      <c r="I1179" s="10">
        <v>45607</v>
      </c>
    </row>
    <row r="1180" spans="1:9" x14ac:dyDescent="0.15">
      <c r="A1180" s="9">
        <v>1179</v>
      </c>
      <c r="B1180" s="9" t="s">
        <v>9</v>
      </c>
      <c r="C1180" s="9">
        <v>1923</v>
      </c>
      <c r="D1180" s="10">
        <v>45701</v>
      </c>
      <c r="E1180" s="13" t="str">
        <f>+HYPERLINK("http://trademark.i-assist.jp/data/china/image_1923th/81896122.pdf","81896122")</f>
        <v>81896122</v>
      </c>
      <c r="F1180" s="9" t="s">
        <v>3266</v>
      </c>
      <c r="G1180" s="9" t="s">
        <v>37</v>
      </c>
      <c r="H1180" s="9" t="s">
        <v>3267</v>
      </c>
      <c r="I1180" s="10">
        <v>45607</v>
      </c>
    </row>
    <row r="1181" spans="1:9" x14ac:dyDescent="0.15">
      <c r="A1181" s="9">
        <v>1180</v>
      </c>
      <c r="B1181" s="9" t="s">
        <v>9</v>
      </c>
      <c r="C1181" s="9">
        <v>1923</v>
      </c>
      <c r="D1181" s="10">
        <v>45701</v>
      </c>
      <c r="E1181" s="13" t="str">
        <f>+HYPERLINK("http://trademark.i-assist.jp/data/china/image_1923th/81896167.pdf","81896167")</f>
        <v>81896167</v>
      </c>
      <c r="F1181" s="9" t="s">
        <v>3268</v>
      </c>
      <c r="G1181" s="9" t="s">
        <v>3228</v>
      </c>
      <c r="H1181" s="9" t="s">
        <v>3269</v>
      </c>
      <c r="I1181" s="10">
        <v>45607</v>
      </c>
    </row>
    <row r="1182" spans="1:9" x14ac:dyDescent="0.15">
      <c r="A1182" s="9">
        <v>1181</v>
      </c>
      <c r="B1182" s="9" t="s">
        <v>9</v>
      </c>
      <c r="C1182" s="9">
        <v>1923</v>
      </c>
      <c r="D1182" s="10">
        <v>45701</v>
      </c>
      <c r="E1182" s="13" t="str">
        <f>+HYPERLINK("http://trademark.i-assist.jp/data/china/image_1923th/81896390.pdf","81896390")</f>
        <v>81896390</v>
      </c>
      <c r="F1182" s="9" t="s">
        <v>3270</v>
      </c>
      <c r="G1182" s="9" t="s">
        <v>27</v>
      </c>
      <c r="H1182" s="9" t="s">
        <v>3271</v>
      </c>
      <c r="I1182" s="10">
        <v>45607</v>
      </c>
    </row>
    <row r="1183" spans="1:9" x14ac:dyDescent="0.15">
      <c r="A1183" s="9">
        <v>1182</v>
      </c>
      <c r="B1183" s="9" t="s">
        <v>9</v>
      </c>
      <c r="C1183" s="9">
        <v>1923</v>
      </c>
      <c r="D1183" s="10">
        <v>45701</v>
      </c>
      <c r="E1183" s="13" t="str">
        <f>+HYPERLINK("http://trademark.i-assist.jp/data/china/image_1923th/81896927.pdf","81896927")</f>
        <v>81896927</v>
      </c>
      <c r="F1183" s="11" t="s">
        <v>3272</v>
      </c>
      <c r="G1183" s="11" t="s">
        <v>3273</v>
      </c>
      <c r="H1183" s="9" t="s">
        <v>3274</v>
      </c>
      <c r="I1183" s="10">
        <v>45607</v>
      </c>
    </row>
    <row r="1184" spans="1:9" x14ac:dyDescent="0.15">
      <c r="A1184" s="9">
        <v>1183</v>
      </c>
      <c r="B1184" s="9" t="s">
        <v>9</v>
      </c>
      <c r="C1184" s="9">
        <v>1923</v>
      </c>
      <c r="D1184" s="10">
        <v>45701</v>
      </c>
      <c r="E1184" s="13" t="str">
        <f>+HYPERLINK("http://trademark.i-assist.jp/data/china/image_1923th/81896931.pdf","81896931")</f>
        <v>81896931</v>
      </c>
      <c r="F1184" s="11" t="s">
        <v>3275</v>
      </c>
      <c r="G1184" s="9" t="s">
        <v>3276</v>
      </c>
      <c r="H1184" s="9" t="s">
        <v>3277</v>
      </c>
      <c r="I1184" s="10">
        <v>45607</v>
      </c>
    </row>
    <row r="1185" spans="1:9" x14ac:dyDescent="0.15">
      <c r="A1185" s="9">
        <v>1184</v>
      </c>
      <c r="B1185" s="9" t="s">
        <v>9</v>
      </c>
      <c r="C1185" s="9">
        <v>1923</v>
      </c>
      <c r="D1185" s="10">
        <v>45701</v>
      </c>
      <c r="E1185" s="13" t="str">
        <f>+HYPERLINK("http://trademark.i-assist.jp/data/china/image_1923th/81897484.pdf","81897484")</f>
        <v>81897484</v>
      </c>
      <c r="F1185" s="9" t="s">
        <v>3278</v>
      </c>
      <c r="G1185" s="11" t="s">
        <v>3279</v>
      </c>
      <c r="H1185" s="9" t="s">
        <v>3280</v>
      </c>
      <c r="I1185" s="10">
        <v>45607</v>
      </c>
    </row>
    <row r="1186" spans="1:9" x14ac:dyDescent="0.15">
      <c r="A1186" s="9">
        <v>1185</v>
      </c>
      <c r="B1186" s="9" t="s">
        <v>9</v>
      </c>
      <c r="C1186" s="9">
        <v>1923</v>
      </c>
      <c r="D1186" s="10">
        <v>45701</v>
      </c>
      <c r="E1186" s="13" t="str">
        <f>+HYPERLINK("http://trademark.i-assist.jp/data/china/image_1923th/81897558.pdf","81897558")</f>
        <v>81897558</v>
      </c>
      <c r="F1186" s="9" t="s">
        <v>3281</v>
      </c>
      <c r="G1186" s="9" t="s">
        <v>3282</v>
      </c>
      <c r="H1186" s="9" t="s">
        <v>3283</v>
      </c>
      <c r="I1186" s="10">
        <v>45607</v>
      </c>
    </row>
    <row r="1187" spans="1:9" x14ac:dyDescent="0.15">
      <c r="A1187" s="9">
        <v>1186</v>
      </c>
      <c r="B1187" s="9" t="s">
        <v>9</v>
      </c>
      <c r="C1187" s="9">
        <v>1923</v>
      </c>
      <c r="D1187" s="10">
        <v>45701</v>
      </c>
      <c r="E1187" s="13" t="str">
        <f>+HYPERLINK("http://trademark.i-assist.jp/data/china/image_1923th/81897810.pdf","81897810")</f>
        <v>81897810</v>
      </c>
      <c r="F1187" s="9" t="s">
        <v>3284</v>
      </c>
      <c r="G1187" s="11" t="s">
        <v>3285</v>
      </c>
      <c r="H1187" s="9" t="s">
        <v>3286</v>
      </c>
      <c r="I1187" s="10">
        <v>45607</v>
      </c>
    </row>
    <row r="1188" spans="1:9" x14ac:dyDescent="0.15">
      <c r="A1188" s="9">
        <v>1187</v>
      </c>
      <c r="B1188" s="9" t="s">
        <v>9</v>
      </c>
      <c r="C1188" s="9">
        <v>1923</v>
      </c>
      <c r="D1188" s="10">
        <v>45701</v>
      </c>
      <c r="E1188" s="13" t="str">
        <f>+HYPERLINK("http://trademark.i-assist.jp/data/china/image_1923th/81898142.pdf","81898142")</f>
        <v>81898142</v>
      </c>
      <c r="F1188" s="9" t="s">
        <v>3287</v>
      </c>
      <c r="G1188" s="9" t="s">
        <v>3288</v>
      </c>
      <c r="H1188" s="9" t="s">
        <v>3289</v>
      </c>
      <c r="I1188" s="10">
        <v>45607</v>
      </c>
    </row>
    <row r="1189" spans="1:9" x14ac:dyDescent="0.15">
      <c r="A1189" s="9">
        <v>1188</v>
      </c>
      <c r="B1189" s="9" t="s">
        <v>9</v>
      </c>
      <c r="C1189" s="9">
        <v>1923</v>
      </c>
      <c r="D1189" s="10">
        <v>45701</v>
      </c>
      <c r="E1189" s="13" t="str">
        <f>+HYPERLINK("http://trademark.i-assist.jp/data/china/image_1923th/81898228.pdf","81898228")</f>
        <v>81898228</v>
      </c>
      <c r="F1189" s="11" t="s">
        <v>126</v>
      </c>
      <c r="G1189" s="9" t="s">
        <v>3290</v>
      </c>
      <c r="H1189" s="11" t="s">
        <v>3291</v>
      </c>
      <c r="I1189" s="10">
        <v>45607</v>
      </c>
    </row>
    <row r="1190" spans="1:9" x14ac:dyDescent="0.15">
      <c r="A1190" s="9">
        <v>1189</v>
      </c>
      <c r="B1190" s="9" t="s">
        <v>9</v>
      </c>
      <c r="C1190" s="9">
        <v>1923</v>
      </c>
      <c r="D1190" s="10">
        <v>45701</v>
      </c>
      <c r="E1190" s="13" t="str">
        <f>+HYPERLINK("http://trademark.i-assist.jp/data/china/image_1923th/81898253.pdf","81898253")</f>
        <v>81898253</v>
      </c>
      <c r="F1190" s="9" t="s">
        <v>3292</v>
      </c>
      <c r="G1190" s="9" t="s">
        <v>3292</v>
      </c>
      <c r="H1190" s="9" t="s">
        <v>3293</v>
      </c>
      <c r="I1190" s="10">
        <v>45607</v>
      </c>
    </row>
    <row r="1191" spans="1:9" x14ac:dyDescent="0.15">
      <c r="A1191" s="9">
        <v>1190</v>
      </c>
      <c r="B1191" s="9" t="s">
        <v>9</v>
      </c>
      <c r="C1191" s="9">
        <v>1923</v>
      </c>
      <c r="D1191" s="10">
        <v>45701</v>
      </c>
      <c r="E1191" s="13" t="str">
        <f>+HYPERLINK("http://trademark.i-assist.jp/data/china/image_1923th/81898329.pdf","81898329")</f>
        <v>81898329</v>
      </c>
      <c r="F1191" s="9" t="s">
        <v>3294</v>
      </c>
      <c r="G1191" s="9" t="s">
        <v>3295</v>
      </c>
      <c r="H1191" s="9" t="s">
        <v>3296</v>
      </c>
      <c r="I1191" s="10">
        <v>45607</v>
      </c>
    </row>
    <row r="1192" spans="1:9" x14ac:dyDescent="0.15">
      <c r="A1192" s="9">
        <v>1191</v>
      </c>
      <c r="B1192" s="9" t="s">
        <v>9</v>
      </c>
      <c r="C1192" s="9">
        <v>1923</v>
      </c>
      <c r="D1192" s="10">
        <v>45701</v>
      </c>
      <c r="E1192" s="13" t="str">
        <f>+HYPERLINK("http://trademark.i-assist.jp/data/china/image_1923th/81898679.pdf","81898679")</f>
        <v>81898679</v>
      </c>
      <c r="F1192" s="11" t="s">
        <v>3297</v>
      </c>
      <c r="G1192" s="9" t="s">
        <v>3158</v>
      </c>
      <c r="H1192" s="9" t="s">
        <v>3298</v>
      </c>
      <c r="I1192" s="10">
        <v>45607</v>
      </c>
    </row>
    <row r="1193" spans="1:9" x14ac:dyDescent="0.15">
      <c r="A1193" s="9">
        <v>1192</v>
      </c>
      <c r="B1193" s="9" t="s">
        <v>9</v>
      </c>
      <c r="C1193" s="9">
        <v>1923</v>
      </c>
      <c r="D1193" s="10">
        <v>45701</v>
      </c>
      <c r="E1193" s="13" t="str">
        <f>+HYPERLINK("http://trademark.i-assist.jp/data/china/image_1923th/81898712.pdf","81898712")</f>
        <v>81898712</v>
      </c>
      <c r="F1193" s="9" t="s">
        <v>3299</v>
      </c>
      <c r="G1193" s="9" t="s">
        <v>3300</v>
      </c>
      <c r="H1193" s="9" t="s">
        <v>3301</v>
      </c>
      <c r="I1193" s="10">
        <v>45607</v>
      </c>
    </row>
    <row r="1194" spans="1:9" x14ac:dyDescent="0.15">
      <c r="A1194" s="9">
        <v>1193</v>
      </c>
      <c r="B1194" s="9" t="s">
        <v>9</v>
      </c>
      <c r="C1194" s="9">
        <v>1923</v>
      </c>
      <c r="D1194" s="10">
        <v>45701</v>
      </c>
      <c r="E1194" s="13" t="str">
        <f>+HYPERLINK("http://trademark.i-assist.jp/data/china/image_1923th/81899363.pdf","81899363")</f>
        <v>81899363</v>
      </c>
      <c r="F1194" s="9" t="s">
        <v>3302</v>
      </c>
      <c r="G1194" s="9" t="s">
        <v>36</v>
      </c>
      <c r="H1194" s="11" t="s">
        <v>3303</v>
      </c>
      <c r="I1194" s="10">
        <v>45607</v>
      </c>
    </row>
    <row r="1195" spans="1:9" x14ac:dyDescent="0.15">
      <c r="A1195" s="9">
        <v>1194</v>
      </c>
      <c r="B1195" s="9" t="s">
        <v>9</v>
      </c>
      <c r="C1195" s="9">
        <v>1923</v>
      </c>
      <c r="D1195" s="10">
        <v>45701</v>
      </c>
      <c r="E1195" s="13" t="str">
        <f>+HYPERLINK("http://trademark.i-assist.jp/data/china/image_1923th/81899638.pdf","81899638")</f>
        <v>81899638</v>
      </c>
      <c r="F1195" s="9" t="s">
        <v>3304</v>
      </c>
      <c r="G1195" s="9" t="s">
        <v>3305</v>
      </c>
      <c r="H1195" s="9" t="s">
        <v>3306</v>
      </c>
      <c r="I1195" s="10">
        <v>45607</v>
      </c>
    </row>
    <row r="1196" spans="1:9" x14ac:dyDescent="0.15">
      <c r="A1196" s="9">
        <v>1195</v>
      </c>
      <c r="B1196" s="9" t="s">
        <v>9</v>
      </c>
      <c r="C1196" s="9">
        <v>1923</v>
      </c>
      <c r="D1196" s="10">
        <v>45701</v>
      </c>
      <c r="E1196" s="13" t="str">
        <f>+HYPERLINK("http://trademark.i-assist.jp/data/china/image_1923th/81899918.pdf","81899918")</f>
        <v>81899918</v>
      </c>
      <c r="F1196" s="9" t="s">
        <v>3307</v>
      </c>
      <c r="G1196" s="9" t="s">
        <v>27</v>
      </c>
      <c r="H1196" s="9" t="s">
        <v>3308</v>
      </c>
      <c r="I1196" s="10">
        <v>45607</v>
      </c>
    </row>
    <row r="1197" spans="1:9" x14ac:dyDescent="0.15">
      <c r="A1197" s="9">
        <v>1196</v>
      </c>
      <c r="B1197" s="9" t="s">
        <v>9</v>
      </c>
      <c r="C1197" s="9">
        <v>1923</v>
      </c>
      <c r="D1197" s="10">
        <v>45701</v>
      </c>
      <c r="E1197" s="13" t="str">
        <f>+HYPERLINK("http://trademark.i-assist.jp/data/china/image_1923th/81900079.pdf","81900079")</f>
        <v>81900079</v>
      </c>
      <c r="F1197" s="9" t="s">
        <v>3309</v>
      </c>
      <c r="G1197" s="9" t="s">
        <v>3310</v>
      </c>
      <c r="H1197" s="9" t="s">
        <v>3311</v>
      </c>
      <c r="I1197" s="10">
        <v>45607</v>
      </c>
    </row>
    <row r="1198" spans="1:9" x14ac:dyDescent="0.15">
      <c r="A1198" s="9">
        <v>1197</v>
      </c>
      <c r="B1198" s="9" t="s">
        <v>9</v>
      </c>
      <c r="C1198" s="9">
        <v>1923</v>
      </c>
      <c r="D1198" s="10">
        <v>45701</v>
      </c>
      <c r="E1198" s="13" t="str">
        <f>+HYPERLINK("http://trademark.i-assist.jp/data/china/image_1923th/81900858.pdf","81900858")</f>
        <v>81900858</v>
      </c>
      <c r="F1198" s="11" t="s">
        <v>3312</v>
      </c>
      <c r="G1198" s="11" t="s">
        <v>3313</v>
      </c>
      <c r="H1198" s="9" t="s">
        <v>3314</v>
      </c>
      <c r="I1198" s="10">
        <v>45607</v>
      </c>
    </row>
    <row r="1199" spans="1:9" x14ac:dyDescent="0.15">
      <c r="A1199" s="9">
        <v>1198</v>
      </c>
      <c r="B1199" s="9" t="s">
        <v>9</v>
      </c>
      <c r="C1199" s="9">
        <v>1923</v>
      </c>
      <c r="D1199" s="10">
        <v>45701</v>
      </c>
      <c r="E1199" s="13" t="str">
        <f>+HYPERLINK("http://trademark.i-assist.jp/data/china/image_1923th/81901575.pdf","81901575")</f>
        <v>81901575</v>
      </c>
      <c r="F1199" s="9" t="s">
        <v>3315</v>
      </c>
      <c r="G1199" s="9" t="s">
        <v>3128</v>
      </c>
      <c r="H1199" s="11" t="s">
        <v>3316</v>
      </c>
      <c r="I1199" s="10">
        <v>45607</v>
      </c>
    </row>
    <row r="1200" spans="1:9" x14ac:dyDescent="0.15">
      <c r="A1200" s="9">
        <v>1199</v>
      </c>
      <c r="B1200" s="9" t="s">
        <v>9</v>
      </c>
      <c r="C1200" s="9">
        <v>1923</v>
      </c>
      <c r="D1200" s="10">
        <v>45701</v>
      </c>
      <c r="E1200" s="13" t="str">
        <f>+HYPERLINK("http://trademark.i-assist.jp/data/china/image_1923th/81901672.pdf","81901672")</f>
        <v>81901672</v>
      </c>
      <c r="F1200" s="11" t="s">
        <v>3317</v>
      </c>
      <c r="G1200" s="9" t="s">
        <v>3318</v>
      </c>
      <c r="H1200" s="11" t="s">
        <v>3319</v>
      </c>
      <c r="I1200" s="10">
        <v>45607</v>
      </c>
    </row>
    <row r="1201" spans="1:9" x14ac:dyDescent="0.15">
      <c r="A1201" s="9">
        <v>1200</v>
      </c>
      <c r="B1201" s="9" t="s">
        <v>9</v>
      </c>
      <c r="C1201" s="9">
        <v>1923</v>
      </c>
      <c r="D1201" s="10">
        <v>45701</v>
      </c>
      <c r="E1201" s="13" t="str">
        <f>+HYPERLINK("http://trademark.i-assist.jp/data/china/image_1923th/81901704.pdf","81901704")</f>
        <v>81901704</v>
      </c>
      <c r="F1201" s="9" t="s">
        <v>3320</v>
      </c>
      <c r="G1201" s="9" t="s">
        <v>3321</v>
      </c>
      <c r="H1201" s="11" t="s">
        <v>3322</v>
      </c>
      <c r="I1201" s="10">
        <v>45607</v>
      </c>
    </row>
    <row r="1202" spans="1:9" x14ac:dyDescent="0.15">
      <c r="A1202" s="9">
        <v>1201</v>
      </c>
      <c r="B1202" s="9" t="s">
        <v>9</v>
      </c>
      <c r="C1202" s="9">
        <v>1923</v>
      </c>
      <c r="D1202" s="10">
        <v>45701</v>
      </c>
      <c r="E1202" s="13" t="str">
        <f>+HYPERLINK("http://trademark.i-assist.jp/data/china/image_1923th/81901707.pdf","81901707")</f>
        <v>81901707</v>
      </c>
      <c r="F1202" s="9" t="s">
        <v>3323</v>
      </c>
      <c r="G1202" s="9" t="s">
        <v>3125</v>
      </c>
      <c r="H1202" s="9" t="s">
        <v>3324</v>
      </c>
      <c r="I1202" s="10">
        <v>45607</v>
      </c>
    </row>
    <row r="1203" spans="1:9" x14ac:dyDescent="0.15">
      <c r="A1203" s="9">
        <v>1202</v>
      </c>
      <c r="B1203" s="9" t="s">
        <v>9</v>
      </c>
      <c r="C1203" s="9">
        <v>1923</v>
      </c>
      <c r="D1203" s="10">
        <v>45701</v>
      </c>
      <c r="E1203" s="13" t="str">
        <f>+HYPERLINK("http://trademark.i-assist.jp/data/china/image_1923th/81902089.pdf","81902089")</f>
        <v>81902089</v>
      </c>
      <c r="F1203" s="9" t="s">
        <v>3325</v>
      </c>
      <c r="G1203" s="9" t="s">
        <v>3326</v>
      </c>
      <c r="H1203" s="9" t="s">
        <v>3327</v>
      </c>
      <c r="I1203" s="10">
        <v>45607</v>
      </c>
    </row>
    <row r="1204" spans="1:9" x14ac:dyDescent="0.15">
      <c r="A1204" s="9">
        <v>1203</v>
      </c>
      <c r="B1204" s="9" t="s">
        <v>9</v>
      </c>
      <c r="C1204" s="9">
        <v>1923</v>
      </c>
      <c r="D1204" s="10">
        <v>45701</v>
      </c>
      <c r="E1204" s="13" t="str">
        <f>+HYPERLINK("http://trademark.i-assist.jp/data/china/image_1923th/81902134.pdf","81902134")</f>
        <v>81902134</v>
      </c>
      <c r="F1204" s="11" t="s">
        <v>3328</v>
      </c>
      <c r="G1204" s="9" t="s">
        <v>3329</v>
      </c>
      <c r="H1204" s="11" t="s">
        <v>3330</v>
      </c>
      <c r="I1204" s="10">
        <v>45608</v>
      </c>
    </row>
    <row r="1205" spans="1:9" x14ac:dyDescent="0.15">
      <c r="A1205" s="9">
        <v>1204</v>
      </c>
      <c r="B1205" s="9" t="s">
        <v>9</v>
      </c>
      <c r="C1205" s="9">
        <v>1923</v>
      </c>
      <c r="D1205" s="10">
        <v>45701</v>
      </c>
      <c r="E1205" s="13" t="str">
        <f>+HYPERLINK("http://trademark.i-assist.jp/data/china/image_1923th/81902135.pdf","81902135")</f>
        <v>81902135</v>
      </c>
      <c r="F1205" s="9" t="s">
        <v>3331</v>
      </c>
      <c r="G1205" s="9" t="s">
        <v>3329</v>
      </c>
      <c r="H1205" s="11" t="s">
        <v>3330</v>
      </c>
      <c r="I1205" s="10">
        <v>45608</v>
      </c>
    </row>
    <row r="1206" spans="1:9" x14ac:dyDescent="0.15">
      <c r="A1206" s="9">
        <v>1205</v>
      </c>
      <c r="B1206" s="9" t="s">
        <v>9</v>
      </c>
      <c r="C1206" s="9">
        <v>1923</v>
      </c>
      <c r="D1206" s="10">
        <v>45701</v>
      </c>
      <c r="E1206" s="13" t="str">
        <f>+HYPERLINK("http://trademark.i-assist.jp/data/china/image_1923th/81902547.pdf","81902547")</f>
        <v>81902547</v>
      </c>
      <c r="F1206" s="9" t="s">
        <v>3332</v>
      </c>
      <c r="G1206" s="9" t="s">
        <v>3333</v>
      </c>
      <c r="H1206" s="9" t="s">
        <v>3334</v>
      </c>
      <c r="I1206" s="10">
        <v>45608</v>
      </c>
    </row>
    <row r="1207" spans="1:9" x14ac:dyDescent="0.15">
      <c r="A1207" s="9">
        <v>1206</v>
      </c>
      <c r="B1207" s="9" t="s">
        <v>9</v>
      </c>
      <c r="C1207" s="9">
        <v>1923</v>
      </c>
      <c r="D1207" s="10">
        <v>45701</v>
      </c>
      <c r="E1207" s="13" t="str">
        <f>+HYPERLINK("http://trademark.i-assist.jp/data/china/image_1923th/81902602.pdf","81902602")</f>
        <v>81902602</v>
      </c>
      <c r="F1207" s="9" t="s">
        <v>3335</v>
      </c>
      <c r="G1207" s="9" t="s">
        <v>3336</v>
      </c>
      <c r="H1207" s="9" t="s">
        <v>3337</v>
      </c>
      <c r="I1207" s="10">
        <v>45608</v>
      </c>
    </row>
    <row r="1208" spans="1:9" x14ac:dyDescent="0.15">
      <c r="A1208" s="9">
        <v>1207</v>
      </c>
      <c r="B1208" s="9" t="s">
        <v>9</v>
      </c>
      <c r="C1208" s="9">
        <v>1923</v>
      </c>
      <c r="D1208" s="10">
        <v>45701</v>
      </c>
      <c r="E1208" s="13" t="str">
        <f>+HYPERLINK("http://trademark.i-assist.jp/data/china/image_1923th/81902793.pdf","81902793")</f>
        <v>81902793</v>
      </c>
      <c r="F1208" s="9" t="s">
        <v>3338</v>
      </c>
      <c r="G1208" s="9" t="s">
        <v>3339</v>
      </c>
      <c r="H1208" s="9" t="s">
        <v>3340</v>
      </c>
      <c r="I1208" s="10">
        <v>45608</v>
      </c>
    </row>
    <row r="1209" spans="1:9" x14ac:dyDescent="0.15">
      <c r="A1209" s="9">
        <v>1208</v>
      </c>
      <c r="B1209" s="9" t="s">
        <v>9</v>
      </c>
      <c r="C1209" s="9">
        <v>1923</v>
      </c>
      <c r="D1209" s="10">
        <v>45701</v>
      </c>
      <c r="E1209" s="13" t="str">
        <f>+HYPERLINK("http://trademark.i-assist.jp/data/china/image_1923th/81902996.pdf","81902996")</f>
        <v>81902996</v>
      </c>
      <c r="F1209" s="11" t="s">
        <v>126</v>
      </c>
      <c r="G1209" s="9" t="s">
        <v>3341</v>
      </c>
      <c r="H1209" s="9" t="s">
        <v>3342</v>
      </c>
      <c r="I1209" s="10">
        <v>45608</v>
      </c>
    </row>
    <row r="1210" spans="1:9" x14ac:dyDescent="0.15">
      <c r="A1210" s="9">
        <v>1209</v>
      </c>
      <c r="B1210" s="9" t="s">
        <v>9</v>
      </c>
      <c r="C1210" s="9">
        <v>1923</v>
      </c>
      <c r="D1210" s="10">
        <v>45701</v>
      </c>
      <c r="E1210" s="13" t="str">
        <f>+HYPERLINK("http://trademark.i-assist.jp/data/china/image_1923th/81903408.pdf","81903408")</f>
        <v>81903408</v>
      </c>
      <c r="F1210" s="9" t="s">
        <v>3343</v>
      </c>
      <c r="G1210" s="9" t="s">
        <v>3344</v>
      </c>
      <c r="H1210" s="9" t="s">
        <v>3345</v>
      </c>
      <c r="I1210" s="10">
        <v>45608</v>
      </c>
    </row>
    <row r="1211" spans="1:9" x14ac:dyDescent="0.15">
      <c r="A1211" s="9">
        <v>1210</v>
      </c>
      <c r="B1211" s="9" t="s">
        <v>9</v>
      </c>
      <c r="C1211" s="9">
        <v>1923</v>
      </c>
      <c r="D1211" s="10">
        <v>45701</v>
      </c>
      <c r="E1211" s="13" t="str">
        <f>+HYPERLINK("http://trademark.i-assist.jp/data/china/image_1923th/81903440.pdf","81903440")</f>
        <v>81903440</v>
      </c>
      <c r="F1211" s="11" t="s">
        <v>3346</v>
      </c>
      <c r="G1211" s="9" t="s">
        <v>3347</v>
      </c>
      <c r="H1211" s="9" t="s">
        <v>3348</v>
      </c>
      <c r="I1211" s="10">
        <v>45608</v>
      </c>
    </row>
    <row r="1212" spans="1:9" x14ac:dyDescent="0.15">
      <c r="A1212" s="9">
        <v>1211</v>
      </c>
      <c r="B1212" s="9" t="s">
        <v>9</v>
      </c>
      <c r="C1212" s="9">
        <v>1923</v>
      </c>
      <c r="D1212" s="10">
        <v>45701</v>
      </c>
      <c r="E1212" s="13" t="str">
        <f>+HYPERLINK("http://trademark.i-assist.jp/data/china/image_1923th/81903612.pdf","81903612")</f>
        <v>81903612</v>
      </c>
      <c r="F1212" s="11" t="s">
        <v>126</v>
      </c>
      <c r="G1212" s="9" t="s">
        <v>3349</v>
      </c>
      <c r="H1212" s="9" t="s">
        <v>3350</v>
      </c>
      <c r="I1212" s="10">
        <v>45608</v>
      </c>
    </row>
    <row r="1213" spans="1:9" x14ac:dyDescent="0.15">
      <c r="A1213" s="9">
        <v>1212</v>
      </c>
      <c r="B1213" s="9" t="s">
        <v>9</v>
      </c>
      <c r="C1213" s="9">
        <v>1923</v>
      </c>
      <c r="D1213" s="10">
        <v>45701</v>
      </c>
      <c r="E1213" s="13" t="str">
        <f>+HYPERLINK("http://trademark.i-assist.jp/data/china/image_1923th/81903744.pdf","81903744")</f>
        <v>81903744</v>
      </c>
      <c r="F1213" s="9" t="s">
        <v>3351</v>
      </c>
      <c r="G1213" s="11" t="s">
        <v>3352</v>
      </c>
      <c r="H1213" s="9" t="s">
        <v>3353</v>
      </c>
      <c r="I1213" s="10">
        <v>45608</v>
      </c>
    </row>
    <row r="1214" spans="1:9" x14ac:dyDescent="0.15">
      <c r="A1214" s="9">
        <v>1213</v>
      </c>
      <c r="B1214" s="9" t="s">
        <v>9</v>
      </c>
      <c r="C1214" s="9">
        <v>1923</v>
      </c>
      <c r="D1214" s="10">
        <v>45701</v>
      </c>
      <c r="E1214" s="13" t="str">
        <f>+HYPERLINK("http://trademark.i-assist.jp/data/china/image_1923th/81903820.pdf","81903820")</f>
        <v>81903820</v>
      </c>
      <c r="F1214" s="9" t="s">
        <v>3354</v>
      </c>
      <c r="G1214" s="11" t="s">
        <v>3355</v>
      </c>
      <c r="H1214" s="9" t="s">
        <v>3356</v>
      </c>
      <c r="I1214" s="10">
        <v>45608</v>
      </c>
    </row>
    <row r="1215" spans="1:9" x14ac:dyDescent="0.15">
      <c r="A1215" s="9">
        <v>1214</v>
      </c>
      <c r="B1215" s="9" t="s">
        <v>9</v>
      </c>
      <c r="C1215" s="9">
        <v>1923</v>
      </c>
      <c r="D1215" s="10">
        <v>45701</v>
      </c>
      <c r="E1215" s="13" t="str">
        <f>+HYPERLINK("http://trademark.i-assist.jp/data/china/image_1923th/81904093.pdf","81904093")</f>
        <v>81904093</v>
      </c>
      <c r="F1215" s="11" t="s">
        <v>126</v>
      </c>
      <c r="G1215" s="11" t="s">
        <v>2634</v>
      </c>
      <c r="H1215" s="11" t="s">
        <v>3357</v>
      </c>
      <c r="I1215" s="10">
        <v>45608</v>
      </c>
    </row>
    <row r="1216" spans="1:9" x14ac:dyDescent="0.15">
      <c r="A1216" s="9">
        <v>1215</v>
      </c>
      <c r="B1216" s="9" t="s">
        <v>9</v>
      </c>
      <c r="C1216" s="9">
        <v>1923</v>
      </c>
      <c r="D1216" s="10">
        <v>45701</v>
      </c>
      <c r="E1216" s="13" t="str">
        <f>+HYPERLINK("http://trademark.i-assist.jp/data/china/image_1923th/81904150.pdf","81904150")</f>
        <v>81904150</v>
      </c>
      <c r="F1216" s="9" t="s">
        <v>3358</v>
      </c>
      <c r="G1216" s="9" t="s">
        <v>3359</v>
      </c>
      <c r="H1216" s="9" t="s">
        <v>3360</v>
      </c>
      <c r="I1216" s="10">
        <v>45608</v>
      </c>
    </row>
    <row r="1217" spans="1:9" x14ac:dyDescent="0.15">
      <c r="A1217" s="9">
        <v>1216</v>
      </c>
      <c r="B1217" s="9" t="s">
        <v>9</v>
      </c>
      <c r="C1217" s="9">
        <v>1923</v>
      </c>
      <c r="D1217" s="10">
        <v>45701</v>
      </c>
      <c r="E1217" s="13" t="str">
        <f>+HYPERLINK("http://trademark.i-assist.jp/data/china/image_1923th/81904377.pdf","81904377")</f>
        <v>81904377</v>
      </c>
      <c r="F1217" s="11" t="s">
        <v>3361</v>
      </c>
      <c r="G1217" s="9" t="s">
        <v>3362</v>
      </c>
      <c r="H1217" s="9" t="s">
        <v>3363</v>
      </c>
      <c r="I1217" s="10">
        <v>45608</v>
      </c>
    </row>
    <row r="1218" spans="1:9" x14ac:dyDescent="0.15">
      <c r="A1218" s="9">
        <v>1217</v>
      </c>
      <c r="B1218" s="9" t="s">
        <v>9</v>
      </c>
      <c r="C1218" s="9">
        <v>1923</v>
      </c>
      <c r="D1218" s="10">
        <v>45701</v>
      </c>
      <c r="E1218" s="13" t="str">
        <f>+HYPERLINK("http://trademark.i-assist.jp/data/china/image_1923th/81904594.pdf","81904594")</f>
        <v>81904594</v>
      </c>
      <c r="F1218" s="9" t="s">
        <v>3364</v>
      </c>
      <c r="G1218" s="9" t="s">
        <v>3365</v>
      </c>
      <c r="H1218" s="9" t="s">
        <v>3366</v>
      </c>
      <c r="I1218" s="10">
        <v>45608</v>
      </c>
    </row>
    <row r="1219" spans="1:9" x14ac:dyDescent="0.15">
      <c r="A1219" s="9">
        <v>1218</v>
      </c>
      <c r="B1219" s="9" t="s">
        <v>9</v>
      </c>
      <c r="C1219" s="9">
        <v>1923</v>
      </c>
      <c r="D1219" s="10">
        <v>45701</v>
      </c>
      <c r="E1219" s="13" t="str">
        <f>+HYPERLINK("http://trademark.i-assist.jp/data/china/image_1923th/81905209.pdf","81905209")</f>
        <v>81905209</v>
      </c>
      <c r="F1219" s="9" t="s">
        <v>3367</v>
      </c>
      <c r="G1219" s="11" t="s">
        <v>3368</v>
      </c>
      <c r="H1219" s="9" t="s">
        <v>3369</v>
      </c>
      <c r="I1219" s="10">
        <v>45608</v>
      </c>
    </row>
    <row r="1220" spans="1:9" x14ac:dyDescent="0.15">
      <c r="A1220" s="9">
        <v>1219</v>
      </c>
      <c r="B1220" s="9" t="s">
        <v>9</v>
      </c>
      <c r="C1220" s="9">
        <v>1923</v>
      </c>
      <c r="D1220" s="10">
        <v>45701</v>
      </c>
      <c r="E1220" s="13" t="str">
        <f>+HYPERLINK("http://trademark.i-assist.jp/data/china/image_1923th/81905697.pdf","81905697")</f>
        <v>81905697</v>
      </c>
      <c r="F1220" s="11" t="s">
        <v>3370</v>
      </c>
      <c r="G1220" s="9" t="s">
        <v>3359</v>
      </c>
      <c r="H1220" s="9" t="s">
        <v>3371</v>
      </c>
      <c r="I1220" s="10">
        <v>45608</v>
      </c>
    </row>
    <row r="1221" spans="1:9" x14ac:dyDescent="0.15">
      <c r="A1221" s="9">
        <v>1220</v>
      </c>
      <c r="B1221" s="9" t="s">
        <v>9</v>
      </c>
      <c r="C1221" s="9">
        <v>1923</v>
      </c>
      <c r="D1221" s="10">
        <v>45701</v>
      </c>
      <c r="E1221" s="13" t="str">
        <f>+HYPERLINK("http://trademark.i-assist.jp/data/china/image_1923th/81905987.pdf","81905987")</f>
        <v>81905987</v>
      </c>
      <c r="F1221" s="9" t="s">
        <v>3372</v>
      </c>
      <c r="G1221" s="9" t="s">
        <v>3373</v>
      </c>
      <c r="H1221" s="9" t="s">
        <v>3374</v>
      </c>
      <c r="I1221" s="10">
        <v>45608</v>
      </c>
    </row>
    <row r="1222" spans="1:9" x14ac:dyDescent="0.15">
      <c r="A1222" s="9">
        <v>1221</v>
      </c>
      <c r="B1222" s="9" t="s">
        <v>9</v>
      </c>
      <c r="C1222" s="9">
        <v>1923</v>
      </c>
      <c r="D1222" s="10">
        <v>45701</v>
      </c>
      <c r="E1222" s="13" t="str">
        <f>+HYPERLINK("http://trademark.i-assist.jp/data/china/image_1923th/81906121.pdf","81906121")</f>
        <v>81906121</v>
      </c>
      <c r="F1222" s="9" t="s">
        <v>3375</v>
      </c>
      <c r="G1222" s="11" t="s">
        <v>3026</v>
      </c>
      <c r="H1222" s="9" t="s">
        <v>3376</v>
      </c>
      <c r="I1222" s="10">
        <v>45608</v>
      </c>
    </row>
    <row r="1223" spans="1:9" x14ac:dyDescent="0.15">
      <c r="A1223" s="9">
        <v>1222</v>
      </c>
      <c r="B1223" s="9" t="s">
        <v>9</v>
      </c>
      <c r="C1223" s="9">
        <v>1923</v>
      </c>
      <c r="D1223" s="10">
        <v>45701</v>
      </c>
      <c r="E1223" s="13" t="str">
        <f>+HYPERLINK("http://trademark.i-assist.jp/data/china/image_1923th/81906398.pdf","81906398")</f>
        <v>81906398</v>
      </c>
      <c r="F1223" s="9" t="s">
        <v>3377</v>
      </c>
      <c r="G1223" s="11" t="s">
        <v>3378</v>
      </c>
      <c r="H1223" s="9" t="s">
        <v>3379</v>
      </c>
      <c r="I1223" s="10">
        <v>45608</v>
      </c>
    </row>
    <row r="1224" spans="1:9" x14ac:dyDescent="0.15">
      <c r="A1224" s="9">
        <v>1223</v>
      </c>
      <c r="B1224" s="9" t="s">
        <v>9</v>
      </c>
      <c r="C1224" s="9">
        <v>1923</v>
      </c>
      <c r="D1224" s="10">
        <v>45701</v>
      </c>
      <c r="E1224" s="13" t="str">
        <f>+HYPERLINK("http://trademark.i-assist.jp/data/china/image_1923th/81906401.pdf","81906401")</f>
        <v>81906401</v>
      </c>
      <c r="F1224" s="11" t="s">
        <v>3380</v>
      </c>
      <c r="G1224" s="9" t="s">
        <v>3381</v>
      </c>
      <c r="H1224" s="9" t="s">
        <v>3382</v>
      </c>
      <c r="I1224" s="10">
        <v>45608</v>
      </c>
    </row>
    <row r="1225" spans="1:9" x14ac:dyDescent="0.15">
      <c r="A1225" s="9">
        <v>1224</v>
      </c>
      <c r="B1225" s="9" t="s">
        <v>9</v>
      </c>
      <c r="C1225" s="9">
        <v>1923</v>
      </c>
      <c r="D1225" s="10">
        <v>45701</v>
      </c>
      <c r="E1225" s="13" t="str">
        <f>+HYPERLINK("http://trademark.i-assist.jp/data/china/image_1923th/81906622.pdf","81906622")</f>
        <v>81906622</v>
      </c>
      <c r="F1225" s="9" t="s">
        <v>3383</v>
      </c>
      <c r="G1225" s="9" t="s">
        <v>3384</v>
      </c>
      <c r="H1225" s="9" t="s">
        <v>3385</v>
      </c>
      <c r="I1225" s="10">
        <v>45608</v>
      </c>
    </row>
    <row r="1226" spans="1:9" x14ac:dyDescent="0.15">
      <c r="A1226" s="9">
        <v>1225</v>
      </c>
      <c r="B1226" s="9" t="s">
        <v>9</v>
      </c>
      <c r="C1226" s="9">
        <v>1923</v>
      </c>
      <c r="D1226" s="10">
        <v>45701</v>
      </c>
      <c r="E1226" s="13" t="str">
        <f>+HYPERLINK("http://trademark.i-assist.jp/data/china/image_1923th/81906875.pdf","81906875")</f>
        <v>81906875</v>
      </c>
      <c r="F1226" s="11" t="s">
        <v>126</v>
      </c>
      <c r="G1226" s="9" t="s">
        <v>3386</v>
      </c>
      <c r="H1226" s="9" t="s">
        <v>3387</v>
      </c>
      <c r="I1226" s="10">
        <v>45608</v>
      </c>
    </row>
    <row r="1227" spans="1:9" x14ac:dyDescent="0.15">
      <c r="A1227" s="9">
        <v>1226</v>
      </c>
      <c r="B1227" s="9" t="s">
        <v>9</v>
      </c>
      <c r="C1227" s="9">
        <v>1923</v>
      </c>
      <c r="D1227" s="10">
        <v>45701</v>
      </c>
      <c r="E1227" s="13" t="str">
        <f>+HYPERLINK("http://trademark.i-assist.jp/data/china/image_1923th/81907063.pdf","81907063")</f>
        <v>81907063</v>
      </c>
      <c r="F1227" s="9" t="s">
        <v>3388</v>
      </c>
      <c r="G1227" s="9" t="s">
        <v>3389</v>
      </c>
      <c r="H1227" s="9" t="s">
        <v>3390</v>
      </c>
      <c r="I1227" s="10">
        <v>45608</v>
      </c>
    </row>
    <row r="1228" spans="1:9" x14ac:dyDescent="0.15">
      <c r="A1228" s="9">
        <v>1227</v>
      </c>
      <c r="B1228" s="9" t="s">
        <v>9</v>
      </c>
      <c r="C1228" s="9">
        <v>1923</v>
      </c>
      <c r="D1228" s="10">
        <v>45701</v>
      </c>
      <c r="E1228" s="13" t="str">
        <f>+HYPERLINK("http://trademark.i-assist.jp/data/china/image_1923th/81907153.pdf","81907153")</f>
        <v>81907153</v>
      </c>
      <c r="F1228" s="9" t="s">
        <v>3391</v>
      </c>
      <c r="G1228" s="11" t="s">
        <v>3392</v>
      </c>
      <c r="H1228" s="9" t="s">
        <v>3393</v>
      </c>
      <c r="I1228" s="10">
        <v>45608</v>
      </c>
    </row>
    <row r="1229" spans="1:9" x14ac:dyDescent="0.15">
      <c r="A1229" s="9">
        <v>1228</v>
      </c>
      <c r="B1229" s="9" t="s">
        <v>9</v>
      </c>
      <c r="C1229" s="9">
        <v>1923</v>
      </c>
      <c r="D1229" s="10">
        <v>45701</v>
      </c>
      <c r="E1229" s="13" t="str">
        <f>+HYPERLINK("http://trademark.i-assist.jp/data/china/image_1923th/81907202.pdf","81907202")</f>
        <v>81907202</v>
      </c>
      <c r="F1229" s="9" t="s">
        <v>3394</v>
      </c>
      <c r="G1229" s="9" t="s">
        <v>3395</v>
      </c>
      <c r="H1229" s="9" t="s">
        <v>3396</v>
      </c>
      <c r="I1229" s="10">
        <v>45608</v>
      </c>
    </row>
    <row r="1230" spans="1:9" x14ac:dyDescent="0.15">
      <c r="A1230" s="9">
        <v>1229</v>
      </c>
      <c r="B1230" s="9" t="s">
        <v>9</v>
      </c>
      <c r="C1230" s="9">
        <v>1923</v>
      </c>
      <c r="D1230" s="10">
        <v>45701</v>
      </c>
      <c r="E1230" s="13" t="str">
        <f>+HYPERLINK("http://trademark.i-assist.jp/data/china/image_1923th/81907228.pdf","81907228")</f>
        <v>81907228</v>
      </c>
      <c r="F1230" s="9" t="s">
        <v>3397</v>
      </c>
      <c r="G1230" s="9" t="s">
        <v>3398</v>
      </c>
      <c r="H1230" s="11" t="s">
        <v>3399</v>
      </c>
      <c r="I1230" s="10">
        <v>45608</v>
      </c>
    </row>
    <row r="1231" spans="1:9" x14ac:dyDescent="0.15">
      <c r="A1231" s="9">
        <v>1230</v>
      </c>
      <c r="B1231" s="9" t="s">
        <v>9</v>
      </c>
      <c r="C1231" s="9">
        <v>1923</v>
      </c>
      <c r="D1231" s="10">
        <v>45701</v>
      </c>
      <c r="E1231" s="13" t="str">
        <f>+HYPERLINK("http://trademark.i-assist.jp/data/china/image_1923th/81907297.pdf","81907297")</f>
        <v>81907297</v>
      </c>
      <c r="F1231" s="9" t="s">
        <v>3400</v>
      </c>
      <c r="G1231" s="11" t="s">
        <v>3401</v>
      </c>
      <c r="H1231" s="11" t="s">
        <v>3402</v>
      </c>
      <c r="I1231" s="10">
        <v>45608</v>
      </c>
    </row>
    <row r="1232" spans="1:9" x14ac:dyDescent="0.15">
      <c r="A1232" s="9">
        <v>1231</v>
      </c>
      <c r="B1232" s="9" t="s">
        <v>9</v>
      </c>
      <c r="C1232" s="9">
        <v>1923</v>
      </c>
      <c r="D1232" s="10">
        <v>45701</v>
      </c>
      <c r="E1232" s="13" t="str">
        <f>+HYPERLINK("http://trademark.i-assist.jp/data/china/image_1923th/81907400.pdf","81907400")</f>
        <v>81907400</v>
      </c>
      <c r="F1232" s="9" t="s">
        <v>3403</v>
      </c>
      <c r="G1232" s="9" t="s">
        <v>3359</v>
      </c>
      <c r="H1232" s="11" t="s">
        <v>3404</v>
      </c>
      <c r="I1232" s="10">
        <v>45608</v>
      </c>
    </row>
    <row r="1233" spans="1:9" x14ac:dyDescent="0.15">
      <c r="A1233" s="9">
        <v>1232</v>
      </c>
      <c r="B1233" s="9" t="s">
        <v>9</v>
      </c>
      <c r="C1233" s="9">
        <v>1923</v>
      </c>
      <c r="D1233" s="10">
        <v>45701</v>
      </c>
      <c r="E1233" s="13" t="str">
        <f>+HYPERLINK("http://trademark.i-assist.jp/data/china/image_1923th/81907649.pdf","81907649")</f>
        <v>81907649</v>
      </c>
      <c r="F1233" s="9" t="s">
        <v>3405</v>
      </c>
      <c r="G1233" s="9" t="s">
        <v>3406</v>
      </c>
      <c r="H1233" s="11" t="s">
        <v>3407</v>
      </c>
      <c r="I1233" s="10">
        <v>45608</v>
      </c>
    </row>
    <row r="1234" spans="1:9" x14ac:dyDescent="0.15">
      <c r="A1234" s="9">
        <v>1233</v>
      </c>
      <c r="B1234" s="9" t="s">
        <v>9</v>
      </c>
      <c r="C1234" s="9">
        <v>1923</v>
      </c>
      <c r="D1234" s="10">
        <v>45701</v>
      </c>
      <c r="E1234" s="13" t="str">
        <f>+HYPERLINK("http://trademark.i-assist.jp/data/china/image_1923th/81907654.pdf","81907654")</f>
        <v>81907654</v>
      </c>
      <c r="F1234" s="9" t="s">
        <v>3408</v>
      </c>
      <c r="G1234" s="9" t="s">
        <v>3409</v>
      </c>
      <c r="H1234" s="9" t="s">
        <v>3410</v>
      </c>
      <c r="I1234" s="10">
        <v>45608</v>
      </c>
    </row>
    <row r="1235" spans="1:9" x14ac:dyDescent="0.15">
      <c r="A1235" s="9">
        <v>1234</v>
      </c>
      <c r="B1235" s="9" t="s">
        <v>9</v>
      </c>
      <c r="C1235" s="9">
        <v>1923</v>
      </c>
      <c r="D1235" s="10">
        <v>45701</v>
      </c>
      <c r="E1235" s="13" t="str">
        <f>+HYPERLINK("http://trademark.i-assist.jp/data/china/image_1923th/81907814.pdf","81907814")</f>
        <v>81907814</v>
      </c>
      <c r="F1235" s="9" t="s">
        <v>3411</v>
      </c>
      <c r="G1235" s="9" t="s">
        <v>3412</v>
      </c>
      <c r="H1235" s="9" t="s">
        <v>3413</v>
      </c>
      <c r="I1235" s="10">
        <v>45608</v>
      </c>
    </row>
    <row r="1236" spans="1:9" x14ac:dyDescent="0.15">
      <c r="A1236" s="9">
        <v>1235</v>
      </c>
      <c r="B1236" s="9" t="s">
        <v>9</v>
      </c>
      <c r="C1236" s="9">
        <v>1923</v>
      </c>
      <c r="D1236" s="10">
        <v>45701</v>
      </c>
      <c r="E1236" s="13" t="str">
        <f>+HYPERLINK("http://trademark.i-assist.jp/data/china/image_1923th/81907980.pdf","81907980")</f>
        <v>81907980</v>
      </c>
      <c r="F1236" s="9" t="s">
        <v>3414</v>
      </c>
      <c r="G1236" s="9" t="s">
        <v>3415</v>
      </c>
      <c r="H1236" s="11" t="s">
        <v>3416</v>
      </c>
      <c r="I1236" s="10">
        <v>45608</v>
      </c>
    </row>
    <row r="1237" spans="1:9" x14ac:dyDescent="0.15">
      <c r="A1237" s="9">
        <v>1236</v>
      </c>
      <c r="B1237" s="9" t="s">
        <v>9</v>
      </c>
      <c r="C1237" s="9">
        <v>1923</v>
      </c>
      <c r="D1237" s="10">
        <v>45701</v>
      </c>
      <c r="E1237" s="13" t="str">
        <f>+HYPERLINK("http://trademark.i-assist.jp/data/china/image_1923th/81908242.pdf","81908242")</f>
        <v>81908242</v>
      </c>
      <c r="F1237" s="9" t="s">
        <v>3417</v>
      </c>
      <c r="G1237" s="9" t="s">
        <v>3418</v>
      </c>
      <c r="H1237" s="9" t="s">
        <v>3419</v>
      </c>
      <c r="I1237" s="10">
        <v>45608</v>
      </c>
    </row>
    <row r="1238" spans="1:9" x14ac:dyDescent="0.15">
      <c r="A1238" s="9">
        <v>1237</v>
      </c>
      <c r="B1238" s="9" t="s">
        <v>9</v>
      </c>
      <c r="C1238" s="9">
        <v>1923</v>
      </c>
      <c r="D1238" s="10">
        <v>45701</v>
      </c>
      <c r="E1238" s="13" t="str">
        <f>+HYPERLINK("http://trademark.i-assist.jp/data/china/image_1923th/81908279.pdf","81908279")</f>
        <v>81908279</v>
      </c>
      <c r="F1238" s="11" t="s">
        <v>3420</v>
      </c>
      <c r="G1238" s="9" t="s">
        <v>3421</v>
      </c>
      <c r="H1238" s="9" t="s">
        <v>3422</v>
      </c>
      <c r="I1238" s="10">
        <v>45608</v>
      </c>
    </row>
    <row r="1239" spans="1:9" x14ac:dyDescent="0.15">
      <c r="A1239" s="9">
        <v>1238</v>
      </c>
      <c r="B1239" s="9" t="s">
        <v>9</v>
      </c>
      <c r="C1239" s="9">
        <v>1923</v>
      </c>
      <c r="D1239" s="10">
        <v>45701</v>
      </c>
      <c r="E1239" s="13" t="str">
        <f>+HYPERLINK("http://trademark.i-assist.jp/data/china/image_1923th/81908348.pdf","81908348")</f>
        <v>81908348</v>
      </c>
      <c r="F1239" s="11" t="s">
        <v>3423</v>
      </c>
      <c r="G1239" s="11" t="s">
        <v>3424</v>
      </c>
      <c r="H1239" s="9" t="s">
        <v>3425</v>
      </c>
      <c r="I1239" s="10">
        <v>45608</v>
      </c>
    </row>
    <row r="1240" spans="1:9" x14ac:dyDescent="0.15">
      <c r="A1240" s="9">
        <v>1239</v>
      </c>
      <c r="B1240" s="9" t="s">
        <v>9</v>
      </c>
      <c r="C1240" s="9">
        <v>1923</v>
      </c>
      <c r="D1240" s="10">
        <v>45701</v>
      </c>
      <c r="E1240" s="13" t="str">
        <f>+HYPERLINK("http://trademark.i-assist.jp/data/china/image_1923th/81908406.pdf","81908406")</f>
        <v>81908406</v>
      </c>
      <c r="F1240" s="11" t="s">
        <v>3426</v>
      </c>
      <c r="G1240" s="9" t="s">
        <v>3359</v>
      </c>
      <c r="H1240" s="11" t="s">
        <v>3427</v>
      </c>
      <c r="I1240" s="10">
        <v>45608</v>
      </c>
    </row>
    <row r="1241" spans="1:9" x14ac:dyDescent="0.15">
      <c r="A1241" s="9">
        <v>1240</v>
      </c>
      <c r="B1241" s="9" t="s">
        <v>9</v>
      </c>
      <c r="C1241" s="9">
        <v>1923</v>
      </c>
      <c r="D1241" s="10">
        <v>45701</v>
      </c>
      <c r="E1241" s="13" t="str">
        <f>+HYPERLINK("http://trademark.i-assist.jp/data/china/image_1923th/81909606.pdf","81909606")</f>
        <v>81909606</v>
      </c>
      <c r="F1241" s="11" t="s">
        <v>126</v>
      </c>
      <c r="G1241" s="9" t="s">
        <v>3428</v>
      </c>
      <c r="H1241" s="9" t="s">
        <v>3429</v>
      </c>
      <c r="I1241" s="10">
        <v>45608</v>
      </c>
    </row>
    <row r="1242" spans="1:9" x14ac:dyDescent="0.15">
      <c r="A1242" s="9">
        <v>1241</v>
      </c>
      <c r="B1242" s="9" t="s">
        <v>9</v>
      </c>
      <c r="C1242" s="9">
        <v>1923</v>
      </c>
      <c r="D1242" s="10">
        <v>45701</v>
      </c>
      <c r="E1242" s="13" t="str">
        <f>+HYPERLINK("http://trademark.i-assist.jp/data/china/image_1923th/81909686.pdf","81909686")</f>
        <v>81909686</v>
      </c>
      <c r="F1242" s="9" t="s">
        <v>3430</v>
      </c>
      <c r="G1242" s="9" t="s">
        <v>3431</v>
      </c>
      <c r="H1242" s="9" t="s">
        <v>3432</v>
      </c>
      <c r="I1242" s="10">
        <v>45608</v>
      </c>
    </row>
    <row r="1243" spans="1:9" x14ac:dyDescent="0.15">
      <c r="A1243" s="9">
        <v>1242</v>
      </c>
      <c r="B1243" s="9" t="s">
        <v>9</v>
      </c>
      <c r="C1243" s="9">
        <v>1923</v>
      </c>
      <c r="D1243" s="10">
        <v>45701</v>
      </c>
      <c r="E1243" s="13" t="str">
        <f>+HYPERLINK("http://trademark.i-assist.jp/data/china/image_1923th/81909703.pdf","81909703")</f>
        <v>81909703</v>
      </c>
      <c r="F1243" s="9" t="s">
        <v>3433</v>
      </c>
      <c r="G1243" s="9" t="s">
        <v>3434</v>
      </c>
      <c r="H1243" s="9" t="s">
        <v>3435</v>
      </c>
      <c r="I1243" s="10">
        <v>45608</v>
      </c>
    </row>
    <row r="1244" spans="1:9" x14ac:dyDescent="0.15">
      <c r="A1244" s="9">
        <v>1243</v>
      </c>
      <c r="B1244" s="9" t="s">
        <v>9</v>
      </c>
      <c r="C1244" s="9">
        <v>1923</v>
      </c>
      <c r="D1244" s="10">
        <v>45701</v>
      </c>
      <c r="E1244" s="13" t="str">
        <f>+HYPERLINK("http://trademark.i-assist.jp/data/china/image_1923th/81910325.pdf","81910325")</f>
        <v>81910325</v>
      </c>
      <c r="F1244" s="9" t="s">
        <v>3436</v>
      </c>
      <c r="G1244" s="9" t="s">
        <v>52</v>
      </c>
      <c r="H1244" s="9" t="s">
        <v>3437</v>
      </c>
      <c r="I1244" s="10">
        <v>45608</v>
      </c>
    </row>
    <row r="1245" spans="1:9" x14ac:dyDescent="0.15">
      <c r="A1245" s="9">
        <v>1244</v>
      </c>
      <c r="B1245" s="9" t="s">
        <v>9</v>
      </c>
      <c r="C1245" s="9">
        <v>1923</v>
      </c>
      <c r="D1245" s="10">
        <v>45701</v>
      </c>
      <c r="E1245" s="13" t="str">
        <f>+HYPERLINK("http://trademark.i-assist.jp/data/china/image_1923th/81910518.pdf","81910518")</f>
        <v>81910518</v>
      </c>
      <c r="F1245" s="9" t="s">
        <v>3438</v>
      </c>
      <c r="G1245" s="9" t="s">
        <v>3439</v>
      </c>
      <c r="H1245" s="9" t="s">
        <v>3440</v>
      </c>
      <c r="I1245" s="10">
        <v>45608</v>
      </c>
    </row>
    <row r="1246" spans="1:9" x14ac:dyDescent="0.15">
      <c r="A1246" s="9">
        <v>1245</v>
      </c>
      <c r="B1246" s="9" t="s">
        <v>9</v>
      </c>
      <c r="C1246" s="9">
        <v>1923</v>
      </c>
      <c r="D1246" s="10">
        <v>45701</v>
      </c>
      <c r="E1246" s="13" t="str">
        <f>+HYPERLINK("http://trademark.i-assist.jp/data/china/image_1923th/81910557.pdf","81910557")</f>
        <v>81910557</v>
      </c>
      <c r="F1246" s="9" t="s">
        <v>3441</v>
      </c>
      <c r="G1246" s="9" t="s">
        <v>3442</v>
      </c>
      <c r="H1246" s="9" t="s">
        <v>3443</v>
      </c>
      <c r="I1246" s="10">
        <v>45608</v>
      </c>
    </row>
    <row r="1247" spans="1:9" x14ac:dyDescent="0.15">
      <c r="A1247" s="9">
        <v>1246</v>
      </c>
      <c r="B1247" s="9" t="s">
        <v>9</v>
      </c>
      <c r="C1247" s="9">
        <v>1923</v>
      </c>
      <c r="D1247" s="10">
        <v>45701</v>
      </c>
      <c r="E1247" s="13" t="str">
        <f>+HYPERLINK("http://trademark.i-assist.jp/data/china/image_1923th/81910907.pdf","81910907")</f>
        <v>81910907</v>
      </c>
      <c r="F1247" s="9" t="s">
        <v>3444</v>
      </c>
      <c r="G1247" s="9" t="s">
        <v>3412</v>
      </c>
      <c r="H1247" s="9" t="s">
        <v>3445</v>
      </c>
      <c r="I1247" s="10">
        <v>45608</v>
      </c>
    </row>
    <row r="1248" spans="1:9" x14ac:dyDescent="0.15">
      <c r="A1248" s="9">
        <v>1247</v>
      </c>
      <c r="B1248" s="9" t="s">
        <v>9</v>
      </c>
      <c r="C1248" s="9">
        <v>1923</v>
      </c>
      <c r="D1248" s="10">
        <v>45701</v>
      </c>
      <c r="E1248" s="13" t="str">
        <f>+HYPERLINK("http://trademark.i-assist.jp/data/china/image_1923th/81910962.pdf","81910962")</f>
        <v>81910962</v>
      </c>
      <c r="F1248" s="9" t="s">
        <v>3446</v>
      </c>
      <c r="G1248" s="9" t="s">
        <v>3447</v>
      </c>
      <c r="H1248" s="11" t="s">
        <v>3448</v>
      </c>
      <c r="I1248" s="10">
        <v>45608</v>
      </c>
    </row>
    <row r="1249" spans="1:9" x14ac:dyDescent="0.15">
      <c r="A1249" s="9">
        <v>1248</v>
      </c>
      <c r="B1249" s="9" t="s">
        <v>9</v>
      </c>
      <c r="C1249" s="9">
        <v>1923</v>
      </c>
      <c r="D1249" s="10">
        <v>45701</v>
      </c>
      <c r="E1249" s="13" t="str">
        <f>+HYPERLINK("http://trademark.i-assist.jp/data/china/image_1923th/81911073.pdf","81911073")</f>
        <v>81911073</v>
      </c>
      <c r="F1249" s="9" t="s">
        <v>3449</v>
      </c>
      <c r="G1249" s="9" t="s">
        <v>3450</v>
      </c>
      <c r="H1249" s="9" t="s">
        <v>3451</v>
      </c>
      <c r="I1249" s="10">
        <v>45608</v>
      </c>
    </row>
    <row r="1250" spans="1:9" x14ac:dyDescent="0.15">
      <c r="A1250" s="9">
        <v>1249</v>
      </c>
      <c r="B1250" s="9" t="s">
        <v>9</v>
      </c>
      <c r="C1250" s="9">
        <v>1923</v>
      </c>
      <c r="D1250" s="10">
        <v>45701</v>
      </c>
      <c r="E1250" s="13" t="str">
        <f>+HYPERLINK("http://trademark.i-assist.jp/data/china/image_1923th/81911908.pdf","81911908")</f>
        <v>81911908</v>
      </c>
      <c r="F1250" s="9" t="s">
        <v>3452</v>
      </c>
      <c r="G1250" s="9" t="s">
        <v>3453</v>
      </c>
      <c r="H1250" s="9" t="s">
        <v>3454</v>
      </c>
      <c r="I1250" s="10">
        <v>45608</v>
      </c>
    </row>
    <row r="1251" spans="1:9" x14ac:dyDescent="0.15">
      <c r="A1251" s="9">
        <v>1250</v>
      </c>
      <c r="B1251" s="9" t="s">
        <v>9</v>
      </c>
      <c r="C1251" s="9">
        <v>1923</v>
      </c>
      <c r="D1251" s="10">
        <v>45701</v>
      </c>
      <c r="E1251" s="13" t="str">
        <f>+HYPERLINK("http://trademark.i-assist.jp/data/china/image_1923th/81912147.pdf","81912147")</f>
        <v>81912147</v>
      </c>
      <c r="F1251" s="9" t="s">
        <v>3455</v>
      </c>
      <c r="G1251" s="9" t="s">
        <v>3456</v>
      </c>
      <c r="H1251" s="9" t="s">
        <v>3457</v>
      </c>
      <c r="I1251" s="10">
        <v>45608</v>
      </c>
    </row>
    <row r="1252" spans="1:9" x14ac:dyDescent="0.15">
      <c r="A1252" s="9">
        <v>1251</v>
      </c>
      <c r="B1252" s="9" t="s">
        <v>9</v>
      </c>
      <c r="C1252" s="9">
        <v>1923</v>
      </c>
      <c r="D1252" s="10">
        <v>45701</v>
      </c>
      <c r="E1252" s="13" t="str">
        <f>+HYPERLINK("http://trademark.i-assist.jp/data/china/image_1923th/81912551.pdf","81912551")</f>
        <v>81912551</v>
      </c>
      <c r="F1252" s="9" t="s">
        <v>3458</v>
      </c>
      <c r="G1252" s="9" t="s">
        <v>3459</v>
      </c>
      <c r="H1252" s="9" t="s">
        <v>3460</v>
      </c>
      <c r="I1252" s="10">
        <v>45608</v>
      </c>
    </row>
    <row r="1253" spans="1:9" x14ac:dyDescent="0.15">
      <c r="A1253" s="9">
        <v>1252</v>
      </c>
      <c r="B1253" s="9" t="s">
        <v>9</v>
      </c>
      <c r="C1253" s="9">
        <v>1923</v>
      </c>
      <c r="D1253" s="10">
        <v>45701</v>
      </c>
      <c r="E1253" s="13" t="str">
        <f>+HYPERLINK("http://trademark.i-assist.jp/data/china/image_1923th/81912948.pdf","81912948")</f>
        <v>81912948</v>
      </c>
      <c r="F1253" s="9" t="s">
        <v>3461</v>
      </c>
      <c r="G1253" s="9" t="s">
        <v>3462</v>
      </c>
      <c r="H1253" s="9" t="s">
        <v>3463</v>
      </c>
      <c r="I1253" s="10">
        <v>45608</v>
      </c>
    </row>
    <row r="1254" spans="1:9" x14ac:dyDescent="0.15">
      <c r="A1254" s="9">
        <v>1253</v>
      </c>
      <c r="B1254" s="9" t="s">
        <v>9</v>
      </c>
      <c r="C1254" s="9">
        <v>1923</v>
      </c>
      <c r="D1254" s="10">
        <v>45701</v>
      </c>
      <c r="E1254" s="13" t="str">
        <f>+HYPERLINK("http://trademark.i-assist.jp/data/china/image_1923th/81913245.pdf","81913245")</f>
        <v>81913245</v>
      </c>
      <c r="F1254" s="9" t="s">
        <v>3464</v>
      </c>
      <c r="G1254" s="9" t="s">
        <v>3465</v>
      </c>
      <c r="H1254" s="9" t="s">
        <v>3466</v>
      </c>
      <c r="I1254" s="10">
        <v>45608</v>
      </c>
    </row>
    <row r="1255" spans="1:9" x14ac:dyDescent="0.15">
      <c r="A1255" s="9">
        <v>1254</v>
      </c>
      <c r="B1255" s="9" t="s">
        <v>9</v>
      </c>
      <c r="C1255" s="9">
        <v>1923</v>
      </c>
      <c r="D1255" s="10">
        <v>45701</v>
      </c>
      <c r="E1255" s="13" t="str">
        <f>+HYPERLINK("http://trademark.i-assist.jp/data/china/image_1923th/81913298.pdf","81913298")</f>
        <v>81913298</v>
      </c>
      <c r="F1255" s="9" t="s">
        <v>3467</v>
      </c>
      <c r="G1255" s="9" t="s">
        <v>3468</v>
      </c>
      <c r="H1255" s="9" t="s">
        <v>3469</v>
      </c>
      <c r="I1255" s="10">
        <v>45608</v>
      </c>
    </row>
    <row r="1256" spans="1:9" x14ac:dyDescent="0.15">
      <c r="A1256" s="9">
        <v>1255</v>
      </c>
      <c r="B1256" s="9" t="s">
        <v>9</v>
      </c>
      <c r="C1256" s="9">
        <v>1923</v>
      </c>
      <c r="D1256" s="10">
        <v>45701</v>
      </c>
      <c r="E1256" s="13" t="str">
        <f>+HYPERLINK("http://trademark.i-assist.jp/data/china/image_1923th/81913677.pdf","81913677")</f>
        <v>81913677</v>
      </c>
      <c r="F1256" s="9" t="s">
        <v>3470</v>
      </c>
      <c r="G1256" s="9" t="s">
        <v>3471</v>
      </c>
      <c r="H1256" s="9" t="s">
        <v>3472</v>
      </c>
      <c r="I1256" s="10">
        <v>45608</v>
      </c>
    </row>
    <row r="1257" spans="1:9" x14ac:dyDescent="0.15">
      <c r="A1257" s="9">
        <v>1256</v>
      </c>
      <c r="B1257" s="9" t="s">
        <v>9</v>
      </c>
      <c r="C1257" s="9">
        <v>1923</v>
      </c>
      <c r="D1257" s="10">
        <v>45701</v>
      </c>
      <c r="E1257" s="13" t="str">
        <f>+HYPERLINK("http://trademark.i-assist.jp/data/china/image_1923th/81914026.pdf","81914026")</f>
        <v>81914026</v>
      </c>
      <c r="F1257" s="9" t="s">
        <v>3473</v>
      </c>
      <c r="G1257" s="9" t="s">
        <v>2145</v>
      </c>
      <c r="H1257" s="9" t="s">
        <v>3474</v>
      </c>
      <c r="I1257" s="10">
        <v>45608</v>
      </c>
    </row>
    <row r="1258" spans="1:9" x14ac:dyDescent="0.15">
      <c r="A1258" s="9">
        <v>1257</v>
      </c>
      <c r="B1258" s="9" t="s">
        <v>9</v>
      </c>
      <c r="C1258" s="9">
        <v>1923</v>
      </c>
      <c r="D1258" s="10">
        <v>45701</v>
      </c>
      <c r="E1258" s="13" t="str">
        <f>+HYPERLINK("http://trademark.i-assist.jp/data/china/image_1923th/81914416.pdf","81914416")</f>
        <v>81914416</v>
      </c>
      <c r="F1258" s="11" t="s">
        <v>126</v>
      </c>
      <c r="G1258" s="11" t="s">
        <v>3475</v>
      </c>
      <c r="H1258" s="9" t="s">
        <v>3476</v>
      </c>
      <c r="I1258" s="10">
        <v>45608</v>
      </c>
    </row>
    <row r="1259" spans="1:9" x14ac:dyDescent="0.15">
      <c r="A1259" s="9">
        <v>1258</v>
      </c>
      <c r="B1259" s="9" t="s">
        <v>9</v>
      </c>
      <c r="C1259" s="9">
        <v>1923</v>
      </c>
      <c r="D1259" s="10">
        <v>45701</v>
      </c>
      <c r="E1259" s="13" t="str">
        <f>+HYPERLINK("http://trademark.i-assist.jp/data/china/image_1923th/81914713.pdf","81914713")</f>
        <v>81914713</v>
      </c>
      <c r="F1259" s="9" t="s">
        <v>3477</v>
      </c>
      <c r="G1259" s="9" t="s">
        <v>3478</v>
      </c>
      <c r="H1259" s="9" t="s">
        <v>3479</v>
      </c>
      <c r="I1259" s="10">
        <v>45608</v>
      </c>
    </row>
    <row r="1260" spans="1:9" x14ac:dyDescent="0.15">
      <c r="A1260" s="9">
        <v>1259</v>
      </c>
      <c r="B1260" s="9" t="s">
        <v>9</v>
      </c>
      <c r="C1260" s="9">
        <v>1923</v>
      </c>
      <c r="D1260" s="10">
        <v>45701</v>
      </c>
      <c r="E1260" s="13" t="str">
        <f>+HYPERLINK("http://trademark.i-assist.jp/data/china/image_1923th/81914726.pdf","81914726")</f>
        <v>81914726</v>
      </c>
      <c r="F1260" s="9" t="s">
        <v>3480</v>
      </c>
      <c r="G1260" s="9" t="s">
        <v>3481</v>
      </c>
      <c r="H1260" s="9" t="s">
        <v>3482</v>
      </c>
      <c r="I1260" s="10">
        <v>45608</v>
      </c>
    </row>
    <row r="1261" spans="1:9" x14ac:dyDescent="0.15">
      <c r="A1261" s="9">
        <v>1260</v>
      </c>
      <c r="B1261" s="9" t="s">
        <v>9</v>
      </c>
      <c r="C1261" s="9">
        <v>1923</v>
      </c>
      <c r="D1261" s="10">
        <v>45701</v>
      </c>
      <c r="E1261" s="13" t="str">
        <f>+HYPERLINK("http://trademark.i-assist.jp/data/china/image_1923th/81914766.pdf","81914766")</f>
        <v>81914766</v>
      </c>
      <c r="F1261" s="9" t="s">
        <v>3483</v>
      </c>
      <c r="G1261" s="9" t="s">
        <v>3484</v>
      </c>
      <c r="H1261" s="9" t="s">
        <v>3485</v>
      </c>
      <c r="I1261" s="10">
        <v>45608</v>
      </c>
    </row>
    <row r="1262" spans="1:9" x14ac:dyDescent="0.15">
      <c r="A1262" s="9">
        <v>1261</v>
      </c>
      <c r="B1262" s="9" t="s">
        <v>9</v>
      </c>
      <c r="C1262" s="9">
        <v>1923</v>
      </c>
      <c r="D1262" s="10">
        <v>45701</v>
      </c>
      <c r="E1262" s="13" t="str">
        <f>+HYPERLINK("http://trademark.i-assist.jp/data/china/image_1923th/81915549.pdf","81915549")</f>
        <v>81915549</v>
      </c>
      <c r="F1262" s="9" t="s">
        <v>3486</v>
      </c>
      <c r="G1262" s="11" t="s">
        <v>3487</v>
      </c>
      <c r="H1262" s="9" t="s">
        <v>3488</v>
      </c>
      <c r="I1262" s="10">
        <v>45608</v>
      </c>
    </row>
    <row r="1263" spans="1:9" x14ac:dyDescent="0.15">
      <c r="A1263" s="9">
        <v>1262</v>
      </c>
      <c r="B1263" s="9" t="s">
        <v>9</v>
      </c>
      <c r="C1263" s="9">
        <v>1923</v>
      </c>
      <c r="D1263" s="10">
        <v>45701</v>
      </c>
      <c r="E1263" s="13" t="str">
        <f>+HYPERLINK("http://trademark.i-assist.jp/data/china/image_1923th/81915600.pdf","81915600")</f>
        <v>81915600</v>
      </c>
      <c r="F1263" s="11" t="s">
        <v>3489</v>
      </c>
      <c r="G1263" s="9" t="s">
        <v>27</v>
      </c>
      <c r="H1263" s="9" t="s">
        <v>3490</v>
      </c>
      <c r="I1263" s="10">
        <v>45608</v>
      </c>
    </row>
    <row r="1264" spans="1:9" x14ac:dyDescent="0.15">
      <c r="A1264" s="9">
        <v>1263</v>
      </c>
      <c r="B1264" s="9" t="s">
        <v>9</v>
      </c>
      <c r="C1264" s="9">
        <v>1923</v>
      </c>
      <c r="D1264" s="10">
        <v>45701</v>
      </c>
      <c r="E1264" s="13" t="str">
        <f>+HYPERLINK("http://trademark.i-assist.jp/data/china/image_1923th/81915651.pdf","81915651")</f>
        <v>81915651</v>
      </c>
      <c r="F1264" s="11" t="s">
        <v>3491</v>
      </c>
      <c r="G1264" s="9" t="s">
        <v>3492</v>
      </c>
      <c r="H1264" s="9" t="s">
        <v>3493</v>
      </c>
      <c r="I1264" s="10">
        <v>45608</v>
      </c>
    </row>
    <row r="1265" spans="1:9" x14ac:dyDescent="0.15">
      <c r="A1265" s="9">
        <v>1264</v>
      </c>
      <c r="B1265" s="9" t="s">
        <v>9</v>
      </c>
      <c r="C1265" s="9">
        <v>1923</v>
      </c>
      <c r="D1265" s="10">
        <v>45701</v>
      </c>
      <c r="E1265" s="13" t="str">
        <f>+HYPERLINK("http://trademark.i-assist.jp/data/china/image_1923th/81915948.pdf","81915948")</f>
        <v>81915948</v>
      </c>
      <c r="F1265" s="11" t="s">
        <v>3494</v>
      </c>
      <c r="G1265" s="11" t="s">
        <v>3495</v>
      </c>
      <c r="H1265" s="9" t="s">
        <v>3496</v>
      </c>
      <c r="I1265" s="10">
        <v>45608</v>
      </c>
    </row>
    <row r="1266" spans="1:9" x14ac:dyDescent="0.15">
      <c r="A1266" s="9">
        <v>1265</v>
      </c>
      <c r="B1266" s="9" t="s">
        <v>9</v>
      </c>
      <c r="C1266" s="9">
        <v>1923</v>
      </c>
      <c r="D1266" s="10">
        <v>45701</v>
      </c>
      <c r="E1266" s="13" t="str">
        <f>+HYPERLINK("http://trademark.i-assist.jp/data/china/image_1923th/81916105.pdf","81916105")</f>
        <v>81916105</v>
      </c>
      <c r="F1266" s="9" t="s">
        <v>3497</v>
      </c>
      <c r="G1266" s="9" t="s">
        <v>3498</v>
      </c>
      <c r="H1266" s="11" t="s">
        <v>3499</v>
      </c>
      <c r="I1266" s="10">
        <v>45608</v>
      </c>
    </row>
    <row r="1267" spans="1:9" x14ac:dyDescent="0.15">
      <c r="A1267" s="9">
        <v>1266</v>
      </c>
      <c r="B1267" s="9" t="s">
        <v>9</v>
      </c>
      <c r="C1267" s="9">
        <v>1923</v>
      </c>
      <c r="D1267" s="10">
        <v>45701</v>
      </c>
      <c r="E1267" s="13" t="str">
        <f>+HYPERLINK("http://trademark.i-assist.jp/data/china/image_1923th/81916174.pdf","81916174")</f>
        <v>81916174</v>
      </c>
      <c r="F1267" s="9" t="s">
        <v>3500</v>
      </c>
      <c r="G1267" s="9" t="s">
        <v>3501</v>
      </c>
      <c r="H1267" s="9" t="s">
        <v>3502</v>
      </c>
      <c r="I1267" s="10">
        <v>45608</v>
      </c>
    </row>
    <row r="1268" spans="1:9" x14ac:dyDescent="0.15">
      <c r="A1268" s="9">
        <v>1267</v>
      </c>
      <c r="B1268" s="9" t="s">
        <v>9</v>
      </c>
      <c r="C1268" s="9">
        <v>1923</v>
      </c>
      <c r="D1268" s="10">
        <v>45701</v>
      </c>
      <c r="E1268" s="13" t="str">
        <f>+HYPERLINK("http://trademark.i-assist.jp/data/china/image_1923th/81916892.pdf","81916892")</f>
        <v>81916892</v>
      </c>
      <c r="F1268" s="11" t="s">
        <v>3503</v>
      </c>
      <c r="G1268" s="9" t="s">
        <v>3504</v>
      </c>
      <c r="H1268" s="11" t="s">
        <v>3505</v>
      </c>
      <c r="I1268" s="10">
        <v>45608</v>
      </c>
    </row>
    <row r="1269" spans="1:9" x14ac:dyDescent="0.15">
      <c r="A1269" s="9">
        <v>1268</v>
      </c>
      <c r="B1269" s="9" t="s">
        <v>9</v>
      </c>
      <c r="C1269" s="9">
        <v>1923</v>
      </c>
      <c r="D1269" s="10">
        <v>45701</v>
      </c>
      <c r="E1269" s="13" t="str">
        <f>+HYPERLINK("http://trademark.i-assist.jp/data/china/image_1923th/81917112.pdf","81917112")</f>
        <v>81917112</v>
      </c>
      <c r="F1269" s="9" t="s">
        <v>3506</v>
      </c>
      <c r="G1269" s="9" t="s">
        <v>3507</v>
      </c>
      <c r="H1269" s="9" t="s">
        <v>3508</v>
      </c>
      <c r="I1269" s="10">
        <v>45608</v>
      </c>
    </row>
    <row r="1270" spans="1:9" x14ac:dyDescent="0.15">
      <c r="A1270" s="9">
        <v>1269</v>
      </c>
      <c r="B1270" s="9" t="s">
        <v>9</v>
      </c>
      <c r="C1270" s="9">
        <v>1923</v>
      </c>
      <c r="D1270" s="10">
        <v>45701</v>
      </c>
      <c r="E1270" s="13" t="str">
        <f>+HYPERLINK("http://trademark.i-assist.jp/data/china/image_1923th/81917444.pdf","81917444")</f>
        <v>81917444</v>
      </c>
      <c r="F1270" s="9" t="s">
        <v>3509</v>
      </c>
      <c r="G1270" s="9" t="s">
        <v>3468</v>
      </c>
      <c r="H1270" s="9" t="s">
        <v>3510</v>
      </c>
      <c r="I1270" s="10">
        <v>45608</v>
      </c>
    </row>
    <row r="1271" spans="1:9" x14ac:dyDescent="0.15">
      <c r="A1271" s="9">
        <v>1270</v>
      </c>
      <c r="B1271" s="9" t="s">
        <v>9</v>
      </c>
      <c r="C1271" s="9">
        <v>1923</v>
      </c>
      <c r="D1271" s="10">
        <v>45701</v>
      </c>
      <c r="E1271" s="13" t="str">
        <f>+HYPERLINK("http://trademark.i-assist.jp/data/china/image_1923th/81917549.pdf","81917549")</f>
        <v>81917549</v>
      </c>
      <c r="F1271" s="9" t="s">
        <v>3511</v>
      </c>
      <c r="G1271" s="9" t="s">
        <v>3512</v>
      </c>
      <c r="H1271" s="9" t="s">
        <v>3513</v>
      </c>
      <c r="I1271" s="10">
        <v>45608</v>
      </c>
    </row>
    <row r="1272" spans="1:9" x14ac:dyDescent="0.15">
      <c r="A1272" s="9">
        <v>1271</v>
      </c>
      <c r="B1272" s="9" t="s">
        <v>9</v>
      </c>
      <c r="C1272" s="9">
        <v>1923</v>
      </c>
      <c r="D1272" s="10">
        <v>45701</v>
      </c>
      <c r="E1272" s="13" t="str">
        <f>+HYPERLINK("http://trademark.i-assist.jp/data/china/image_1923th/81917619.pdf","81917619")</f>
        <v>81917619</v>
      </c>
      <c r="F1272" s="9" t="s">
        <v>3514</v>
      </c>
      <c r="G1272" s="9" t="s">
        <v>3515</v>
      </c>
      <c r="H1272" s="9" t="s">
        <v>3516</v>
      </c>
      <c r="I1272" s="10">
        <v>45608</v>
      </c>
    </row>
    <row r="1273" spans="1:9" x14ac:dyDescent="0.15">
      <c r="A1273" s="9">
        <v>1272</v>
      </c>
      <c r="B1273" s="9" t="s">
        <v>9</v>
      </c>
      <c r="C1273" s="9">
        <v>1923</v>
      </c>
      <c r="D1273" s="10">
        <v>45701</v>
      </c>
      <c r="E1273" s="13" t="str">
        <f>+HYPERLINK("http://trademark.i-assist.jp/data/china/image_1923th/81917789.pdf","81917789")</f>
        <v>81917789</v>
      </c>
      <c r="F1273" s="9" t="s">
        <v>3517</v>
      </c>
      <c r="G1273" s="9" t="s">
        <v>3347</v>
      </c>
      <c r="H1273" s="9" t="s">
        <v>3518</v>
      </c>
      <c r="I1273" s="10">
        <v>45608</v>
      </c>
    </row>
    <row r="1274" spans="1:9" x14ac:dyDescent="0.15">
      <c r="A1274" s="9">
        <v>1273</v>
      </c>
      <c r="B1274" s="9" t="s">
        <v>9</v>
      </c>
      <c r="C1274" s="9">
        <v>1923</v>
      </c>
      <c r="D1274" s="10">
        <v>45701</v>
      </c>
      <c r="E1274" s="13" t="str">
        <f>+HYPERLINK("http://trademark.i-assist.jp/data/china/image_1923th/81917974.pdf","81917974")</f>
        <v>81917974</v>
      </c>
      <c r="F1274" s="9" t="s">
        <v>3519</v>
      </c>
      <c r="G1274" s="12" t="s">
        <v>3520</v>
      </c>
      <c r="H1274" s="9" t="s">
        <v>3521</v>
      </c>
      <c r="I1274" s="10">
        <v>45608</v>
      </c>
    </row>
    <row r="1275" spans="1:9" x14ac:dyDescent="0.15">
      <c r="A1275" s="9">
        <v>1274</v>
      </c>
      <c r="B1275" s="9" t="s">
        <v>9</v>
      </c>
      <c r="C1275" s="9">
        <v>1923</v>
      </c>
      <c r="D1275" s="10">
        <v>45701</v>
      </c>
      <c r="E1275" s="13" t="str">
        <f>+HYPERLINK("http://trademark.i-assist.jp/data/china/image_1923th/81918247.pdf","81918247")</f>
        <v>81918247</v>
      </c>
      <c r="F1275" s="9" t="s">
        <v>3522</v>
      </c>
      <c r="G1275" s="11" t="s">
        <v>3523</v>
      </c>
      <c r="H1275" s="9" t="s">
        <v>3524</v>
      </c>
      <c r="I1275" s="10">
        <v>45608</v>
      </c>
    </row>
    <row r="1276" spans="1:9" x14ac:dyDescent="0.15">
      <c r="A1276" s="9">
        <v>1275</v>
      </c>
      <c r="B1276" s="9" t="s">
        <v>9</v>
      </c>
      <c r="C1276" s="9">
        <v>1923</v>
      </c>
      <c r="D1276" s="10">
        <v>45701</v>
      </c>
      <c r="E1276" s="13" t="str">
        <f>+HYPERLINK("http://trademark.i-assist.jp/data/china/image_1923th/81918523.pdf","81918523")</f>
        <v>81918523</v>
      </c>
      <c r="F1276" s="9" t="s">
        <v>3525</v>
      </c>
      <c r="G1276" s="11" t="s">
        <v>3401</v>
      </c>
      <c r="H1276" s="9" t="s">
        <v>3526</v>
      </c>
      <c r="I1276" s="10">
        <v>45608</v>
      </c>
    </row>
    <row r="1277" spans="1:9" x14ac:dyDescent="0.15">
      <c r="A1277" s="9">
        <v>1276</v>
      </c>
      <c r="B1277" s="9" t="s">
        <v>9</v>
      </c>
      <c r="C1277" s="9">
        <v>1923</v>
      </c>
      <c r="D1277" s="10">
        <v>45701</v>
      </c>
      <c r="E1277" s="13" t="str">
        <f>+HYPERLINK("http://trademark.i-assist.jp/data/china/image_1923th/81918652.pdf","81918652")</f>
        <v>81918652</v>
      </c>
      <c r="F1277" s="11" t="s">
        <v>126</v>
      </c>
      <c r="G1277" s="11" t="s">
        <v>2634</v>
      </c>
      <c r="H1277" s="9" t="s">
        <v>3527</v>
      </c>
      <c r="I1277" s="10">
        <v>45608</v>
      </c>
    </row>
    <row r="1278" spans="1:9" x14ac:dyDescent="0.15">
      <c r="A1278" s="9">
        <v>1277</v>
      </c>
      <c r="B1278" s="9" t="s">
        <v>9</v>
      </c>
      <c r="C1278" s="9">
        <v>1923</v>
      </c>
      <c r="D1278" s="10">
        <v>45701</v>
      </c>
      <c r="E1278" s="13" t="str">
        <f>+HYPERLINK("http://trademark.i-assist.jp/data/china/image_1923th/81918741.pdf","81918741")</f>
        <v>81918741</v>
      </c>
      <c r="F1278" s="9" t="s">
        <v>3528</v>
      </c>
      <c r="G1278" s="11" t="s">
        <v>3529</v>
      </c>
      <c r="H1278" s="11" t="s">
        <v>3530</v>
      </c>
      <c r="I1278" s="10">
        <v>45608</v>
      </c>
    </row>
    <row r="1279" spans="1:9" x14ac:dyDescent="0.15">
      <c r="A1279" s="9">
        <v>1278</v>
      </c>
      <c r="B1279" s="9" t="s">
        <v>9</v>
      </c>
      <c r="C1279" s="9">
        <v>1923</v>
      </c>
      <c r="D1279" s="10">
        <v>45701</v>
      </c>
      <c r="E1279" s="13" t="str">
        <f>+HYPERLINK("http://trademark.i-assist.jp/data/china/image_1923th/81918786.pdf","81918786")</f>
        <v>81918786</v>
      </c>
      <c r="F1279" s="11" t="s">
        <v>3531</v>
      </c>
      <c r="G1279" s="9" t="s">
        <v>3532</v>
      </c>
      <c r="H1279" s="9" t="s">
        <v>3533</v>
      </c>
      <c r="I1279" s="10">
        <v>45608</v>
      </c>
    </row>
    <row r="1280" spans="1:9" x14ac:dyDescent="0.15">
      <c r="A1280" s="9">
        <v>1279</v>
      </c>
      <c r="B1280" s="9" t="s">
        <v>9</v>
      </c>
      <c r="C1280" s="9">
        <v>1923</v>
      </c>
      <c r="D1280" s="10">
        <v>45701</v>
      </c>
      <c r="E1280" s="13" t="str">
        <f>+HYPERLINK("http://trademark.i-assist.jp/data/china/image_1923th/81918899.pdf","81918899")</f>
        <v>81918899</v>
      </c>
      <c r="F1280" s="9" t="s">
        <v>3534</v>
      </c>
      <c r="G1280" s="9" t="s">
        <v>3471</v>
      </c>
      <c r="H1280" s="9" t="s">
        <v>3535</v>
      </c>
      <c r="I1280" s="10">
        <v>45608</v>
      </c>
    </row>
    <row r="1281" spans="1:9" x14ac:dyDescent="0.15">
      <c r="A1281" s="9">
        <v>1280</v>
      </c>
      <c r="B1281" s="9" t="s">
        <v>9</v>
      </c>
      <c r="C1281" s="9">
        <v>1923</v>
      </c>
      <c r="D1281" s="10">
        <v>45701</v>
      </c>
      <c r="E1281" s="13" t="str">
        <f>+HYPERLINK("http://trademark.i-assist.jp/data/china/image_1923th/81919011.pdf","81919011")</f>
        <v>81919011</v>
      </c>
      <c r="F1281" s="9" t="s">
        <v>3536</v>
      </c>
      <c r="G1281" s="9" t="s">
        <v>3359</v>
      </c>
      <c r="H1281" s="9" t="s">
        <v>3537</v>
      </c>
      <c r="I1281" s="10">
        <v>45608</v>
      </c>
    </row>
    <row r="1282" spans="1:9" x14ac:dyDescent="0.15">
      <c r="A1282" s="9">
        <v>1281</v>
      </c>
      <c r="B1282" s="9" t="s">
        <v>9</v>
      </c>
      <c r="C1282" s="9">
        <v>1923</v>
      </c>
      <c r="D1282" s="10">
        <v>45701</v>
      </c>
      <c r="E1282" s="13" t="str">
        <f>+HYPERLINK("http://trademark.i-assist.jp/data/china/image_1923th/81919128.pdf","81919128")</f>
        <v>81919128</v>
      </c>
      <c r="F1282" s="9" t="s">
        <v>3538</v>
      </c>
      <c r="G1282" s="9" t="s">
        <v>3539</v>
      </c>
      <c r="H1282" s="9" t="s">
        <v>3540</v>
      </c>
      <c r="I1282" s="10">
        <v>45608</v>
      </c>
    </row>
    <row r="1283" spans="1:9" x14ac:dyDescent="0.15">
      <c r="A1283" s="9">
        <v>1282</v>
      </c>
      <c r="B1283" s="9" t="s">
        <v>9</v>
      </c>
      <c r="C1283" s="9">
        <v>1923</v>
      </c>
      <c r="D1283" s="10">
        <v>45701</v>
      </c>
      <c r="E1283" s="13" t="str">
        <f>+HYPERLINK("http://trademark.i-assist.jp/data/china/image_1923th/81919466.pdf","81919466")</f>
        <v>81919466</v>
      </c>
      <c r="F1283" s="9" t="s">
        <v>3541</v>
      </c>
      <c r="G1283" s="9" t="s">
        <v>3542</v>
      </c>
      <c r="H1283" s="9" t="s">
        <v>3543</v>
      </c>
      <c r="I1283" s="10">
        <v>45608</v>
      </c>
    </row>
    <row r="1284" spans="1:9" x14ac:dyDescent="0.15">
      <c r="A1284" s="9">
        <v>1283</v>
      </c>
      <c r="B1284" s="9" t="s">
        <v>9</v>
      </c>
      <c r="C1284" s="9">
        <v>1923</v>
      </c>
      <c r="D1284" s="10">
        <v>45701</v>
      </c>
      <c r="E1284" s="13" t="str">
        <f>+HYPERLINK("http://trademark.i-assist.jp/data/china/image_1923th/81919541.pdf","81919541")</f>
        <v>81919541</v>
      </c>
      <c r="F1284" s="9" t="s">
        <v>3544</v>
      </c>
      <c r="G1284" s="9" t="s">
        <v>3545</v>
      </c>
      <c r="H1284" s="9" t="s">
        <v>3546</v>
      </c>
      <c r="I1284" s="10">
        <v>45608</v>
      </c>
    </row>
    <row r="1285" spans="1:9" x14ac:dyDescent="0.15">
      <c r="A1285" s="9">
        <v>1284</v>
      </c>
      <c r="B1285" s="9" t="s">
        <v>9</v>
      </c>
      <c r="C1285" s="9">
        <v>1923</v>
      </c>
      <c r="D1285" s="10">
        <v>45701</v>
      </c>
      <c r="E1285" s="13" t="str">
        <f>+HYPERLINK("http://trademark.i-assist.jp/data/china/image_1923th/81920299.pdf","81920299")</f>
        <v>81920299</v>
      </c>
      <c r="F1285" s="11" t="s">
        <v>3547</v>
      </c>
      <c r="G1285" s="9" t="s">
        <v>3333</v>
      </c>
      <c r="H1285" s="9" t="s">
        <v>3548</v>
      </c>
      <c r="I1285" s="10">
        <v>45608</v>
      </c>
    </row>
    <row r="1286" spans="1:9" x14ac:dyDescent="0.15">
      <c r="A1286" s="9">
        <v>1285</v>
      </c>
      <c r="B1286" s="9" t="s">
        <v>9</v>
      </c>
      <c r="C1286" s="9">
        <v>1923</v>
      </c>
      <c r="D1286" s="10">
        <v>45701</v>
      </c>
      <c r="E1286" s="13" t="str">
        <f>+HYPERLINK("http://trademark.i-assist.jp/data/china/image_1923th/81920414.pdf","81920414")</f>
        <v>81920414</v>
      </c>
      <c r="F1286" s="11" t="s">
        <v>3549</v>
      </c>
      <c r="G1286" s="9" t="s">
        <v>3550</v>
      </c>
      <c r="H1286" s="11" t="s">
        <v>3551</v>
      </c>
      <c r="I1286" s="10">
        <v>45608</v>
      </c>
    </row>
    <row r="1287" spans="1:9" x14ac:dyDescent="0.15">
      <c r="A1287" s="9">
        <v>1286</v>
      </c>
      <c r="B1287" s="9" t="s">
        <v>9</v>
      </c>
      <c r="C1287" s="9">
        <v>1923</v>
      </c>
      <c r="D1287" s="10">
        <v>45701</v>
      </c>
      <c r="E1287" s="13" t="str">
        <f>+HYPERLINK("http://trademark.i-assist.jp/data/china/image_1923th/81920602.pdf","81920602")</f>
        <v>81920602</v>
      </c>
      <c r="F1287" s="9" t="s">
        <v>3552</v>
      </c>
      <c r="G1287" s="9" t="s">
        <v>3553</v>
      </c>
      <c r="H1287" s="11" t="s">
        <v>3554</v>
      </c>
      <c r="I1287" s="10">
        <v>45608</v>
      </c>
    </row>
    <row r="1288" spans="1:9" x14ac:dyDescent="0.15">
      <c r="A1288" s="9">
        <v>1287</v>
      </c>
      <c r="B1288" s="9" t="s">
        <v>9</v>
      </c>
      <c r="C1288" s="9">
        <v>1923</v>
      </c>
      <c r="D1288" s="10">
        <v>45701</v>
      </c>
      <c r="E1288" s="13" t="str">
        <f>+HYPERLINK("http://trademark.i-assist.jp/data/china/image_1923th/81920629.pdf","81920629")</f>
        <v>81920629</v>
      </c>
      <c r="F1288" s="9" t="s">
        <v>3555</v>
      </c>
      <c r="G1288" s="9" t="s">
        <v>3545</v>
      </c>
      <c r="H1288" s="9" t="s">
        <v>3556</v>
      </c>
      <c r="I1288" s="10">
        <v>45608</v>
      </c>
    </row>
    <row r="1289" spans="1:9" x14ac:dyDescent="0.15">
      <c r="A1289" s="9">
        <v>1288</v>
      </c>
      <c r="B1289" s="9" t="s">
        <v>9</v>
      </c>
      <c r="C1289" s="9">
        <v>1923</v>
      </c>
      <c r="D1289" s="10">
        <v>45701</v>
      </c>
      <c r="E1289" s="13" t="str">
        <f>+HYPERLINK("http://trademark.i-assist.jp/data/china/image_1923th/81920768.pdf","81920768")</f>
        <v>81920768</v>
      </c>
      <c r="F1289" s="9" t="s">
        <v>3557</v>
      </c>
      <c r="G1289" s="9" t="s">
        <v>3558</v>
      </c>
      <c r="H1289" s="9" t="s">
        <v>3559</v>
      </c>
      <c r="I1289" s="10">
        <v>45608</v>
      </c>
    </row>
    <row r="1290" spans="1:9" x14ac:dyDescent="0.15">
      <c r="A1290" s="9">
        <v>1289</v>
      </c>
      <c r="B1290" s="9" t="s">
        <v>9</v>
      </c>
      <c r="C1290" s="9">
        <v>1923</v>
      </c>
      <c r="D1290" s="10">
        <v>45701</v>
      </c>
      <c r="E1290" s="13" t="str">
        <f>+HYPERLINK("http://trademark.i-assist.jp/data/china/image_1923th/81920793.pdf","81920793")</f>
        <v>81920793</v>
      </c>
      <c r="F1290" s="9" t="s">
        <v>3560</v>
      </c>
      <c r="G1290" s="9" t="s">
        <v>3561</v>
      </c>
      <c r="H1290" s="9" t="s">
        <v>3562</v>
      </c>
      <c r="I1290" s="10">
        <v>45608</v>
      </c>
    </row>
    <row r="1291" spans="1:9" x14ac:dyDescent="0.15">
      <c r="A1291" s="9">
        <v>1290</v>
      </c>
      <c r="B1291" s="9" t="s">
        <v>9</v>
      </c>
      <c r="C1291" s="9">
        <v>1923</v>
      </c>
      <c r="D1291" s="10">
        <v>45701</v>
      </c>
      <c r="E1291" s="13" t="str">
        <f>+HYPERLINK("http://trademark.i-assist.jp/data/china/image_1923th/81921789.pdf","81921789")</f>
        <v>81921789</v>
      </c>
      <c r="F1291" s="11" t="s">
        <v>3563</v>
      </c>
      <c r="G1291" s="9" t="s">
        <v>3478</v>
      </c>
      <c r="H1291" s="11" t="s">
        <v>3564</v>
      </c>
      <c r="I1291" s="10">
        <v>45608</v>
      </c>
    </row>
    <row r="1292" spans="1:9" x14ac:dyDescent="0.15">
      <c r="A1292" s="9">
        <v>1291</v>
      </c>
      <c r="B1292" s="9" t="s">
        <v>9</v>
      </c>
      <c r="C1292" s="9">
        <v>1923</v>
      </c>
      <c r="D1292" s="10">
        <v>45701</v>
      </c>
      <c r="E1292" s="13" t="str">
        <f>+HYPERLINK("http://trademark.i-assist.jp/data/china/image_1923th/81922209.pdf","81922209")</f>
        <v>81922209</v>
      </c>
      <c r="F1292" s="9" t="s">
        <v>3565</v>
      </c>
      <c r="G1292" s="11" t="s">
        <v>3566</v>
      </c>
      <c r="H1292" s="9" t="s">
        <v>3567</v>
      </c>
      <c r="I1292" s="10">
        <v>45608</v>
      </c>
    </row>
    <row r="1293" spans="1:9" x14ac:dyDescent="0.15">
      <c r="A1293" s="9">
        <v>1292</v>
      </c>
      <c r="B1293" s="9" t="s">
        <v>9</v>
      </c>
      <c r="C1293" s="9">
        <v>1923</v>
      </c>
      <c r="D1293" s="10">
        <v>45701</v>
      </c>
      <c r="E1293" s="13" t="str">
        <f>+HYPERLINK("http://trademark.i-assist.jp/data/china/image_1923th/81922347.pdf","81922347")</f>
        <v>81922347</v>
      </c>
      <c r="F1293" s="9" t="s">
        <v>3568</v>
      </c>
      <c r="G1293" s="9" t="s">
        <v>3569</v>
      </c>
      <c r="H1293" s="9" t="s">
        <v>3570</v>
      </c>
      <c r="I1293" s="10">
        <v>45608</v>
      </c>
    </row>
    <row r="1294" spans="1:9" x14ac:dyDescent="0.15">
      <c r="A1294" s="9">
        <v>1293</v>
      </c>
      <c r="B1294" s="9" t="s">
        <v>9</v>
      </c>
      <c r="C1294" s="9">
        <v>1923</v>
      </c>
      <c r="D1294" s="10">
        <v>45701</v>
      </c>
      <c r="E1294" s="13" t="str">
        <f>+HYPERLINK("http://trademark.i-assist.jp/data/china/image_1923th/81922720.pdf","81922720")</f>
        <v>81922720</v>
      </c>
      <c r="F1294" s="9" t="s">
        <v>3571</v>
      </c>
      <c r="G1294" s="9" t="s">
        <v>3572</v>
      </c>
      <c r="H1294" s="9" t="s">
        <v>3573</v>
      </c>
      <c r="I1294" s="10">
        <v>45608</v>
      </c>
    </row>
    <row r="1295" spans="1:9" x14ac:dyDescent="0.15">
      <c r="A1295" s="9">
        <v>1294</v>
      </c>
      <c r="B1295" s="9" t="s">
        <v>9</v>
      </c>
      <c r="C1295" s="9">
        <v>1923</v>
      </c>
      <c r="D1295" s="10">
        <v>45701</v>
      </c>
      <c r="E1295" s="13" t="str">
        <f>+HYPERLINK("http://trademark.i-assist.jp/data/china/image_1923th/81922767.pdf","81922767")</f>
        <v>81922767</v>
      </c>
      <c r="F1295" s="9" t="s">
        <v>3574</v>
      </c>
      <c r="G1295" s="11" t="s">
        <v>3575</v>
      </c>
      <c r="H1295" s="9" t="s">
        <v>3576</v>
      </c>
      <c r="I1295" s="10">
        <v>45608</v>
      </c>
    </row>
    <row r="1296" spans="1:9" x14ac:dyDescent="0.15">
      <c r="A1296" s="9">
        <v>1295</v>
      </c>
      <c r="B1296" s="9" t="s">
        <v>9</v>
      </c>
      <c r="C1296" s="9">
        <v>1923</v>
      </c>
      <c r="D1296" s="10">
        <v>45701</v>
      </c>
      <c r="E1296" s="13" t="str">
        <f>+HYPERLINK("http://trademark.i-assist.jp/data/china/image_1923th/81922788.pdf","81922788")</f>
        <v>81922788</v>
      </c>
      <c r="F1296" s="11" t="s">
        <v>3577</v>
      </c>
      <c r="G1296" s="9" t="s">
        <v>3578</v>
      </c>
      <c r="H1296" s="9" t="s">
        <v>3579</v>
      </c>
      <c r="I1296" s="10">
        <v>45608</v>
      </c>
    </row>
    <row r="1297" spans="1:9" x14ac:dyDescent="0.15">
      <c r="A1297" s="9">
        <v>1296</v>
      </c>
      <c r="B1297" s="9" t="s">
        <v>9</v>
      </c>
      <c r="C1297" s="9">
        <v>1923</v>
      </c>
      <c r="D1297" s="10">
        <v>45701</v>
      </c>
      <c r="E1297" s="13" t="str">
        <f>+HYPERLINK("http://trademark.i-assist.jp/data/china/image_1923th/81923412.pdf","81923412")</f>
        <v>81923412</v>
      </c>
      <c r="F1297" s="9" t="s">
        <v>3580</v>
      </c>
      <c r="G1297" s="9" t="s">
        <v>3581</v>
      </c>
      <c r="H1297" s="9" t="s">
        <v>3582</v>
      </c>
      <c r="I1297" s="10">
        <v>45608</v>
      </c>
    </row>
    <row r="1298" spans="1:9" x14ac:dyDescent="0.15">
      <c r="A1298" s="9">
        <v>1297</v>
      </c>
      <c r="B1298" s="9" t="s">
        <v>9</v>
      </c>
      <c r="C1298" s="9">
        <v>1923</v>
      </c>
      <c r="D1298" s="10">
        <v>45701</v>
      </c>
      <c r="E1298" s="13" t="str">
        <f>+HYPERLINK("http://trademark.i-assist.jp/data/china/image_1923th/81923727.pdf","81923727")</f>
        <v>81923727</v>
      </c>
      <c r="F1298" s="9" t="s">
        <v>3583</v>
      </c>
      <c r="G1298" s="9" t="s">
        <v>3584</v>
      </c>
      <c r="H1298" s="11" t="s">
        <v>3585</v>
      </c>
      <c r="I1298" s="10">
        <v>45608</v>
      </c>
    </row>
    <row r="1299" spans="1:9" x14ac:dyDescent="0.15">
      <c r="A1299" s="9">
        <v>1298</v>
      </c>
      <c r="B1299" s="9" t="s">
        <v>9</v>
      </c>
      <c r="C1299" s="9">
        <v>1923</v>
      </c>
      <c r="D1299" s="10">
        <v>45701</v>
      </c>
      <c r="E1299" s="13" t="str">
        <f>+HYPERLINK("http://trademark.i-assist.jp/data/china/image_1923th/81924795.pdf","81924795")</f>
        <v>81924795</v>
      </c>
      <c r="F1299" s="11" t="s">
        <v>3586</v>
      </c>
      <c r="G1299" s="9" t="s">
        <v>3587</v>
      </c>
      <c r="H1299" s="9" t="s">
        <v>3588</v>
      </c>
      <c r="I1299" s="10">
        <v>45608</v>
      </c>
    </row>
    <row r="1300" spans="1:9" x14ac:dyDescent="0.15">
      <c r="A1300" s="9">
        <v>1299</v>
      </c>
      <c r="B1300" s="9" t="s">
        <v>9</v>
      </c>
      <c r="C1300" s="9">
        <v>1923</v>
      </c>
      <c r="D1300" s="10">
        <v>45701</v>
      </c>
      <c r="E1300" s="13" t="str">
        <f>+HYPERLINK("http://trademark.i-assist.jp/data/china/image_1923th/81924840.pdf","81924840")</f>
        <v>81924840</v>
      </c>
      <c r="F1300" s="9" t="s">
        <v>3589</v>
      </c>
      <c r="G1300" s="9" t="s">
        <v>3561</v>
      </c>
      <c r="H1300" s="9" t="s">
        <v>3590</v>
      </c>
      <c r="I1300" s="10">
        <v>45608</v>
      </c>
    </row>
    <row r="1301" spans="1:9" x14ac:dyDescent="0.15">
      <c r="A1301" s="9">
        <v>1300</v>
      </c>
      <c r="B1301" s="9" t="s">
        <v>9</v>
      </c>
      <c r="C1301" s="9">
        <v>1923</v>
      </c>
      <c r="D1301" s="10">
        <v>45701</v>
      </c>
      <c r="E1301" s="13" t="str">
        <f>+HYPERLINK("http://trademark.i-assist.jp/data/china/image_1923th/81925417.pdf","81925417")</f>
        <v>81925417</v>
      </c>
      <c r="F1301" s="9" t="s">
        <v>3591</v>
      </c>
      <c r="G1301" s="9" t="s">
        <v>3592</v>
      </c>
      <c r="H1301" s="11" t="s">
        <v>3593</v>
      </c>
      <c r="I1301" s="10">
        <v>45608</v>
      </c>
    </row>
    <row r="1302" spans="1:9" x14ac:dyDescent="0.15">
      <c r="A1302" s="9">
        <v>1301</v>
      </c>
      <c r="B1302" s="9" t="s">
        <v>9</v>
      </c>
      <c r="C1302" s="9">
        <v>1923</v>
      </c>
      <c r="D1302" s="10">
        <v>45701</v>
      </c>
      <c r="E1302" s="13" t="str">
        <f>+HYPERLINK("http://trademark.i-assist.jp/data/china/image_1923th/81925634.pdf","81925634")</f>
        <v>81925634</v>
      </c>
      <c r="F1302" s="9" t="s">
        <v>3594</v>
      </c>
      <c r="G1302" s="9" t="s">
        <v>3545</v>
      </c>
      <c r="H1302" s="9" t="s">
        <v>3595</v>
      </c>
      <c r="I1302" s="10">
        <v>45608</v>
      </c>
    </row>
    <row r="1303" spans="1:9" x14ac:dyDescent="0.15">
      <c r="A1303" s="9">
        <v>1302</v>
      </c>
      <c r="B1303" s="9" t="s">
        <v>9</v>
      </c>
      <c r="C1303" s="9">
        <v>1923</v>
      </c>
      <c r="D1303" s="10">
        <v>45701</v>
      </c>
      <c r="E1303" s="13" t="str">
        <f>+HYPERLINK("http://trademark.i-assist.jp/data/china/image_1923th/81925725.pdf","81925725")</f>
        <v>81925725</v>
      </c>
      <c r="F1303" s="9" t="s">
        <v>3596</v>
      </c>
      <c r="G1303" s="11" t="s">
        <v>3597</v>
      </c>
      <c r="H1303" s="11" t="s">
        <v>3598</v>
      </c>
      <c r="I1303" s="10">
        <v>45608</v>
      </c>
    </row>
    <row r="1304" spans="1:9" x14ac:dyDescent="0.15">
      <c r="A1304" s="9">
        <v>1303</v>
      </c>
      <c r="B1304" s="9" t="s">
        <v>9</v>
      </c>
      <c r="C1304" s="9">
        <v>1923</v>
      </c>
      <c r="D1304" s="10">
        <v>45701</v>
      </c>
      <c r="E1304" s="13" t="str">
        <f>+HYPERLINK("http://trademark.i-assist.jp/data/china/image_1923th/81925948.pdf","81925948")</f>
        <v>81925948</v>
      </c>
      <c r="F1304" s="11" t="s">
        <v>3361</v>
      </c>
      <c r="G1304" s="9" t="s">
        <v>3362</v>
      </c>
      <c r="H1304" s="9" t="s">
        <v>3599</v>
      </c>
      <c r="I1304" s="10">
        <v>45608</v>
      </c>
    </row>
    <row r="1305" spans="1:9" x14ac:dyDescent="0.15">
      <c r="A1305" s="9">
        <v>1304</v>
      </c>
      <c r="B1305" s="9" t="s">
        <v>9</v>
      </c>
      <c r="C1305" s="9">
        <v>1923</v>
      </c>
      <c r="D1305" s="10">
        <v>45701</v>
      </c>
      <c r="E1305" s="13" t="str">
        <f>+HYPERLINK("http://trademark.i-assist.jp/data/china/image_1923th/81926115.pdf","81926115")</f>
        <v>81926115</v>
      </c>
      <c r="F1305" s="9" t="s">
        <v>3600</v>
      </c>
      <c r="G1305" s="9" t="s">
        <v>3601</v>
      </c>
      <c r="H1305" s="11" t="s">
        <v>3602</v>
      </c>
      <c r="I1305" s="10">
        <v>45608</v>
      </c>
    </row>
    <row r="1306" spans="1:9" x14ac:dyDescent="0.15">
      <c r="A1306" s="9">
        <v>1305</v>
      </c>
      <c r="B1306" s="9" t="s">
        <v>9</v>
      </c>
      <c r="C1306" s="9">
        <v>1923</v>
      </c>
      <c r="D1306" s="10">
        <v>45701</v>
      </c>
      <c r="E1306" s="13" t="str">
        <f>+HYPERLINK("http://trademark.i-assist.jp/data/china/image_1923th/81926165.pdf","81926165")</f>
        <v>81926165</v>
      </c>
      <c r="F1306" s="9" t="s">
        <v>3603</v>
      </c>
      <c r="G1306" s="9" t="s">
        <v>3604</v>
      </c>
      <c r="H1306" s="9" t="s">
        <v>3605</v>
      </c>
      <c r="I1306" s="10">
        <v>45608</v>
      </c>
    </row>
    <row r="1307" spans="1:9" x14ac:dyDescent="0.15">
      <c r="A1307" s="9">
        <v>1306</v>
      </c>
      <c r="B1307" s="9" t="s">
        <v>9</v>
      </c>
      <c r="C1307" s="9">
        <v>1923</v>
      </c>
      <c r="D1307" s="10">
        <v>45701</v>
      </c>
      <c r="E1307" s="13" t="str">
        <f>+HYPERLINK("http://trademark.i-assist.jp/data/china/image_1923th/81926188.pdf","81926188")</f>
        <v>81926188</v>
      </c>
      <c r="F1307" s="9" t="s">
        <v>3606</v>
      </c>
      <c r="G1307" s="9" t="s">
        <v>3607</v>
      </c>
      <c r="H1307" s="9" t="s">
        <v>3608</v>
      </c>
      <c r="I1307" s="10">
        <v>45608</v>
      </c>
    </row>
    <row r="1308" spans="1:9" x14ac:dyDescent="0.15">
      <c r="A1308" s="9">
        <v>1307</v>
      </c>
      <c r="B1308" s="9" t="s">
        <v>9</v>
      </c>
      <c r="C1308" s="9">
        <v>1923</v>
      </c>
      <c r="D1308" s="10">
        <v>45701</v>
      </c>
      <c r="E1308" s="13" t="str">
        <f>+HYPERLINK("http://trademark.i-assist.jp/data/china/image_1923th/81926194.pdf","81926194")</f>
        <v>81926194</v>
      </c>
      <c r="F1308" s="11" t="s">
        <v>3609</v>
      </c>
      <c r="G1308" s="11" t="s">
        <v>3610</v>
      </c>
      <c r="H1308" s="9" t="s">
        <v>3611</v>
      </c>
      <c r="I1308" s="10">
        <v>45608</v>
      </c>
    </row>
    <row r="1309" spans="1:9" x14ac:dyDescent="0.15">
      <c r="A1309" s="9">
        <v>1308</v>
      </c>
      <c r="B1309" s="9" t="s">
        <v>9</v>
      </c>
      <c r="C1309" s="9">
        <v>1923</v>
      </c>
      <c r="D1309" s="10">
        <v>45701</v>
      </c>
      <c r="E1309" s="13" t="str">
        <f>+HYPERLINK("http://trademark.i-assist.jp/data/china/image_1923th/81926332.pdf","81926332")</f>
        <v>81926332</v>
      </c>
      <c r="F1309" s="9" t="s">
        <v>3612</v>
      </c>
      <c r="G1309" s="9" t="s">
        <v>3613</v>
      </c>
      <c r="H1309" s="9" t="s">
        <v>3614</v>
      </c>
      <c r="I1309" s="10">
        <v>45608</v>
      </c>
    </row>
    <row r="1310" spans="1:9" x14ac:dyDescent="0.15">
      <c r="A1310" s="9">
        <v>1309</v>
      </c>
      <c r="B1310" s="9" t="s">
        <v>9</v>
      </c>
      <c r="C1310" s="9">
        <v>1923</v>
      </c>
      <c r="D1310" s="10">
        <v>45701</v>
      </c>
      <c r="E1310" s="13" t="str">
        <f>+HYPERLINK("http://trademark.i-assist.jp/data/china/image_1923th/81926704.pdf","81926704")</f>
        <v>81926704</v>
      </c>
      <c r="F1310" s="9" t="s">
        <v>3615</v>
      </c>
      <c r="G1310" s="9" t="s">
        <v>3453</v>
      </c>
      <c r="H1310" s="9" t="s">
        <v>3616</v>
      </c>
      <c r="I1310" s="10">
        <v>45608</v>
      </c>
    </row>
    <row r="1311" spans="1:9" x14ac:dyDescent="0.15">
      <c r="A1311" s="9">
        <v>1310</v>
      </c>
      <c r="B1311" s="9" t="s">
        <v>9</v>
      </c>
      <c r="C1311" s="9">
        <v>1923</v>
      </c>
      <c r="D1311" s="10">
        <v>45701</v>
      </c>
      <c r="E1311" s="13" t="str">
        <f>+HYPERLINK("http://trademark.i-assist.jp/data/china/image_1923th/81926901.pdf","81926901")</f>
        <v>81926901</v>
      </c>
      <c r="F1311" s="9" t="s">
        <v>3617</v>
      </c>
      <c r="G1311" s="11" t="s">
        <v>3618</v>
      </c>
      <c r="H1311" s="9" t="s">
        <v>3619</v>
      </c>
      <c r="I1311" s="10">
        <v>45608</v>
      </c>
    </row>
    <row r="1312" spans="1:9" x14ac:dyDescent="0.15">
      <c r="A1312" s="9">
        <v>1311</v>
      </c>
      <c r="B1312" s="9" t="s">
        <v>9</v>
      </c>
      <c r="C1312" s="9">
        <v>1923</v>
      </c>
      <c r="D1312" s="10">
        <v>45701</v>
      </c>
      <c r="E1312" s="13" t="str">
        <f>+HYPERLINK("http://trademark.i-assist.jp/data/china/image_1923th/81927035.pdf","81927035")</f>
        <v>81927035</v>
      </c>
      <c r="F1312" s="9" t="s">
        <v>3620</v>
      </c>
      <c r="G1312" s="9" t="s">
        <v>3468</v>
      </c>
      <c r="H1312" s="9" t="s">
        <v>3621</v>
      </c>
      <c r="I1312" s="10">
        <v>45608</v>
      </c>
    </row>
    <row r="1313" spans="1:9" x14ac:dyDescent="0.15">
      <c r="A1313" s="9">
        <v>1312</v>
      </c>
      <c r="B1313" s="9" t="s">
        <v>9</v>
      </c>
      <c r="C1313" s="9">
        <v>1923</v>
      </c>
      <c r="D1313" s="10">
        <v>45701</v>
      </c>
      <c r="E1313" s="13" t="str">
        <f>+HYPERLINK("http://trademark.i-assist.jp/data/china/image_1923th/81927224.pdf","81927224")</f>
        <v>81927224</v>
      </c>
      <c r="F1313" s="11" t="s">
        <v>3622</v>
      </c>
      <c r="G1313" s="9" t="s">
        <v>3623</v>
      </c>
      <c r="H1313" s="9" t="s">
        <v>3624</v>
      </c>
      <c r="I1313" s="10">
        <v>45608</v>
      </c>
    </row>
    <row r="1314" spans="1:9" x14ac:dyDescent="0.15">
      <c r="A1314" s="9">
        <v>1313</v>
      </c>
      <c r="B1314" s="9" t="s">
        <v>9</v>
      </c>
      <c r="C1314" s="9">
        <v>1923</v>
      </c>
      <c r="D1314" s="10">
        <v>45701</v>
      </c>
      <c r="E1314" s="13" t="str">
        <f>+HYPERLINK("http://trademark.i-assist.jp/data/china/image_1923th/81927996.pdf","81927996")</f>
        <v>81927996</v>
      </c>
      <c r="F1314" s="9" t="s">
        <v>3625</v>
      </c>
      <c r="G1314" s="9" t="s">
        <v>3456</v>
      </c>
      <c r="H1314" s="9" t="s">
        <v>3626</v>
      </c>
      <c r="I1314" s="10">
        <v>45608</v>
      </c>
    </row>
    <row r="1315" spans="1:9" x14ac:dyDescent="0.15">
      <c r="A1315" s="9">
        <v>1314</v>
      </c>
      <c r="B1315" s="9" t="s">
        <v>9</v>
      </c>
      <c r="C1315" s="9">
        <v>1923</v>
      </c>
      <c r="D1315" s="10">
        <v>45701</v>
      </c>
      <c r="E1315" s="13" t="str">
        <f>+HYPERLINK("http://trademark.i-assist.jp/data/china/image_1923th/81928408.pdf","81928408")</f>
        <v>81928408</v>
      </c>
      <c r="F1315" s="9" t="s">
        <v>3627</v>
      </c>
      <c r="G1315" s="9" t="s">
        <v>3628</v>
      </c>
      <c r="H1315" s="9" t="s">
        <v>3629</v>
      </c>
      <c r="I1315" s="10">
        <v>45609</v>
      </c>
    </row>
    <row r="1316" spans="1:9" x14ac:dyDescent="0.15">
      <c r="A1316" s="9">
        <v>1315</v>
      </c>
      <c r="B1316" s="9" t="s">
        <v>9</v>
      </c>
      <c r="C1316" s="9">
        <v>1923</v>
      </c>
      <c r="D1316" s="10">
        <v>45701</v>
      </c>
      <c r="E1316" s="13" t="str">
        <f>+HYPERLINK("http://trademark.i-assist.jp/data/china/image_1923th/81928566.pdf","81928566")</f>
        <v>81928566</v>
      </c>
      <c r="F1316" s="9" t="s">
        <v>3630</v>
      </c>
      <c r="G1316" s="9" t="s">
        <v>3631</v>
      </c>
      <c r="H1316" s="9" t="s">
        <v>3632</v>
      </c>
      <c r="I1316" s="10">
        <v>45609</v>
      </c>
    </row>
    <row r="1317" spans="1:9" x14ac:dyDescent="0.15">
      <c r="A1317" s="9">
        <v>1316</v>
      </c>
      <c r="B1317" s="9" t="s">
        <v>9</v>
      </c>
      <c r="C1317" s="9">
        <v>1923</v>
      </c>
      <c r="D1317" s="10">
        <v>45701</v>
      </c>
      <c r="E1317" s="13" t="str">
        <f>+HYPERLINK("http://trademark.i-assist.jp/data/china/image_1923th/81928644.pdf","81928644")</f>
        <v>81928644</v>
      </c>
      <c r="F1317" s="9" t="s">
        <v>3633</v>
      </c>
      <c r="G1317" s="9" t="s">
        <v>3634</v>
      </c>
      <c r="H1317" s="11" t="s">
        <v>3635</v>
      </c>
      <c r="I1317" s="10">
        <v>45609</v>
      </c>
    </row>
    <row r="1318" spans="1:9" x14ac:dyDescent="0.15">
      <c r="A1318" s="9">
        <v>1317</v>
      </c>
      <c r="B1318" s="9" t="s">
        <v>9</v>
      </c>
      <c r="C1318" s="9">
        <v>1923</v>
      </c>
      <c r="D1318" s="10">
        <v>45701</v>
      </c>
      <c r="E1318" s="13" t="str">
        <f>+HYPERLINK("http://trademark.i-assist.jp/data/china/image_1923th/81928710.pdf","81928710")</f>
        <v>81928710</v>
      </c>
      <c r="F1318" s="9" t="s">
        <v>3636</v>
      </c>
      <c r="G1318" s="9" t="s">
        <v>3637</v>
      </c>
      <c r="H1318" s="9" t="s">
        <v>3638</v>
      </c>
      <c r="I1318" s="10">
        <v>45609</v>
      </c>
    </row>
    <row r="1319" spans="1:9" x14ac:dyDescent="0.15">
      <c r="A1319" s="9">
        <v>1318</v>
      </c>
      <c r="B1319" s="9" t="s">
        <v>9</v>
      </c>
      <c r="C1319" s="9">
        <v>1923</v>
      </c>
      <c r="D1319" s="10">
        <v>45701</v>
      </c>
      <c r="E1319" s="13" t="str">
        <f>+HYPERLINK("http://trademark.i-assist.jp/data/china/image_1923th/81928857.pdf","81928857")</f>
        <v>81928857</v>
      </c>
      <c r="F1319" s="9" t="s">
        <v>3639</v>
      </c>
      <c r="G1319" s="9" t="s">
        <v>3640</v>
      </c>
      <c r="H1319" s="11" t="s">
        <v>3641</v>
      </c>
      <c r="I1319" s="10">
        <v>45609</v>
      </c>
    </row>
    <row r="1320" spans="1:9" x14ac:dyDescent="0.15">
      <c r="A1320" s="9">
        <v>1319</v>
      </c>
      <c r="B1320" s="9" t="s">
        <v>9</v>
      </c>
      <c r="C1320" s="9">
        <v>1923</v>
      </c>
      <c r="D1320" s="10">
        <v>45701</v>
      </c>
      <c r="E1320" s="13" t="str">
        <f>+HYPERLINK("http://trademark.i-assist.jp/data/china/image_1923th/81928987.pdf","81928987")</f>
        <v>81928987</v>
      </c>
      <c r="F1320" s="9" t="s">
        <v>3642</v>
      </c>
      <c r="G1320" s="9" t="s">
        <v>3643</v>
      </c>
      <c r="H1320" s="9" t="s">
        <v>3644</v>
      </c>
      <c r="I1320" s="10">
        <v>45609</v>
      </c>
    </row>
    <row r="1321" spans="1:9" x14ac:dyDescent="0.15">
      <c r="A1321" s="9">
        <v>1320</v>
      </c>
      <c r="B1321" s="9" t="s">
        <v>9</v>
      </c>
      <c r="C1321" s="9">
        <v>1923</v>
      </c>
      <c r="D1321" s="10">
        <v>45701</v>
      </c>
      <c r="E1321" s="13" t="str">
        <f>+HYPERLINK("http://trademark.i-assist.jp/data/china/image_1923th/81929049.pdf","81929049")</f>
        <v>81929049</v>
      </c>
      <c r="F1321" s="11" t="s">
        <v>3645</v>
      </c>
      <c r="G1321" s="9" t="s">
        <v>3646</v>
      </c>
      <c r="H1321" s="9" t="s">
        <v>3647</v>
      </c>
      <c r="I1321" s="10">
        <v>45609</v>
      </c>
    </row>
    <row r="1322" spans="1:9" x14ac:dyDescent="0.15">
      <c r="A1322" s="9">
        <v>1321</v>
      </c>
      <c r="B1322" s="9" t="s">
        <v>9</v>
      </c>
      <c r="C1322" s="9">
        <v>1923</v>
      </c>
      <c r="D1322" s="10">
        <v>45701</v>
      </c>
      <c r="E1322" s="13" t="str">
        <f>+HYPERLINK("http://trademark.i-assist.jp/data/china/image_1923th/81929478.pdf","81929478")</f>
        <v>81929478</v>
      </c>
      <c r="F1322" s="9" t="s">
        <v>3648</v>
      </c>
      <c r="G1322" s="9" t="s">
        <v>3649</v>
      </c>
      <c r="H1322" s="9" t="s">
        <v>3650</v>
      </c>
      <c r="I1322" s="10">
        <v>45609</v>
      </c>
    </row>
    <row r="1323" spans="1:9" x14ac:dyDescent="0.15">
      <c r="A1323" s="9">
        <v>1322</v>
      </c>
      <c r="B1323" s="9" t="s">
        <v>9</v>
      </c>
      <c r="C1323" s="9">
        <v>1923</v>
      </c>
      <c r="D1323" s="10">
        <v>45701</v>
      </c>
      <c r="E1323" s="13" t="str">
        <f>+HYPERLINK("http://trademark.i-assist.jp/data/china/image_1923th/81929555.pdf","81929555")</f>
        <v>81929555</v>
      </c>
      <c r="F1323" s="9" t="s">
        <v>3651</v>
      </c>
      <c r="G1323" s="11" t="s">
        <v>3652</v>
      </c>
      <c r="H1323" s="9" t="s">
        <v>3653</v>
      </c>
      <c r="I1323" s="10">
        <v>45609</v>
      </c>
    </row>
    <row r="1324" spans="1:9" x14ac:dyDescent="0.15">
      <c r="A1324" s="9">
        <v>1323</v>
      </c>
      <c r="B1324" s="9" t="s">
        <v>9</v>
      </c>
      <c r="C1324" s="9">
        <v>1923</v>
      </c>
      <c r="D1324" s="10">
        <v>45701</v>
      </c>
      <c r="E1324" s="13" t="str">
        <f>+HYPERLINK("http://trademark.i-assist.jp/data/china/image_1923th/81929666.pdf","81929666")</f>
        <v>81929666</v>
      </c>
      <c r="F1324" s="11" t="s">
        <v>3654</v>
      </c>
      <c r="G1324" s="9" t="s">
        <v>3655</v>
      </c>
      <c r="H1324" s="11" t="s">
        <v>3656</v>
      </c>
      <c r="I1324" s="10">
        <v>45609</v>
      </c>
    </row>
    <row r="1325" spans="1:9" x14ac:dyDescent="0.15">
      <c r="A1325" s="9">
        <v>1324</v>
      </c>
      <c r="B1325" s="9" t="s">
        <v>9</v>
      </c>
      <c r="C1325" s="9">
        <v>1923</v>
      </c>
      <c r="D1325" s="10">
        <v>45701</v>
      </c>
      <c r="E1325" s="13" t="str">
        <f>+HYPERLINK("http://trademark.i-assist.jp/data/china/image_1923th/81929824.pdf","81929824")</f>
        <v>81929824</v>
      </c>
      <c r="F1325" s="9" t="s">
        <v>3657</v>
      </c>
      <c r="G1325" s="9" t="s">
        <v>3658</v>
      </c>
      <c r="H1325" s="9" t="s">
        <v>3659</v>
      </c>
      <c r="I1325" s="10">
        <v>45609</v>
      </c>
    </row>
    <row r="1326" spans="1:9" x14ac:dyDescent="0.15">
      <c r="A1326" s="9">
        <v>1325</v>
      </c>
      <c r="B1326" s="9" t="s">
        <v>9</v>
      </c>
      <c r="C1326" s="9">
        <v>1923</v>
      </c>
      <c r="D1326" s="10">
        <v>45701</v>
      </c>
      <c r="E1326" s="13" t="str">
        <f>+HYPERLINK("http://trademark.i-assist.jp/data/china/image_1923th/81930063.pdf","81930063")</f>
        <v>81930063</v>
      </c>
      <c r="F1326" s="9" t="s">
        <v>3660</v>
      </c>
      <c r="G1326" s="9" t="s">
        <v>3661</v>
      </c>
      <c r="H1326" s="9" t="s">
        <v>3662</v>
      </c>
      <c r="I1326" s="10">
        <v>45609</v>
      </c>
    </row>
    <row r="1327" spans="1:9" x14ac:dyDescent="0.15">
      <c r="A1327" s="9">
        <v>1326</v>
      </c>
      <c r="B1327" s="9" t="s">
        <v>9</v>
      </c>
      <c r="C1327" s="9">
        <v>1923</v>
      </c>
      <c r="D1327" s="10">
        <v>45701</v>
      </c>
      <c r="E1327" s="13" t="str">
        <f>+HYPERLINK("http://trademark.i-assist.jp/data/china/image_1923th/81930336.pdf","81930336")</f>
        <v>81930336</v>
      </c>
      <c r="F1327" s="11" t="s">
        <v>3663</v>
      </c>
      <c r="G1327" s="9" t="s">
        <v>3664</v>
      </c>
      <c r="H1327" s="9" t="s">
        <v>3665</v>
      </c>
      <c r="I1327" s="10">
        <v>45609</v>
      </c>
    </row>
    <row r="1328" spans="1:9" x14ac:dyDescent="0.15">
      <c r="A1328" s="9">
        <v>1327</v>
      </c>
      <c r="B1328" s="9" t="s">
        <v>9</v>
      </c>
      <c r="C1328" s="9">
        <v>1923</v>
      </c>
      <c r="D1328" s="10">
        <v>45701</v>
      </c>
      <c r="E1328" s="13" t="str">
        <f>+HYPERLINK("http://trademark.i-assist.jp/data/china/image_1923th/81930431.pdf","81930431")</f>
        <v>81930431</v>
      </c>
      <c r="F1328" s="9" t="s">
        <v>3666</v>
      </c>
      <c r="G1328" s="9" t="s">
        <v>3667</v>
      </c>
      <c r="H1328" s="9" t="s">
        <v>3668</v>
      </c>
      <c r="I1328" s="10">
        <v>45609</v>
      </c>
    </row>
    <row r="1329" spans="1:9" x14ac:dyDescent="0.15">
      <c r="A1329" s="9">
        <v>1328</v>
      </c>
      <c r="B1329" s="9" t="s">
        <v>9</v>
      </c>
      <c r="C1329" s="9">
        <v>1923</v>
      </c>
      <c r="D1329" s="10">
        <v>45701</v>
      </c>
      <c r="E1329" s="13" t="str">
        <f>+HYPERLINK("http://trademark.i-assist.jp/data/china/image_1923th/81930673.pdf","81930673")</f>
        <v>81930673</v>
      </c>
      <c r="F1329" s="9" t="s">
        <v>3669</v>
      </c>
      <c r="G1329" s="11" t="s">
        <v>3670</v>
      </c>
      <c r="H1329" s="9" t="s">
        <v>3671</v>
      </c>
      <c r="I1329" s="10">
        <v>45609</v>
      </c>
    </row>
    <row r="1330" spans="1:9" x14ac:dyDescent="0.15">
      <c r="A1330" s="9">
        <v>1329</v>
      </c>
      <c r="B1330" s="9" t="s">
        <v>9</v>
      </c>
      <c r="C1330" s="9">
        <v>1923</v>
      </c>
      <c r="D1330" s="10">
        <v>45701</v>
      </c>
      <c r="E1330" s="13" t="str">
        <f>+HYPERLINK("http://trademark.i-assist.jp/data/china/image_1923th/81930752.pdf","81930752")</f>
        <v>81930752</v>
      </c>
      <c r="F1330" s="11" t="s">
        <v>3672</v>
      </c>
      <c r="G1330" s="9" t="s">
        <v>3673</v>
      </c>
      <c r="H1330" s="9" t="s">
        <v>3674</v>
      </c>
      <c r="I1330" s="10">
        <v>45609</v>
      </c>
    </row>
    <row r="1331" spans="1:9" x14ac:dyDescent="0.15">
      <c r="A1331" s="9">
        <v>1330</v>
      </c>
      <c r="B1331" s="9" t="s">
        <v>9</v>
      </c>
      <c r="C1331" s="9">
        <v>1923</v>
      </c>
      <c r="D1331" s="10">
        <v>45701</v>
      </c>
      <c r="E1331" s="13" t="str">
        <f>+HYPERLINK("http://trademark.i-assist.jp/data/china/image_1923th/81930811.pdf","81930811")</f>
        <v>81930811</v>
      </c>
      <c r="F1331" s="9" t="s">
        <v>3675</v>
      </c>
      <c r="G1331" s="9" t="s">
        <v>1785</v>
      </c>
      <c r="H1331" s="9" t="s">
        <v>3676</v>
      </c>
      <c r="I1331" s="10">
        <v>45609</v>
      </c>
    </row>
    <row r="1332" spans="1:9" x14ac:dyDescent="0.15">
      <c r="A1332" s="9">
        <v>1331</v>
      </c>
      <c r="B1332" s="9" t="s">
        <v>9</v>
      </c>
      <c r="C1332" s="9">
        <v>1923</v>
      </c>
      <c r="D1332" s="10">
        <v>45701</v>
      </c>
      <c r="E1332" s="13" t="str">
        <f>+HYPERLINK("http://trademark.i-assist.jp/data/china/image_1923th/81930951.pdf","81930951")</f>
        <v>81930951</v>
      </c>
      <c r="F1332" s="9" t="s">
        <v>3677</v>
      </c>
      <c r="G1332" s="9" t="s">
        <v>3678</v>
      </c>
      <c r="H1332" s="9" t="s">
        <v>3679</v>
      </c>
      <c r="I1332" s="10">
        <v>45609</v>
      </c>
    </row>
    <row r="1333" spans="1:9" x14ac:dyDescent="0.15">
      <c r="A1333" s="9">
        <v>1332</v>
      </c>
      <c r="B1333" s="9" t="s">
        <v>9</v>
      </c>
      <c r="C1333" s="9">
        <v>1923</v>
      </c>
      <c r="D1333" s="10">
        <v>45701</v>
      </c>
      <c r="E1333" s="13" t="str">
        <f>+HYPERLINK("http://trademark.i-assist.jp/data/china/image_1923th/81931156.pdf","81931156")</f>
        <v>81931156</v>
      </c>
      <c r="F1333" s="9" t="s">
        <v>3680</v>
      </c>
      <c r="G1333" s="9" t="s">
        <v>3681</v>
      </c>
      <c r="H1333" s="11" t="s">
        <v>3682</v>
      </c>
      <c r="I1333" s="10">
        <v>45609</v>
      </c>
    </row>
    <row r="1334" spans="1:9" x14ac:dyDescent="0.15">
      <c r="A1334" s="9">
        <v>1333</v>
      </c>
      <c r="B1334" s="9" t="s">
        <v>9</v>
      </c>
      <c r="C1334" s="9">
        <v>1923</v>
      </c>
      <c r="D1334" s="10">
        <v>45701</v>
      </c>
      <c r="E1334" s="13" t="str">
        <f>+HYPERLINK("http://trademark.i-assist.jp/data/china/image_1923th/81931263.pdf","81931263")</f>
        <v>81931263</v>
      </c>
      <c r="F1334" s="9" t="s">
        <v>3683</v>
      </c>
      <c r="G1334" s="11" t="s">
        <v>3684</v>
      </c>
      <c r="H1334" s="9" t="s">
        <v>3685</v>
      </c>
      <c r="I1334" s="10">
        <v>45609</v>
      </c>
    </row>
    <row r="1335" spans="1:9" x14ac:dyDescent="0.15">
      <c r="A1335" s="9">
        <v>1334</v>
      </c>
      <c r="B1335" s="9" t="s">
        <v>9</v>
      </c>
      <c r="C1335" s="9">
        <v>1923</v>
      </c>
      <c r="D1335" s="10">
        <v>45701</v>
      </c>
      <c r="E1335" s="13" t="str">
        <f>+HYPERLINK("http://trademark.i-assist.jp/data/china/image_1923th/81931548.pdf","81931548")</f>
        <v>81931548</v>
      </c>
      <c r="F1335" s="9" t="s">
        <v>3686</v>
      </c>
      <c r="G1335" s="9" t="s">
        <v>3687</v>
      </c>
      <c r="H1335" s="9" t="s">
        <v>3688</v>
      </c>
      <c r="I1335" s="10">
        <v>45609</v>
      </c>
    </row>
    <row r="1336" spans="1:9" x14ac:dyDescent="0.15">
      <c r="A1336" s="9">
        <v>1335</v>
      </c>
      <c r="B1336" s="9" t="s">
        <v>9</v>
      </c>
      <c r="C1336" s="9">
        <v>1923</v>
      </c>
      <c r="D1336" s="10">
        <v>45701</v>
      </c>
      <c r="E1336" s="13" t="str">
        <f>+HYPERLINK("http://trademark.i-assist.jp/data/china/image_1923th/81931576.pdf","81931576")</f>
        <v>81931576</v>
      </c>
      <c r="F1336" s="9" t="s">
        <v>3689</v>
      </c>
      <c r="G1336" s="9" t="s">
        <v>3690</v>
      </c>
      <c r="H1336" s="9" t="s">
        <v>3691</v>
      </c>
      <c r="I1336" s="10">
        <v>45609</v>
      </c>
    </row>
    <row r="1337" spans="1:9" x14ac:dyDescent="0.15">
      <c r="A1337" s="9">
        <v>1336</v>
      </c>
      <c r="B1337" s="9" t="s">
        <v>9</v>
      </c>
      <c r="C1337" s="9">
        <v>1923</v>
      </c>
      <c r="D1337" s="10">
        <v>45701</v>
      </c>
      <c r="E1337" s="13" t="str">
        <f>+HYPERLINK("http://trademark.i-assist.jp/data/china/image_1923th/81931627.pdf","81931627")</f>
        <v>81931627</v>
      </c>
      <c r="F1337" s="9" t="s">
        <v>3692</v>
      </c>
      <c r="G1337" s="11" t="s">
        <v>3693</v>
      </c>
      <c r="H1337" s="9" t="s">
        <v>3694</v>
      </c>
      <c r="I1337" s="10">
        <v>45609</v>
      </c>
    </row>
    <row r="1338" spans="1:9" x14ac:dyDescent="0.15">
      <c r="A1338" s="9">
        <v>1337</v>
      </c>
      <c r="B1338" s="9" t="s">
        <v>9</v>
      </c>
      <c r="C1338" s="9">
        <v>1923</v>
      </c>
      <c r="D1338" s="10">
        <v>45701</v>
      </c>
      <c r="E1338" s="13" t="str">
        <f>+HYPERLINK("http://trademark.i-assist.jp/data/china/image_1923th/81931785.pdf","81931785")</f>
        <v>81931785</v>
      </c>
      <c r="F1338" s="9" t="s">
        <v>3695</v>
      </c>
      <c r="G1338" s="9" t="s">
        <v>3696</v>
      </c>
      <c r="H1338" s="9" t="s">
        <v>3697</v>
      </c>
      <c r="I1338" s="10">
        <v>45609</v>
      </c>
    </row>
    <row r="1339" spans="1:9" x14ac:dyDescent="0.15">
      <c r="A1339" s="9">
        <v>1338</v>
      </c>
      <c r="B1339" s="9" t="s">
        <v>9</v>
      </c>
      <c r="C1339" s="9">
        <v>1923</v>
      </c>
      <c r="D1339" s="10">
        <v>45701</v>
      </c>
      <c r="E1339" s="13" t="str">
        <f>+HYPERLINK("http://trademark.i-assist.jp/data/china/image_1923th/81932049.pdf","81932049")</f>
        <v>81932049</v>
      </c>
      <c r="F1339" s="11" t="s">
        <v>3698</v>
      </c>
      <c r="G1339" s="11" t="s">
        <v>3699</v>
      </c>
      <c r="H1339" s="9" t="s">
        <v>3700</v>
      </c>
      <c r="I1339" s="10">
        <v>45609</v>
      </c>
    </row>
    <row r="1340" spans="1:9" x14ac:dyDescent="0.15">
      <c r="A1340" s="9">
        <v>1339</v>
      </c>
      <c r="B1340" s="9" t="s">
        <v>9</v>
      </c>
      <c r="C1340" s="9">
        <v>1923</v>
      </c>
      <c r="D1340" s="10">
        <v>45701</v>
      </c>
      <c r="E1340" s="13" t="str">
        <f>+HYPERLINK("http://trademark.i-assist.jp/data/china/image_1923th/81932245.pdf","81932245")</f>
        <v>81932245</v>
      </c>
      <c r="F1340" s="9" t="s">
        <v>3701</v>
      </c>
      <c r="G1340" s="9" t="s">
        <v>3702</v>
      </c>
      <c r="H1340" s="9" t="s">
        <v>3703</v>
      </c>
      <c r="I1340" s="10">
        <v>45609</v>
      </c>
    </row>
    <row r="1341" spans="1:9" x14ac:dyDescent="0.15">
      <c r="A1341" s="9">
        <v>1340</v>
      </c>
      <c r="B1341" s="9" t="s">
        <v>9</v>
      </c>
      <c r="C1341" s="9">
        <v>1923</v>
      </c>
      <c r="D1341" s="10">
        <v>45701</v>
      </c>
      <c r="E1341" s="13" t="str">
        <f>+HYPERLINK("http://trademark.i-assist.jp/data/china/image_1923th/81932321.pdf","81932321")</f>
        <v>81932321</v>
      </c>
      <c r="F1341" s="9" t="s">
        <v>3704</v>
      </c>
      <c r="G1341" s="9" t="s">
        <v>3705</v>
      </c>
      <c r="H1341" s="9" t="s">
        <v>3706</v>
      </c>
      <c r="I1341" s="10">
        <v>45609</v>
      </c>
    </row>
    <row r="1342" spans="1:9" x14ac:dyDescent="0.15">
      <c r="A1342" s="9">
        <v>1341</v>
      </c>
      <c r="B1342" s="9" t="s">
        <v>9</v>
      </c>
      <c r="C1342" s="9">
        <v>1923</v>
      </c>
      <c r="D1342" s="10">
        <v>45701</v>
      </c>
      <c r="E1342" s="13" t="str">
        <f>+HYPERLINK("http://trademark.i-assist.jp/data/china/image_1923th/81932544.pdf","81932544")</f>
        <v>81932544</v>
      </c>
      <c r="F1342" s="9" t="s">
        <v>3707</v>
      </c>
      <c r="G1342" s="9" t="s">
        <v>3708</v>
      </c>
      <c r="H1342" s="9" t="s">
        <v>3709</v>
      </c>
      <c r="I1342" s="10">
        <v>45609</v>
      </c>
    </row>
    <row r="1343" spans="1:9" x14ac:dyDescent="0.15">
      <c r="A1343" s="9">
        <v>1342</v>
      </c>
      <c r="B1343" s="9" t="s">
        <v>9</v>
      </c>
      <c r="C1343" s="9">
        <v>1923</v>
      </c>
      <c r="D1343" s="10">
        <v>45701</v>
      </c>
      <c r="E1343" s="13" t="str">
        <f>+HYPERLINK("http://trademark.i-assist.jp/data/china/image_1923th/81932553.pdf","81932553")</f>
        <v>81932553</v>
      </c>
      <c r="F1343" s="11" t="s">
        <v>3710</v>
      </c>
      <c r="G1343" s="9" t="s">
        <v>3711</v>
      </c>
      <c r="H1343" s="9" t="s">
        <v>3712</v>
      </c>
      <c r="I1343" s="10">
        <v>45609</v>
      </c>
    </row>
    <row r="1344" spans="1:9" x14ac:dyDescent="0.15">
      <c r="A1344" s="9">
        <v>1343</v>
      </c>
      <c r="B1344" s="9" t="s">
        <v>9</v>
      </c>
      <c r="C1344" s="9">
        <v>1923</v>
      </c>
      <c r="D1344" s="10">
        <v>45701</v>
      </c>
      <c r="E1344" s="13" t="str">
        <f>+HYPERLINK("http://trademark.i-assist.jp/data/china/image_1923th/81933105.pdf","81933105")</f>
        <v>81933105</v>
      </c>
      <c r="F1344" s="9" t="s">
        <v>3713</v>
      </c>
      <c r="G1344" s="11" t="s">
        <v>3714</v>
      </c>
      <c r="H1344" s="9" t="s">
        <v>3715</v>
      </c>
      <c r="I1344" s="10">
        <v>45609</v>
      </c>
    </row>
    <row r="1345" spans="1:9" x14ac:dyDescent="0.15">
      <c r="A1345" s="9">
        <v>1344</v>
      </c>
      <c r="B1345" s="9" t="s">
        <v>9</v>
      </c>
      <c r="C1345" s="9">
        <v>1923</v>
      </c>
      <c r="D1345" s="10">
        <v>45701</v>
      </c>
      <c r="E1345" s="13" t="str">
        <f>+HYPERLINK("http://trademark.i-assist.jp/data/china/image_1923th/81933178.pdf","81933178")</f>
        <v>81933178</v>
      </c>
      <c r="F1345" s="9" t="s">
        <v>3716</v>
      </c>
      <c r="G1345" s="9" t="s">
        <v>3717</v>
      </c>
      <c r="H1345" s="9" t="s">
        <v>3718</v>
      </c>
      <c r="I1345" s="10">
        <v>45609</v>
      </c>
    </row>
    <row r="1346" spans="1:9" x14ac:dyDescent="0.15">
      <c r="A1346" s="9">
        <v>1345</v>
      </c>
      <c r="B1346" s="9" t="s">
        <v>9</v>
      </c>
      <c r="C1346" s="9">
        <v>1923</v>
      </c>
      <c r="D1346" s="10">
        <v>45701</v>
      </c>
      <c r="E1346" s="13" t="str">
        <f>+HYPERLINK("http://trademark.i-assist.jp/data/china/image_1923th/81933452.pdf","81933452")</f>
        <v>81933452</v>
      </c>
      <c r="F1346" s="9" t="s">
        <v>3719</v>
      </c>
      <c r="G1346" s="9" t="s">
        <v>3720</v>
      </c>
      <c r="H1346" s="11" t="s">
        <v>3721</v>
      </c>
      <c r="I1346" s="10">
        <v>45609</v>
      </c>
    </row>
    <row r="1347" spans="1:9" x14ac:dyDescent="0.15">
      <c r="A1347" s="9">
        <v>1346</v>
      </c>
      <c r="B1347" s="9" t="s">
        <v>9</v>
      </c>
      <c r="C1347" s="9">
        <v>1923</v>
      </c>
      <c r="D1347" s="10">
        <v>45701</v>
      </c>
      <c r="E1347" s="13" t="str">
        <f>+HYPERLINK("http://trademark.i-assist.jp/data/china/image_1923th/81933661.pdf","81933661")</f>
        <v>81933661</v>
      </c>
      <c r="F1347" s="9" t="s">
        <v>3722</v>
      </c>
      <c r="G1347" s="9" t="s">
        <v>3723</v>
      </c>
      <c r="H1347" s="9" t="s">
        <v>3724</v>
      </c>
      <c r="I1347" s="10">
        <v>45609</v>
      </c>
    </row>
    <row r="1348" spans="1:9" x14ac:dyDescent="0.15">
      <c r="A1348" s="9">
        <v>1347</v>
      </c>
      <c r="B1348" s="9" t="s">
        <v>9</v>
      </c>
      <c r="C1348" s="9">
        <v>1923</v>
      </c>
      <c r="D1348" s="10">
        <v>45701</v>
      </c>
      <c r="E1348" s="13" t="str">
        <f>+HYPERLINK("http://trademark.i-assist.jp/data/china/image_1923th/81933924.pdf","81933924")</f>
        <v>81933924</v>
      </c>
      <c r="F1348" s="11" t="s">
        <v>126</v>
      </c>
      <c r="G1348" s="11" t="s">
        <v>3725</v>
      </c>
      <c r="H1348" s="9" t="s">
        <v>3726</v>
      </c>
      <c r="I1348" s="10">
        <v>45609</v>
      </c>
    </row>
    <row r="1349" spans="1:9" x14ac:dyDescent="0.15">
      <c r="A1349" s="9">
        <v>1348</v>
      </c>
      <c r="B1349" s="9" t="s">
        <v>9</v>
      </c>
      <c r="C1349" s="9">
        <v>1923</v>
      </c>
      <c r="D1349" s="10">
        <v>45701</v>
      </c>
      <c r="E1349" s="13" t="str">
        <f>+HYPERLINK("http://trademark.i-assist.jp/data/china/image_1923th/81934236.pdf","81934236")</f>
        <v>81934236</v>
      </c>
      <c r="F1349" s="11" t="s">
        <v>126</v>
      </c>
      <c r="G1349" s="11" t="s">
        <v>3727</v>
      </c>
      <c r="H1349" s="9" t="s">
        <v>3728</v>
      </c>
      <c r="I1349" s="10">
        <v>45609</v>
      </c>
    </row>
    <row r="1350" spans="1:9" x14ac:dyDescent="0.15">
      <c r="A1350" s="9">
        <v>1349</v>
      </c>
      <c r="B1350" s="9" t="s">
        <v>9</v>
      </c>
      <c r="C1350" s="9">
        <v>1923</v>
      </c>
      <c r="D1350" s="10">
        <v>45701</v>
      </c>
      <c r="E1350" s="13" t="str">
        <f>+HYPERLINK("http://trademark.i-assist.jp/data/china/image_1923th/81934408.pdf","81934408")</f>
        <v>81934408</v>
      </c>
      <c r="F1350" s="11" t="s">
        <v>3729</v>
      </c>
      <c r="G1350" s="9" t="s">
        <v>3730</v>
      </c>
      <c r="H1350" s="9" t="s">
        <v>3731</v>
      </c>
      <c r="I1350" s="10">
        <v>45609</v>
      </c>
    </row>
    <row r="1351" spans="1:9" x14ac:dyDescent="0.15">
      <c r="A1351" s="9">
        <v>1350</v>
      </c>
      <c r="B1351" s="9" t="s">
        <v>9</v>
      </c>
      <c r="C1351" s="9">
        <v>1923</v>
      </c>
      <c r="D1351" s="10">
        <v>45701</v>
      </c>
      <c r="E1351" s="13" t="str">
        <f>+HYPERLINK("http://trademark.i-assist.jp/data/china/image_1923th/81934436.pdf","81934436")</f>
        <v>81934436</v>
      </c>
      <c r="F1351" s="9" t="s">
        <v>3732</v>
      </c>
      <c r="G1351" s="9" t="s">
        <v>3733</v>
      </c>
      <c r="H1351" s="9" t="s">
        <v>3734</v>
      </c>
      <c r="I1351" s="10">
        <v>45609</v>
      </c>
    </row>
    <row r="1352" spans="1:9" x14ac:dyDescent="0.15">
      <c r="A1352" s="9">
        <v>1351</v>
      </c>
      <c r="B1352" s="9" t="s">
        <v>9</v>
      </c>
      <c r="C1352" s="9">
        <v>1923</v>
      </c>
      <c r="D1352" s="10">
        <v>45701</v>
      </c>
      <c r="E1352" s="13" t="str">
        <f>+HYPERLINK("http://trademark.i-assist.jp/data/china/image_1923th/81934504.pdf","81934504")</f>
        <v>81934504</v>
      </c>
      <c r="F1352" s="9" t="s">
        <v>3735</v>
      </c>
      <c r="G1352" s="9" t="s">
        <v>3736</v>
      </c>
      <c r="H1352" s="9" t="s">
        <v>3737</v>
      </c>
      <c r="I1352" s="10">
        <v>45609</v>
      </c>
    </row>
    <row r="1353" spans="1:9" x14ac:dyDescent="0.15">
      <c r="A1353" s="9">
        <v>1352</v>
      </c>
      <c r="B1353" s="9" t="s">
        <v>9</v>
      </c>
      <c r="C1353" s="9">
        <v>1923</v>
      </c>
      <c r="D1353" s="10">
        <v>45701</v>
      </c>
      <c r="E1353" s="13" t="str">
        <f>+HYPERLINK("http://trademark.i-assist.jp/data/china/image_1923th/81934510.pdf","81934510")</f>
        <v>81934510</v>
      </c>
      <c r="F1353" s="9" t="s">
        <v>3738</v>
      </c>
      <c r="G1353" s="11" t="s">
        <v>3739</v>
      </c>
      <c r="H1353" s="9" t="s">
        <v>3740</v>
      </c>
      <c r="I1353" s="10">
        <v>45609</v>
      </c>
    </row>
    <row r="1354" spans="1:9" x14ac:dyDescent="0.15">
      <c r="A1354" s="9">
        <v>1353</v>
      </c>
      <c r="B1354" s="9" t="s">
        <v>9</v>
      </c>
      <c r="C1354" s="9">
        <v>1923</v>
      </c>
      <c r="D1354" s="10">
        <v>45701</v>
      </c>
      <c r="E1354" s="13" t="str">
        <f>+HYPERLINK("http://trademark.i-assist.jp/data/china/image_1923th/81934596.pdf","81934596")</f>
        <v>81934596</v>
      </c>
      <c r="F1354" s="9" t="s">
        <v>3741</v>
      </c>
      <c r="G1354" s="9" t="s">
        <v>3742</v>
      </c>
      <c r="H1354" s="11" t="s">
        <v>3743</v>
      </c>
      <c r="I1354" s="10">
        <v>45609</v>
      </c>
    </row>
    <row r="1355" spans="1:9" x14ac:dyDescent="0.15">
      <c r="A1355" s="9">
        <v>1354</v>
      </c>
      <c r="B1355" s="9" t="s">
        <v>9</v>
      </c>
      <c r="C1355" s="9">
        <v>1923</v>
      </c>
      <c r="D1355" s="10">
        <v>45701</v>
      </c>
      <c r="E1355" s="13" t="str">
        <f>+HYPERLINK("http://trademark.i-assist.jp/data/china/image_1923th/81934735.pdf","81934735")</f>
        <v>81934735</v>
      </c>
      <c r="F1355" s="9" t="s">
        <v>3744</v>
      </c>
      <c r="G1355" s="9" t="s">
        <v>3745</v>
      </c>
      <c r="H1355" s="9" t="s">
        <v>3746</v>
      </c>
      <c r="I1355" s="10">
        <v>45609</v>
      </c>
    </row>
    <row r="1356" spans="1:9" x14ac:dyDescent="0.15">
      <c r="A1356" s="9">
        <v>1355</v>
      </c>
      <c r="B1356" s="9" t="s">
        <v>9</v>
      </c>
      <c r="C1356" s="9">
        <v>1923</v>
      </c>
      <c r="D1356" s="10">
        <v>45701</v>
      </c>
      <c r="E1356" s="13" t="str">
        <f>+HYPERLINK("http://trademark.i-assist.jp/data/china/image_1923th/81934778.pdf","81934778")</f>
        <v>81934778</v>
      </c>
      <c r="F1356" s="11" t="s">
        <v>3747</v>
      </c>
      <c r="G1356" s="11" t="s">
        <v>3748</v>
      </c>
      <c r="H1356" s="9" t="s">
        <v>3749</v>
      </c>
      <c r="I1356" s="10">
        <v>45609</v>
      </c>
    </row>
    <row r="1357" spans="1:9" x14ac:dyDescent="0.15">
      <c r="A1357" s="9">
        <v>1356</v>
      </c>
      <c r="B1357" s="9" t="s">
        <v>9</v>
      </c>
      <c r="C1357" s="9">
        <v>1923</v>
      </c>
      <c r="D1357" s="10">
        <v>45701</v>
      </c>
      <c r="E1357" s="13" t="str">
        <f>+HYPERLINK("http://trademark.i-assist.jp/data/china/image_1923th/81935231.pdf","81935231")</f>
        <v>81935231</v>
      </c>
      <c r="F1357" s="9" t="s">
        <v>3750</v>
      </c>
      <c r="G1357" s="9" t="s">
        <v>3751</v>
      </c>
      <c r="H1357" s="9" t="s">
        <v>3752</v>
      </c>
      <c r="I1357" s="10">
        <v>45609</v>
      </c>
    </row>
    <row r="1358" spans="1:9" x14ac:dyDescent="0.15">
      <c r="A1358" s="9">
        <v>1357</v>
      </c>
      <c r="B1358" s="9" t="s">
        <v>9</v>
      </c>
      <c r="C1358" s="9">
        <v>1923</v>
      </c>
      <c r="D1358" s="10">
        <v>45701</v>
      </c>
      <c r="E1358" s="13" t="str">
        <f>+HYPERLINK("http://trademark.i-assist.jp/data/china/image_1923th/81935300.pdf","81935300")</f>
        <v>81935300</v>
      </c>
      <c r="F1358" s="9" t="s">
        <v>3753</v>
      </c>
      <c r="G1358" s="11" t="s">
        <v>3754</v>
      </c>
      <c r="H1358" s="11" t="s">
        <v>3755</v>
      </c>
      <c r="I1358" s="10">
        <v>45609</v>
      </c>
    </row>
    <row r="1359" spans="1:9" x14ac:dyDescent="0.15">
      <c r="A1359" s="9">
        <v>1358</v>
      </c>
      <c r="B1359" s="9" t="s">
        <v>9</v>
      </c>
      <c r="C1359" s="9">
        <v>1923</v>
      </c>
      <c r="D1359" s="10">
        <v>45701</v>
      </c>
      <c r="E1359" s="13" t="str">
        <f>+HYPERLINK("http://trademark.i-assist.jp/data/china/image_1923th/81935317.pdf","81935317")</f>
        <v>81935317</v>
      </c>
      <c r="F1359" s="9" t="s">
        <v>3756</v>
      </c>
      <c r="G1359" s="9" t="s">
        <v>3757</v>
      </c>
      <c r="H1359" s="9" t="s">
        <v>3758</v>
      </c>
      <c r="I1359" s="10">
        <v>45609</v>
      </c>
    </row>
    <row r="1360" spans="1:9" x14ac:dyDescent="0.15">
      <c r="A1360" s="9">
        <v>1359</v>
      </c>
      <c r="B1360" s="9" t="s">
        <v>9</v>
      </c>
      <c r="C1360" s="9">
        <v>1923</v>
      </c>
      <c r="D1360" s="10">
        <v>45701</v>
      </c>
      <c r="E1360" s="13" t="str">
        <f>+HYPERLINK("http://trademark.i-assist.jp/data/china/image_1923th/81935322.pdf","81935322")</f>
        <v>81935322</v>
      </c>
      <c r="F1360" s="11" t="s">
        <v>3759</v>
      </c>
      <c r="G1360" s="9" t="s">
        <v>3760</v>
      </c>
      <c r="H1360" s="9" t="s">
        <v>3761</v>
      </c>
      <c r="I1360" s="10">
        <v>45609</v>
      </c>
    </row>
    <row r="1361" spans="1:9" x14ac:dyDescent="0.15">
      <c r="A1361" s="9">
        <v>1360</v>
      </c>
      <c r="B1361" s="9" t="s">
        <v>9</v>
      </c>
      <c r="C1361" s="9">
        <v>1923</v>
      </c>
      <c r="D1361" s="10">
        <v>45701</v>
      </c>
      <c r="E1361" s="13" t="str">
        <f>+HYPERLINK("http://trademark.i-assist.jp/data/china/image_1923th/81935476.pdf","81935476")</f>
        <v>81935476</v>
      </c>
      <c r="F1361" s="9" t="s">
        <v>3762</v>
      </c>
      <c r="G1361" s="9" t="s">
        <v>3763</v>
      </c>
      <c r="H1361" s="9" t="s">
        <v>3764</v>
      </c>
      <c r="I1361" s="10">
        <v>45609</v>
      </c>
    </row>
    <row r="1362" spans="1:9" x14ac:dyDescent="0.15">
      <c r="A1362" s="9">
        <v>1361</v>
      </c>
      <c r="B1362" s="9" t="s">
        <v>9</v>
      </c>
      <c r="C1362" s="9">
        <v>1923</v>
      </c>
      <c r="D1362" s="10">
        <v>45701</v>
      </c>
      <c r="E1362" s="13" t="str">
        <f>+HYPERLINK("http://trademark.i-assist.jp/data/china/image_1923th/81935738.pdf","81935738")</f>
        <v>81935738</v>
      </c>
      <c r="F1362" s="9" t="s">
        <v>3765</v>
      </c>
      <c r="G1362" s="9" t="s">
        <v>3766</v>
      </c>
      <c r="H1362" s="9" t="s">
        <v>3767</v>
      </c>
      <c r="I1362" s="10">
        <v>45609</v>
      </c>
    </row>
    <row r="1363" spans="1:9" x14ac:dyDescent="0.15">
      <c r="A1363" s="9">
        <v>1362</v>
      </c>
      <c r="B1363" s="9" t="s">
        <v>9</v>
      </c>
      <c r="C1363" s="9">
        <v>1923</v>
      </c>
      <c r="D1363" s="10">
        <v>45701</v>
      </c>
      <c r="E1363" s="13" t="str">
        <f>+HYPERLINK("http://trademark.i-assist.jp/data/china/image_1923th/81935906.pdf","81935906")</f>
        <v>81935906</v>
      </c>
      <c r="F1363" s="11" t="s">
        <v>3768</v>
      </c>
      <c r="G1363" s="9" t="s">
        <v>3769</v>
      </c>
      <c r="H1363" s="9" t="s">
        <v>3770</v>
      </c>
      <c r="I1363" s="10">
        <v>45609</v>
      </c>
    </row>
    <row r="1364" spans="1:9" x14ac:dyDescent="0.15">
      <c r="A1364" s="9">
        <v>1363</v>
      </c>
      <c r="B1364" s="9" t="s">
        <v>9</v>
      </c>
      <c r="C1364" s="9">
        <v>1923</v>
      </c>
      <c r="D1364" s="10">
        <v>45701</v>
      </c>
      <c r="E1364" s="13" t="str">
        <f>+HYPERLINK("http://trademark.i-assist.jp/data/china/image_1923th/81935908.pdf","81935908")</f>
        <v>81935908</v>
      </c>
      <c r="F1364" s="9" t="s">
        <v>3771</v>
      </c>
      <c r="G1364" s="9" t="s">
        <v>3772</v>
      </c>
      <c r="H1364" s="9" t="s">
        <v>3773</v>
      </c>
      <c r="I1364" s="10">
        <v>45609</v>
      </c>
    </row>
    <row r="1365" spans="1:9" x14ac:dyDescent="0.15">
      <c r="A1365" s="9">
        <v>1364</v>
      </c>
      <c r="B1365" s="9" t="s">
        <v>9</v>
      </c>
      <c r="C1365" s="9">
        <v>1923</v>
      </c>
      <c r="D1365" s="10">
        <v>45701</v>
      </c>
      <c r="E1365" s="13" t="str">
        <f>+HYPERLINK("http://trademark.i-assist.jp/data/china/image_1923th/81935932.pdf","81935932")</f>
        <v>81935932</v>
      </c>
      <c r="F1365" s="9" t="s">
        <v>3774</v>
      </c>
      <c r="G1365" s="9" t="s">
        <v>3775</v>
      </c>
      <c r="H1365" s="9" t="s">
        <v>3776</v>
      </c>
      <c r="I1365" s="10">
        <v>45609</v>
      </c>
    </row>
    <row r="1366" spans="1:9" x14ac:dyDescent="0.15">
      <c r="A1366" s="9">
        <v>1365</v>
      </c>
      <c r="B1366" s="9" t="s">
        <v>9</v>
      </c>
      <c r="C1366" s="9">
        <v>1923</v>
      </c>
      <c r="D1366" s="10">
        <v>45701</v>
      </c>
      <c r="E1366" s="13" t="str">
        <f>+HYPERLINK("http://trademark.i-assist.jp/data/china/image_1923th/81936014.pdf","81936014")</f>
        <v>81936014</v>
      </c>
      <c r="F1366" s="11" t="s">
        <v>3777</v>
      </c>
      <c r="G1366" s="9" t="s">
        <v>3711</v>
      </c>
      <c r="H1366" s="11" t="s">
        <v>3778</v>
      </c>
      <c r="I1366" s="10">
        <v>45609</v>
      </c>
    </row>
    <row r="1367" spans="1:9" x14ac:dyDescent="0.15">
      <c r="A1367" s="9">
        <v>1366</v>
      </c>
      <c r="B1367" s="9" t="s">
        <v>9</v>
      </c>
      <c r="C1367" s="9">
        <v>1923</v>
      </c>
      <c r="D1367" s="10">
        <v>45701</v>
      </c>
      <c r="E1367" s="13" t="str">
        <f>+HYPERLINK("http://trademark.i-assist.jp/data/china/image_1923th/81936094.pdf","81936094")</f>
        <v>81936094</v>
      </c>
      <c r="F1367" s="9" t="s">
        <v>3779</v>
      </c>
      <c r="G1367" s="9" t="s">
        <v>3780</v>
      </c>
      <c r="H1367" s="9" t="s">
        <v>3781</v>
      </c>
      <c r="I1367" s="10">
        <v>45609</v>
      </c>
    </row>
    <row r="1368" spans="1:9" x14ac:dyDescent="0.15">
      <c r="A1368" s="9">
        <v>1367</v>
      </c>
      <c r="B1368" s="9" t="s">
        <v>9</v>
      </c>
      <c r="C1368" s="9">
        <v>1923</v>
      </c>
      <c r="D1368" s="10">
        <v>45701</v>
      </c>
      <c r="E1368" s="13" t="str">
        <f>+HYPERLINK("http://trademark.i-assist.jp/data/china/image_1923th/81936222.pdf","81936222")</f>
        <v>81936222</v>
      </c>
      <c r="F1368" s="9" t="s">
        <v>3782</v>
      </c>
      <c r="G1368" s="9" t="s">
        <v>3783</v>
      </c>
      <c r="H1368" s="9" t="s">
        <v>3784</v>
      </c>
      <c r="I1368" s="10">
        <v>45609</v>
      </c>
    </row>
    <row r="1369" spans="1:9" x14ac:dyDescent="0.15">
      <c r="A1369" s="9">
        <v>1368</v>
      </c>
      <c r="B1369" s="9" t="s">
        <v>9</v>
      </c>
      <c r="C1369" s="9">
        <v>1923</v>
      </c>
      <c r="D1369" s="10">
        <v>45701</v>
      </c>
      <c r="E1369" s="13" t="str">
        <f>+HYPERLINK("http://trademark.i-assist.jp/data/china/image_1923th/81936634.pdf","81936634")</f>
        <v>81936634</v>
      </c>
      <c r="F1369" s="9" t="s">
        <v>3785</v>
      </c>
      <c r="G1369" s="9" t="s">
        <v>3786</v>
      </c>
      <c r="H1369" s="9" t="s">
        <v>3787</v>
      </c>
      <c r="I1369" s="10">
        <v>45609</v>
      </c>
    </row>
    <row r="1370" spans="1:9" x14ac:dyDescent="0.15">
      <c r="A1370" s="9">
        <v>1369</v>
      </c>
      <c r="B1370" s="9" t="s">
        <v>9</v>
      </c>
      <c r="C1370" s="9">
        <v>1923</v>
      </c>
      <c r="D1370" s="10">
        <v>45701</v>
      </c>
      <c r="E1370" s="13" t="str">
        <f>+HYPERLINK("http://trademark.i-assist.jp/data/china/image_1923th/81936934.pdf","81936934")</f>
        <v>81936934</v>
      </c>
      <c r="F1370" s="9" t="s">
        <v>3788</v>
      </c>
      <c r="G1370" s="9" t="s">
        <v>3760</v>
      </c>
      <c r="H1370" s="9" t="s">
        <v>3789</v>
      </c>
      <c r="I1370" s="10">
        <v>45609</v>
      </c>
    </row>
    <row r="1371" spans="1:9" x14ac:dyDescent="0.15">
      <c r="A1371" s="9">
        <v>1370</v>
      </c>
      <c r="B1371" s="9" t="s">
        <v>9</v>
      </c>
      <c r="C1371" s="9">
        <v>1923</v>
      </c>
      <c r="D1371" s="10">
        <v>45701</v>
      </c>
      <c r="E1371" s="13" t="str">
        <f>+HYPERLINK("http://trademark.i-assist.jp/data/china/image_1923th/81936974.pdf","81936974")</f>
        <v>81936974</v>
      </c>
      <c r="F1371" s="11" t="s">
        <v>126</v>
      </c>
      <c r="G1371" s="11" t="s">
        <v>3790</v>
      </c>
      <c r="H1371" s="9" t="s">
        <v>3791</v>
      </c>
      <c r="I1371" s="10">
        <v>45609</v>
      </c>
    </row>
    <row r="1372" spans="1:9" x14ac:dyDescent="0.15">
      <c r="A1372" s="9">
        <v>1371</v>
      </c>
      <c r="B1372" s="9" t="s">
        <v>9</v>
      </c>
      <c r="C1372" s="9">
        <v>1923</v>
      </c>
      <c r="D1372" s="10">
        <v>45701</v>
      </c>
      <c r="E1372" s="13" t="str">
        <f>+HYPERLINK("http://trademark.i-assist.jp/data/china/image_1923th/81937000.pdf","81937000")</f>
        <v>81937000</v>
      </c>
      <c r="F1372" s="9" t="s">
        <v>3792</v>
      </c>
      <c r="G1372" s="9" t="s">
        <v>3793</v>
      </c>
      <c r="H1372" s="11" t="s">
        <v>3794</v>
      </c>
      <c r="I1372" s="10">
        <v>45609</v>
      </c>
    </row>
    <row r="1373" spans="1:9" x14ac:dyDescent="0.15">
      <c r="A1373" s="9">
        <v>1372</v>
      </c>
      <c r="B1373" s="9" t="s">
        <v>9</v>
      </c>
      <c r="C1373" s="9">
        <v>1923</v>
      </c>
      <c r="D1373" s="10">
        <v>45701</v>
      </c>
      <c r="E1373" s="13" t="str">
        <f>+HYPERLINK("http://trademark.i-assist.jp/data/china/image_1923th/81937180.pdf","81937180")</f>
        <v>81937180</v>
      </c>
      <c r="F1373" s="11" t="s">
        <v>126</v>
      </c>
      <c r="G1373" s="9" t="s">
        <v>3678</v>
      </c>
      <c r="H1373" s="9" t="s">
        <v>3795</v>
      </c>
      <c r="I1373" s="10">
        <v>45609</v>
      </c>
    </row>
    <row r="1374" spans="1:9" x14ac:dyDescent="0.15">
      <c r="A1374" s="9">
        <v>1373</v>
      </c>
      <c r="B1374" s="9" t="s">
        <v>9</v>
      </c>
      <c r="C1374" s="9">
        <v>1923</v>
      </c>
      <c r="D1374" s="10">
        <v>45701</v>
      </c>
      <c r="E1374" s="13" t="str">
        <f>+HYPERLINK("http://trademark.i-assist.jp/data/china/image_1923th/81937244.pdf","81937244")</f>
        <v>81937244</v>
      </c>
      <c r="F1374" s="9" t="s">
        <v>3796</v>
      </c>
      <c r="G1374" s="9" t="s">
        <v>3797</v>
      </c>
      <c r="H1374" s="9" t="s">
        <v>3798</v>
      </c>
      <c r="I1374" s="10">
        <v>45609</v>
      </c>
    </row>
    <row r="1375" spans="1:9" x14ac:dyDescent="0.15">
      <c r="A1375" s="9">
        <v>1374</v>
      </c>
      <c r="B1375" s="9" t="s">
        <v>9</v>
      </c>
      <c r="C1375" s="9">
        <v>1923</v>
      </c>
      <c r="D1375" s="10">
        <v>45701</v>
      </c>
      <c r="E1375" s="13" t="str">
        <f>+HYPERLINK("http://trademark.i-assist.jp/data/china/image_1923th/81937293.pdf","81937293")</f>
        <v>81937293</v>
      </c>
      <c r="F1375" s="9" t="s">
        <v>3799</v>
      </c>
      <c r="G1375" s="9" t="s">
        <v>3800</v>
      </c>
      <c r="H1375" s="11" t="s">
        <v>3801</v>
      </c>
      <c r="I1375" s="10">
        <v>45609</v>
      </c>
    </row>
    <row r="1376" spans="1:9" x14ac:dyDescent="0.15">
      <c r="A1376" s="9">
        <v>1375</v>
      </c>
      <c r="B1376" s="9" t="s">
        <v>9</v>
      </c>
      <c r="C1376" s="9">
        <v>1923</v>
      </c>
      <c r="D1376" s="10">
        <v>45701</v>
      </c>
      <c r="E1376" s="13" t="str">
        <f>+HYPERLINK("http://trademark.i-assist.jp/data/china/image_1923th/81937458.pdf","81937458")</f>
        <v>81937458</v>
      </c>
      <c r="F1376" s="9" t="s">
        <v>3802</v>
      </c>
      <c r="G1376" s="9" t="s">
        <v>3803</v>
      </c>
      <c r="H1376" s="9" t="s">
        <v>3804</v>
      </c>
      <c r="I1376" s="10">
        <v>45609</v>
      </c>
    </row>
    <row r="1377" spans="1:9" x14ac:dyDescent="0.15">
      <c r="A1377" s="9">
        <v>1376</v>
      </c>
      <c r="B1377" s="9" t="s">
        <v>9</v>
      </c>
      <c r="C1377" s="9">
        <v>1923</v>
      </c>
      <c r="D1377" s="10">
        <v>45701</v>
      </c>
      <c r="E1377" s="13" t="str">
        <f>+HYPERLINK("http://trademark.i-assist.jp/data/china/image_1923th/81937485.pdf","81937485")</f>
        <v>81937485</v>
      </c>
      <c r="F1377" s="11" t="s">
        <v>3805</v>
      </c>
      <c r="G1377" s="9" t="s">
        <v>3806</v>
      </c>
      <c r="H1377" s="11" t="s">
        <v>3807</v>
      </c>
      <c r="I1377" s="10">
        <v>45609</v>
      </c>
    </row>
    <row r="1378" spans="1:9" x14ac:dyDescent="0.15">
      <c r="A1378" s="9">
        <v>1377</v>
      </c>
      <c r="B1378" s="9" t="s">
        <v>9</v>
      </c>
      <c r="C1378" s="9">
        <v>1923</v>
      </c>
      <c r="D1378" s="10">
        <v>45701</v>
      </c>
      <c r="E1378" s="13" t="str">
        <f>+HYPERLINK("http://trademark.i-assist.jp/data/china/image_1923th/81937533.pdf","81937533")</f>
        <v>81937533</v>
      </c>
      <c r="F1378" s="9" t="s">
        <v>3808</v>
      </c>
      <c r="G1378" s="9" t="s">
        <v>3809</v>
      </c>
      <c r="H1378" s="9" t="s">
        <v>3810</v>
      </c>
      <c r="I1378" s="10">
        <v>45609</v>
      </c>
    </row>
    <row r="1379" spans="1:9" x14ac:dyDescent="0.15">
      <c r="A1379" s="9">
        <v>1378</v>
      </c>
      <c r="B1379" s="9" t="s">
        <v>9</v>
      </c>
      <c r="C1379" s="9">
        <v>1923</v>
      </c>
      <c r="D1379" s="10">
        <v>45701</v>
      </c>
      <c r="E1379" s="13" t="str">
        <f>+HYPERLINK("http://trademark.i-assist.jp/data/china/image_1923th/81937543.pdf","81937543")</f>
        <v>81937543</v>
      </c>
      <c r="F1379" s="9" t="s">
        <v>3811</v>
      </c>
      <c r="G1379" s="9" t="s">
        <v>3812</v>
      </c>
      <c r="H1379" s="9" t="s">
        <v>3813</v>
      </c>
      <c r="I1379" s="10">
        <v>45609</v>
      </c>
    </row>
    <row r="1380" spans="1:9" x14ac:dyDescent="0.15">
      <c r="A1380" s="9">
        <v>1379</v>
      </c>
      <c r="B1380" s="9" t="s">
        <v>9</v>
      </c>
      <c r="C1380" s="9">
        <v>1923</v>
      </c>
      <c r="D1380" s="10">
        <v>45701</v>
      </c>
      <c r="E1380" s="13" t="str">
        <f>+HYPERLINK("http://trademark.i-assist.jp/data/china/image_1923th/81937668.pdf","81937668")</f>
        <v>81937668</v>
      </c>
      <c r="F1380" s="9" t="s">
        <v>3814</v>
      </c>
      <c r="G1380" s="9" t="s">
        <v>3815</v>
      </c>
      <c r="H1380" s="9" t="s">
        <v>3816</v>
      </c>
      <c r="I1380" s="10">
        <v>45609</v>
      </c>
    </row>
    <row r="1381" spans="1:9" x14ac:dyDescent="0.15">
      <c r="A1381" s="9">
        <v>1380</v>
      </c>
      <c r="B1381" s="9" t="s">
        <v>9</v>
      </c>
      <c r="C1381" s="9">
        <v>1923</v>
      </c>
      <c r="D1381" s="10">
        <v>45701</v>
      </c>
      <c r="E1381" s="13" t="str">
        <f>+HYPERLINK("http://trademark.i-assist.jp/data/china/image_1923th/81938144.pdf","81938144")</f>
        <v>81938144</v>
      </c>
      <c r="F1381" s="11" t="s">
        <v>3817</v>
      </c>
      <c r="G1381" s="9" t="s">
        <v>3818</v>
      </c>
      <c r="H1381" s="9" t="s">
        <v>3819</v>
      </c>
      <c r="I1381" s="10">
        <v>45609</v>
      </c>
    </row>
    <row r="1382" spans="1:9" x14ac:dyDescent="0.15">
      <c r="A1382" s="9">
        <v>1381</v>
      </c>
      <c r="B1382" s="9" t="s">
        <v>9</v>
      </c>
      <c r="C1382" s="9">
        <v>1923</v>
      </c>
      <c r="D1382" s="10">
        <v>45701</v>
      </c>
      <c r="E1382" s="13" t="str">
        <f>+HYPERLINK("http://trademark.i-assist.jp/data/china/image_1923th/81938480.pdf","81938480")</f>
        <v>81938480</v>
      </c>
      <c r="F1382" s="11" t="s">
        <v>3820</v>
      </c>
      <c r="G1382" s="9" t="s">
        <v>3821</v>
      </c>
      <c r="H1382" s="9" t="s">
        <v>3822</v>
      </c>
      <c r="I1382" s="10">
        <v>45609</v>
      </c>
    </row>
    <row r="1383" spans="1:9" x14ac:dyDescent="0.15">
      <c r="A1383" s="9">
        <v>1382</v>
      </c>
      <c r="B1383" s="9" t="s">
        <v>9</v>
      </c>
      <c r="C1383" s="9">
        <v>1923</v>
      </c>
      <c r="D1383" s="10">
        <v>45701</v>
      </c>
      <c r="E1383" s="13" t="str">
        <f>+HYPERLINK("http://trademark.i-assist.jp/data/china/image_1923th/81938551.pdf","81938551")</f>
        <v>81938551</v>
      </c>
      <c r="F1383" s="9" t="s">
        <v>3823</v>
      </c>
      <c r="G1383" s="9" t="s">
        <v>3824</v>
      </c>
      <c r="H1383" s="9" t="s">
        <v>3825</v>
      </c>
      <c r="I1383" s="10">
        <v>45609</v>
      </c>
    </row>
    <row r="1384" spans="1:9" x14ac:dyDescent="0.15">
      <c r="A1384" s="9">
        <v>1383</v>
      </c>
      <c r="B1384" s="9" t="s">
        <v>9</v>
      </c>
      <c r="C1384" s="9">
        <v>1923</v>
      </c>
      <c r="D1384" s="10">
        <v>45701</v>
      </c>
      <c r="E1384" s="13" t="str">
        <f>+HYPERLINK("http://trademark.i-assist.jp/data/china/image_1923th/81938954.pdf","81938954")</f>
        <v>81938954</v>
      </c>
      <c r="F1384" s="9" t="s">
        <v>3826</v>
      </c>
      <c r="G1384" s="11" t="s">
        <v>3827</v>
      </c>
      <c r="H1384" s="9" t="s">
        <v>3828</v>
      </c>
      <c r="I1384" s="10">
        <v>45609</v>
      </c>
    </row>
    <row r="1385" spans="1:9" x14ac:dyDescent="0.15">
      <c r="A1385" s="9">
        <v>1384</v>
      </c>
      <c r="B1385" s="9" t="s">
        <v>9</v>
      </c>
      <c r="C1385" s="9">
        <v>1923</v>
      </c>
      <c r="D1385" s="10">
        <v>45701</v>
      </c>
      <c r="E1385" s="13" t="str">
        <f>+HYPERLINK("http://trademark.i-assist.jp/data/china/image_1923th/81939116.pdf","81939116")</f>
        <v>81939116</v>
      </c>
      <c r="F1385" s="9" t="s">
        <v>3829</v>
      </c>
      <c r="G1385" s="9" t="s">
        <v>3772</v>
      </c>
      <c r="H1385" s="9" t="s">
        <v>3830</v>
      </c>
      <c r="I1385" s="10">
        <v>45609</v>
      </c>
    </row>
    <row r="1386" spans="1:9" x14ac:dyDescent="0.15">
      <c r="A1386" s="9">
        <v>1385</v>
      </c>
      <c r="B1386" s="9" t="s">
        <v>9</v>
      </c>
      <c r="C1386" s="9">
        <v>1923</v>
      </c>
      <c r="D1386" s="10">
        <v>45701</v>
      </c>
      <c r="E1386" s="13" t="str">
        <f>+HYPERLINK("http://trademark.i-assist.jp/data/china/image_1923th/81939207.pdf","81939207")</f>
        <v>81939207</v>
      </c>
      <c r="F1386" s="9" t="s">
        <v>3831</v>
      </c>
      <c r="G1386" s="9" t="s">
        <v>3832</v>
      </c>
      <c r="H1386" s="9" t="s">
        <v>3833</v>
      </c>
      <c r="I1386" s="10">
        <v>45609</v>
      </c>
    </row>
    <row r="1387" spans="1:9" x14ac:dyDescent="0.15">
      <c r="A1387" s="9">
        <v>1386</v>
      </c>
      <c r="B1387" s="9" t="s">
        <v>9</v>
      </c>
      <c r="C1387" s="9">
        <v>1923</v>
      </c>
      <c r="D1387" s="10">
        <v>45701</v>
      </c>
      <c r="E1387" s="13" t="str">
        <f>+HYPERLINK("http://trademark.i-assist.jp/data/china/image_1923th/81939248.pdf","81939248")</f>
        <v>81939248</v>
      </c>
      <c r="F1387" s="9" t="s">
        <v>3834</v>
      </c>
      <c r="G1387" s="9" t="s">
        <v>21</v>
      </c>
      <c r="H1387" s="9" t="s">
        <v>3835</v>
      </c>
      <c r="I1387" s="10">
        <v>45609</v>
      </c>
    </row>
    <row r="1388" spans="1:9" x14ac:dyDescent="0.15">
      <c r="A1388" s="9">
        <v>1387</v>
      </c>
      <c r="B1388" s="9" t="s">
        <v>9</v>
      </c>
      <c r="C1388" s="9">
        <v>1923</v>
      </c>
      <c r="D1388" s="10">
        <v>45701</v>
      </c>
      <c r="E1388" s="13" t="str">
        <f>+HYPERLINK("http://trademark.i-assist.jp/data/china/image_1923th/81939339.pdf","81939339")</f>
        <v>81939339</v>
      </c>
      <c r="F1388" s="9" t="s">
        <v>3836</v>
      </c>
      <c r="G1388" s="9" t="s">
        <v>3837</v>
      </c>
      <c r="H1388" s="9" t="s">
        <v>3838</v>
      </c>
      <c r="I1388" s="10">
        <v>45609</v>
      </c>
    </row>
    <row r="1389" spans="1:9" x14ac:dyDescent="0.15">
      <c r="A1389" s="9">
        <v>1388</v>
      </c>
      <c r="B1389" s="9" t="s">
        <v>9</v>
      </c>
      <c r="C1389" s="9">
        <v>1923</v>
      </c>
      <c r="D1389" s="10">
        <v>45701</v>
      </c>
      <c r="E1389" s="13" t="str">
        <f>+HYPERLINK("http://trademark.i-assist.jp/data/china/image_1923th/81939452.pdf","81939452")</f>
        <v>81939452</v>
      </c>
      <c r="F1389" s="11" t="s">
        <v>3839</v>
      </c>
      <c r="G1389" s="9" t="s">
        <v>3840</v>
      </c>
      <c r="H1389" s="9" t="s">
        <v>3841</v>
      </c>
      <c r="I1389" s="10">
        <v>45609</v>
      </c>
    </row>
    <row r="1390" spans="1:9" x14ac:dyDescent="0.15">
      <c r="A1390" s="9">
        <v>1389</v>
      </c>
      <c r="B1390" s="9" t="s">
        <v>9</v>
      </c>
      <c r="C1390" s="9">
        <v>1923</v>
      </c>
      <c r="D1390" s="10">
        <v>45701</v>
      </c>
      <c r="E1390" s="13" t="str">
        <f>+HYPERLINK("http://trademark.i-assist.jp/data/china/image_1923th/81939546.pdf","81939546")</f>
        <v>81939546</v>
      </c>
      <c r="F1390" s="11" t="s">
        <v>3842</v>
      </c>
      <c r="G1390" s="9" t="s">
        <v>3843</v>
      </c>
      <c r="H1390" s="9" t="s">
        <v>3844</v>
      </c>
      <c r="I1390" s="10">
        <v>45609</v>
      </c>
    </row>
    <row r="1391" spans="1:9" x14ac:dyDescent="0.15">
      <c r="A1391" s="9">
        <v>1390</v>
      </c>
      <c r="B1391" s="9" t="s">
        <v>9</v>
      </c>
      <c r="C1391" s="9">
        <v>1923</v>
      </c>
      <c r="D1391" s="10">
        <v>45701</v>
      </c>
      <c r="E1391" s="13" t="str">
        <f>+HYPERLINK("http://trademark.i-assist.jp/data/china/image_1923th/81939629.pdf","81939629")</f>
        <v>81939629</v>
      </c>
      <c r="F1391" s="9" t="s">
        <v>3845</v>
      </c>
      <c r="G1391" s="11" t="s">
        <v>3739</v>
      </c>
      <c r="H1391" s="11" t="s">
        <v>3846</v>
      </c>
      <c r="I1391" s="10">
        <v>45609</v>
      </c>
    </row>
    <row r="1392" spans="1:9" x14ac:dyDescent="0.15">
      <c r="A1392" s="9">
        <v>1391</v>
      </c>
      <c r="B1392" s="9" t="s">
        <v>9</v>
      </c>
      <c r="C1392" s="9">
        <v>1923</v>
      </c>
      <c r="D1392" s="10">
        <v>45701</v>
      </c>
      <c r="E1392" s="13" t="str">
        <f>+HYPERLINK("http://trademark.i-assist.jp/data/china/image_1923th/81939693.pdf","81939693")</f>
        <v>81939693</v>
      </c>
      <c r="F1392" s="9" t="s">
        <v>3847</v>
      </c>
      <c r="G1392" s="9" t="s">
        <v>3848</v>
      </c>
      <c r="H1392" s="9" t="s">
        <v>3849</v>
      </c>
      <c r="I1392" s="10">
        <v>45609</v>
      </c>
    </row>
    <row r="1393" spans="1:9" x14ac:dyDescent="0.15">
      <c r="A1393" s="9">
        <v>1392</v>
      </c>
      <c r="B1393" s="9" t="s">
        <v>9</v>
      </c>
      <c r="C1393" s="9">
        <v>1923</v>
      </c>
      <c r="D1393" s="10">
        <v>45701</v>
      </c>
      <c r="E1393" s="13" t="str">
        <f>+HYPERLINK("http://trademark.i-assist.jp/data/china/image_1923th/81939927.pdf","81939927")</f>
        <v>81939927</v>
      </c>
      <c r="F1393" s="9" t="s">
        <v>3850</v>
      </c>
      <c r="G1393" s="9" t="s">
        <v>3760</v>
      </c>
      <c r="H1393" s="9" t="s">
        <v>3851</v>
      </c>
      <c r="I1393" s="10">
        <v>45609</v>
      </c>
    </row>
    <row r="1394" spans="1:9" x14ac:dyDescent="0.15">
      <c r="A1394" s="9">
        <v>1393</v>
      </c>
      <c r="B1394" s="9" t="s">
        <v>9</v>
      </c>
      <c r="C1394" s="9">
        <v>1923</v>
      </c>
      <c r="D1394" s="10">
        <v>45701</v>
      </c>
      <c r="E1394" s="13" t="str">
        <f>+HYPERLINK("http://trademark.i-assist.jp/data/china/image_1923th/81939935.pdf","81939935")</f>
        <v>81939935</v>
      </c>
      <c r="F1394" s="9" t="s">
        <v>3852</v>
      </c>
      <c r="G1394" s="9" t="s">
        <v>3760</v>
      </c>
      <c r="H1394" s="9" t="s">
        <v>3853</v>
      </c>
      <c r="I1394" s="10">
        <v>45609</v>
      </c>
    </row>
    <row r="1395" spans="1:9" x14ac:dyDescent="0.15">
      <c r="A1395" s="9">
        <v>1394</v>
      </c>
      <c r="B1395" s="9" t="s">
        <v>9</v>
      </c>
      <c r="C1395" s="9">
        <v>1923</v>
      </c>
      <c r="D1395" s="10">
        <v>45701</v>
      </c>
      <c r="E1395" s="13" t="str">
        <f>+HYPERLINK("http://trademark.i-assist.jp/data/china/image_1923th/81939942.pdf","81939942")</f>
        <v>81939942</v>
      </c>
      <c r="F1395" s="9" t="s">
        <v>3854</v>
      </c>
      <c r="G1395" s="9" t="s">
        <v>3855</v>
      </c>
      <c r="H1395" s="9" t="s">
        <v>3856</v>
      </c>
      <c r="I1395" s="10">
        <v>45609</v>
      </c>
    </row>
    <row r="1396" spans="1:9" x14ac:dyDescent="0.15">
      <c r="A1396" s="9">
        <v>1395</v>
      </c>
      <c r="B1396" s="9" t="s">
        <v>9</v>
      </c>
      <c r="C1396" s="9">
        <v>1923</v>
      </c>
      <c r="D1396" s="10">
        <v>45701</v>
      </c>
      <c r="E1396" s="13" t="str">
        <f>+HYPERLINK("http://trademark.i-assist.jp/data/china/image_1923th/81940100.pdf","81940100")</f>
        <v>81940100</v>
      </c>
      <c r="F1396" s="11" t="s">
        <v>3857</v>
      </c>
      <c r="G1396" s="9" t="s">
        <v>3858</v>
      </c>
      <c r="H1396" s="9" t="s">
        <v>3859</v>
      </c>
      <c r="I1396" s="10">
        <v>45609</v>
      </c>
    </row>
    <row r="1397" spans="1:9" x14ac:dyDescent="0.15">
      <c r="A1397" s="9">
        <v>1396</v>
      </c>
      <c r="B1397" s="9" t="s">
        <v>9</v>
      </c>
      <c r="C1397" s="9">
        <v>1923</v>
      </c>
      <c r="D1397" s="10">
        <v>45701</v>
      </c>
      <c r="E1397" s="13" t="str">
        <f>+HYPERLINK("http://trademark.i-assist.jp/data/china/image_1923th/81940160.pdf","81940160")</f>
        <v>81940160</v>
      </c>
      <c r="F1397" s="9" t="s">
        <v>3860</v>
      </c>
      <c r="G1397" s="11" t="s">
        <v>3748</v>
      </c>
      <c r="H1397" s="9" t="s">
        <v>3861</v>
      </c>
      <c r="I1397" s="10">
        <v>45609</v>
      </c>
    </row>
    <row r="1398" spans="1:9" x14ac:dyDescent="0.15">
      <c r="A1398" s="9">
        <v>1397</v>
      </c>
      <c r="B1398" s="9" t="s">
        <v>9</v>
      </c>
      <c r="C1398" s="9">
        <v>1923</v>
      </c>
      <c r="D1398" s="10">
        <v>45701</v>
      </c>
      <c r="E1398" s="13" t="str">
        <f>+HYPERLINK("http://trademark.i-assist.jp/data/china/image_1923th/81940327.pdf","81940327")</f>
        <v>81940327</v>
      </c>
      <c r="F1398" s="9" t="s">
        <v>3862</v>
      </c>
      <c r="G1398" s="9" t="s">
        <v>3863</v>
      </c>
      <c r="H1398" s="11" t="s">
        <v>3864</v>
      </c>
      <c r="I1398" s="10">
        <v>45609</v>
      </c>
    </row>
    <row r="1399" spans="1:9" x14ac:dyDescent="0.15">
      <c r="A1399" s="9">
        <v>1398</v>
      </c>
      <c r="B1399" s="9" t="s">
        <v>9</v>
      </c>
      <c r="C1399" s="9">
        <v>1923</v>
      </c>
      <c r="D1399" s="10">
        <v>45701</v>
      </c>
      <c r="E1399" s="13" t="str">
        <f>+HYPERLINK("http://trademark.i-assist.jp/data/china/image_1923th/81940366.pdf","81940366")</f>
        <v>81940366</v>
      </c>
      <c r="F1399" s="9" t="s">
        <v>3865</v>
      </c>
      <c r="G1399" s="11" t="s">
        <v>3866</v>
      </c>
      <c r="H1399" s="9" t="s">
        <v>3867</v>
      </c>
      <c r="I1399" s="10">
        <v>45609</v>
      </c>
    </row>
    <row r="1400" spans="1:9" x14ac:dyDescent="0.15">
      <c r="A1400" s="9">
        <v>1399</v>
      </c>
      <c r="B1400" s="9" t="s">
        <v>9</v>
      </c>
      <c r="C1400" s="9">
        <v>1923</v>
      </c>
      <c r="D1400" s="10">
        <v>45701</v>
      </c>
      <c r="E1400" s="13" t="str">
        <f>+HYPERLINK("http://trademark.i-assist.jp/data/china/image_1923th/81940450.pdf","81940450")</f>
        <v>81940450</v>
      </c>
      <c r="F1400" s="9" t="s">
        <v>3868</v>
      </c>
      <c r="G1400" s="9" t="s">
        <v>2061</v>
      </c>
      <c r="H1400" s="9" t="s">
        <v>3869</v>
      </c>
      <c r="I1400" s="10">
        <v>45609</v>
      </c>
    </row>
    <row r="1401" spans="1:9" x14ac:dyDescent="0.15">
      <c r="A1401" s="9">
        <v>1400</v>
      </c>
      <c r="B1401" s="9" t="s">
        <v>9</v>
      </c>
      <c r="C1401" s="9">
        <v>1923</v>
      </c>
      <c r="D1401" s="10">
        <v>45701</v>
      </c>
      <c r="E1401" s="13" t="str">
        <f>+HYPERLINK("http://trademark.i-assist.jp/data/china/image_1923th/81940610.pdf","81940610")</f>
        <v>81940610</v>
      </c>
      <c r="F1401" s="11" t="s">
        <v>3870</v>
      </c>
      <c r="G1401" s="9" t="s">
        <v>3871</v>
      </c>
      <c r="H1401" s="9" t="s">
        <v>3872</v>
      </c>
      <c r="I1401" s="10">
        <v>45609</v>
      </c>
    </row>
    <row r="1402" spans="1:9" x14ac:dyDescent="0.15">
      <c r="A1402" s="9">
        <v>1401</v>
      </c>
      <c r="B1402" s="9" t="s">
        <v>9</v>
      </c>
      <c r="C1402" s="9">
        <v>1923</v>
      </c>
      <c r="D1402" s="10">
        <v>45701</v>
      </c>
      <c r="E1402" s="13" t="str">
        <f>+HYPERLINK("http://trademark.i-assist.jp/data/china/image_1923th/81940744.pdf","81940744")</f>
        <v>81940744</v>
      </c>
      <c r="F1402" s="11" t="s">
        <v>3873</v>
      </c>
      <c r="G1402" s="9" t="s">
        <v>3843</v>
      </c>
      <c r="H1402" s="9" t="s">
        <v>3874</v>
      </c>
      <c r="I1402" s="10">
        <v>45609</v>
      </c>
    </row>
    <row r="1403" spans="1:9" x14ac:dyDescent="0.15">
      <c r="A1403" s="9">
        <v>1402</v>
      </c>
      <c r="B1403" s="9" t="s">
        <v>9</v>
      </c>
      <c r="C1403" s="9">
        <v>1923</v>
      </c>
      <c r="D1403" s="10">
        <v>45701</v>
      </c>
      <c r="E1403" s="13" t="str">
        <f>+HYPERLINK("http://trademark.i-assist.jp/data/china/image_1923th/81940823.pdf","81940823")</f>
        <v>81940823</v>
      </c>
      <c r="F1403" s="9" t="s">
        <v>709</v>
      </c>
      <c r="G1403" s="9" t="s">
        <v>710</v>
      </c>
      <c r="H1403" s="9" t="s">
        <v>3875</v>
      </c>
      <c r="I1403" s="10">
        <v>45609</v>
      </c>
    </row>
    <row r="1404" spans="1:9" x14ac:dyDescent="0.15">
      <c r="A1404" s="9">
        <v>1403</v>
      </c>
      <c r="B1404" s="9" t="s">
        <v>9</v>
      </c>
      <c r="C1404" s="9">
        <v>1923</v>
      </c>
      <c r="D1404" s="10">
        <v>45701</v>
      </c>
      <c r="E1404" s="13" t="str">
        <f>+HYPERLINK("http://trademark.i-assist.jp/data/china/image_1923th/81940930.pdf","81940930")</f>
        <v>81940930</v>
      </c>
      <c r="F1404" s="9" t="s">
        <v>3876</v>
      </c>
      <c r="G1404" s="9" t="s">
        <v>3877</v>
      </c>
      <c r="H1404" s="9" t="s">
        <v>3878</v>
      </c>
      <c r="I1404" s="10">
        <v>45609</v>
      </c>
    </row>
    <row r="1405" spans="1:9" x14ac:dyDescent="0.15">
      <c r="A1405" s="9">
        <v>1404</v>
      </c>
      <c r="B1405" s="9" t="s">
        <v>9</v>
      </c>
      <c r="C1405" s="9">
        <v>1923</v>
      </c>
      <c r="D1405" s="10">
        <v>45701</v>
      </c>
      <c r="E1405" s="13" t="str">
        <f>+HYPERLINK("http://trademark.i-assist.jp/data/china/image_1923th/81941018.pdf","81941018")</f>
        <v>81941018</v>
      </c>
      <c r="F1405" s="11" t="s">
        <v>3879</v>
      </c>
      <c r="G1405" s="11" t="s">
        <v>3880</v>
      </c>
      <c r="H1405" s="11" t="s">
        <v>3881</v>
      </c>
      <c r="I1405" s="10">
        <v>45609</v>
      </c>
    </row>
    <row r="1406" spans="1:9" x14ac:dyDescent="0.15">
      <c r="A1406" s="9">
        <v>1405</v>
      </c>
      <c r="B1406" s="9" t="s">
        <v>9</v>
      </c>
      <c r="C1406" s="9">
        <v>1923</v>
      </c>
      <c r="D1406" s="10">
        <v>45701</v>
      </c>
      <c r="E1406" s="13" t="str">
        <f>+HYPERLINK("http://trademark.i-assist.jp/data/china/image_1923th/81941077.pdf","81941077")</f>
        <v>81941077</v>
      </c>
      <c r="F1406" s="9" t="s">
        <v>3882</v>
      </c>
      <c r="G1406" s="9" t="s">
        <v>3883</v>
      </c>
      <c r="H1406" s="9" t="s">
        <v>3884</v>
      </c>
      <c r="I1406" s="10">
        <v>45609</v>
      </c>
    </row>
    <row r="1407" spans="1:9" x14ac:dyDescent="0.15">
      <c r="A1407" s="9">
        <v>1406</v>
      </c>
      <c r="B1407" s="9" t="s">
        <v>9</v>
      </c>
      <c r="C1407" s="9">
        <v>1923</v>
      </c>
      <c r="D1407" s="10">
        <v>45701</v>
      </c>
      <c r="E1407" s="13" t="str">
        <f>+HYPERLINK("http://trademark.i-assist.jp/data/china/image_1923th/81941389.pdf","81941389")</f>
        <v>81941389</v>
      </c>
      <c r="F1407" s="11" t="s">
        <v>126</v>
      </c>
      <c r="G1407" s="9" t="s">
        <v>3885</v>
      </c>
      <c r="H1407" s="9" t="s">
        <v>3886</v>
      </c>
      <c r="I1407" s="10">
        <v>45609</v>
      </c>
    </row>
    <row r="1408" spans="1:9" x14ac:dyDescent="0.15">
      <c r="A1408" s="9">
        <v>1407</v>
      </c>
      <c r="B1408" s="9" t="s">
        <v>9</v>
      </c>
      <c r="C1408" s="9">
        <v>1923</v>
      </c>
      <c r="D1408" s="10">
        <v>45701</v>
      </c>
      <c r="E1408" s="13" t="str">
        <f>+HYPERLINK("http://trademark.i-assist.jp/data/china/image_1923th/81941680.pdf","81941680")</f>
        <v>81941680</v>
      </c>
      <c r="F1408" s="9" t="s">
        <v>3887</v>
      </c>
      <c r="G1408" s="9" t="s">
        <v>3858</v>
      </c>
      <c r="H1408" s="9" t="s">
        <v>3888</v>
      </c>
      <c r="I1408" s="10">
        <v>45609</v>
      </c>
    </row>
    <row r="1409" spans="1:9" x14ac:dyDescent="0.15">
      <c r="A1409" s="9">
        <v>1408</v>
      </c>
      <c r="B1409" s="9" t="s">
        <v>9</v>
      </c>
      <c r="C1409" s="9">
        <v>1923</v>
      </c>
      <c r="D1409" s="10">
        <v>45701</v>
      </c>
      <c r="E1409" s="13" t="str">
        <f>+HYPERLINK("http://trademark.i-assist.jp/data/china/image_1923th/81941807.pdf","81941807")</f>
        <v>81941807</v>
      </c>
      <c r="F1409" s="11" t="s">
        <v>3889</v>
      </c>
      <c r="G1409" s="11" t="s">
        <v>3890</v>
      </c>
      <c r="H1409" s="9" t="s">
        <v>3891</v>
      </c>
      <c r="I1409" s="10">
        <v>45609</v>
      </c>
    </row>
    <row r="1410" spans="1:9" x14ac:dyDescent="0.15">
      <c r="A1410" s="9">
        <v>1409</v>
      </c>
      <c r="B1410" s="9" t="s">
        <v>9</v>
      </c>
      <c r="C1410" s="9">
        <v>1923</v>
      </c>
      <c r="D1410" s="10">
        <v>45701</v>
      </c>
      <c r="E1410" s="13" t="str">
        <f>+HYPERLINK("http://trademark.i-assist.jp/data/china/image_1923th/81942007.pdf","81942007")</f>
        <v>81942007</v>
      </c>
      <c r="F1410" s="9" t="s">
        <v>709</v>
      </c>
      <c r="G1410" s="9" t="s">
        <v>710</v>
      </c>
      <c r="H1410" s="9" t="s">
        <v>3892</v>
      </c>
      <c r="I1410" s="10">
        <v>45609</v>
      </c>
    </row>
    <row r="1411" spans="1:9" x14ac:dyDescent="0.15">
      <c r="A1411" s="9">
        <v>1410</v>
      </c>
      <c r="B1411" s="9" t="s">
        <v>9</v>
      </c>
      <c r="C1411" s="9">
        <v>1923</v>
      </c>
      <c r="D1411" s="10">
        <v>45701</v>
      </c>
      <c r="E1411" s="13" t="str">
        <f>+HYPERLINK("http://trademark.i-assist.jp/data/china/image_1923th/81942211.pdf","81942211")</f>
        <v>81942211</v>
      </c>
      <c r="F1411" s="9" t="s">
        <v>3893</v>
      </c>
      <c r="G1411" s="9" t="s">
        <v>3894</v>
      </c>
      <c r="H1411" s="9" t="s">
        <v>3895</v>
      </c>
      <c r="I1411" s="10">
        <v>45609</v>
      </c>
    </row>
    <row r="1412" spans="1:9" x14ac:dyDescent="0.15">
      <c r="A1412" s="9">
        <v>1411</v>
      </c>
      <c r="B1412" s="9" t="s">
        <v>9</v>
      </c>
      <c r="C1412" s="9">
        <v>1923</v>
      </c>
      <c r="D1412" s="10">
        <v>45701</v>
      </c>
      <c r="E1412" s="13" t="str">
        <f>+HYPERLINK("http://trademark.i-assist.jp/data/china/image_1923th/81942381.pdf","81942381")</f>
        <v>81942381</v>
      </c>
      <c r="F1412" s="11" t="s">
        <v>3896</v>
      </c>
      <c r="G1412" s="9" t="s">
        <v>21</v>
      </c>
      <c r="H1412" s="9" t="s">
        <v>3897</v>
      </c>
      <c r="I1412" s="10">
        <v>45609</v>
      </c>
    </row>
    <row r="1413" spans="1:9" x14ac:dyDescent="0.15">
      <c r="A1413" s="9">
        <v>1412</v>
      </c>
      <c r="B1413" s="9" t="s">
        <v>9</v>
      </c>
      <c r="C1413" s="9">
        <v>1923</v>
      </c>
      <c r="D1413" s="10">
        <v>45701</v>
      </c>
      <c r="E1413" s="13" t="str">
        <f>+HYPERLINK("http://trademark.i-assist.jp/data/china/image_1923th/81942403.pdf","81942403")</f>
        <v>81942403</v>
      </c>
      <c r="F1413" s="11" t="s">
        <v>126</v>
      </c>
      <c r="G1413" s="11" t="s">
        <v>3898</v>
      </c>
      <c r="H1413" s="9" t="s">
        <v>3899</v>
      </c>
      <c r="I1413" s="10">
        <v>45609</v>
      </c>
    </row>
    <row r="1414" spans="1:9" x14ac:dyDescent="0.15">
      <c r="A1414" s="9">
        <v>1413</v>
      </c>
      <c r="B1414" s="9" t="s">
        <v>9</v>
      </c>
      <c r="C1414" s="9">
        <v>1923</v>
      </c>
      <c r="D1414" s="10">
        <v>45701</v>
      </c>
      <c r="E1414" s="13" t="str">
        <f>+HYPERLINK("http://trademark.i-assist.jp/data/china/image_1923th/81942479.pdf","81942479")</f>
        <v>81942479</v>
      </c>
      <c r="F1414" s="9" t="s">
        <v>3900</v>
      </c>
      <c r="G1414" s="9" t="s">
        <v>3858</v>
      </c>
      <c r="H1414" s="9" t="s">
        <v>3901</v>
      </c>
      <c r="I1414" s="10">
        <v>45609</v>
      </c>
    </row>
    <row r="1415" spans="1:9" x14ac:dyDescent="0.15">
      <c r="A1415" s="9">
        <v>1414</v>
      </c>
      <c r="B1415" s="9" t="s">
        <v>9</v>
      </c>
      <c r="C1415" s="9">
        <v>1923</v>
      </c>
      <c r="D1415" s="10">
        <v>45701</v>
      </c>
      <c r="E1415" s="13" t="str">
        <f>+HYPERLINK("http://trademark.i-assist.jp/data/china/image_1923th/81942576.pdf","81942576")</f>
        <v>81942576</v>
      </c>
      <c r="F1415" s="9" t="s">
        <v>3902</v>
      </c>
      <c r="G1415" s="9" t="s">
        <v>3903</v>
      </c>
      <c r="H1415" s="11" t="s">
        <v>3904</v>
      </c>
      <c r="I1415" s="10">
        <v>45609</v>
      </c>
    </row>
    <row r="1416" spans="1:9" x14ac:dyDescent="0.15">
      <c r="A1416" s="9">
        <v>1415</v>
      </c>
      <c r="B1416" s="9" t="s">
        <v>9</v>
      </c>
      <c r="C1416" s="9">
        <v>1923</v>
      </c>
      <c r="D1416" s="10">
        <v>45701</v>
      </c>
      <c r="E1416" s="13" t="str">
        <f>+HYPERLINK("http://trademark.i-assist.jp/data/china/image_1923th/81942578.pdf","81942578")</f>
        <v>81942578</v>
      </c>
      <c r="F1416" s="9" t="s">
        <v>3905</v>
      </c>
      <c r="G1416" s="9" t="s">
        <v>3634</v>
      </c>
      <c r="H1416" s="11" t="s">
        <v>3906</v>
      </c>
      <c r="I1416" s="10">
        <v>45609</v>
      </c>
    </row>
    <row r="1417" spans="1:9" x14ac:dyDescent="0.15">
      <c r="A1417" s="9">
        <v>1416</v>
      </c>
      <c r="B1417" s="9" t="s">
        <v>9</v>
      </c>
      <c r="C1417" s="9">
        <v>1923</v>
      </c>
      <c r="D1417" s="10">
        <v>45701</v>
      </c>
      <c r="E1417" s="13" t="str">
        <f>+HYPERLINK("http://trademark.i-assist.jp/data/china/image_1923th/81942657.pdf","81942657")</f>
        <v>81942657</v>
      </c>
      <c r="F1417" s="9" t="s">
        <v>3907</v>
      </c>
      <c r="G1417" s="9" t="s">
        <v>3908</v>
      </c>
      <c r="H1417" s="11" t="s">
        <v>3909</v>
      </c>
      <c r="I1417" s="10">
        <v>45609</v>
      </c>
    </row>
    <row r="1418" spans="1:9" x14ac:dyDescent="0.15">
      <c r="A1418" s="9">
        <v>1417</v>
      </c>
      <c r="B1418" s="9" t="s">
        <v>9</v>
      </c>
      <c r="C1418" s="9">
        <v>1923</v>
      </c>
      <c r="D1418" s="10">
        <v>45701</v>
      </c>
      <c r="E1418" s="13" t="str">
        <f>+HYPERLINK("http://trademark.i-assist.jp/data/china/image_1923th/81942699.pdf","81942699")</f>
        <v>81942699</v>
      </c>
      <c r="F1418" s="9" t="s">
        <v>3910</v>
      </c>
      <c r="G1418" s="9" t="s">
        <v>3911</v>
      </c>
      <c r="H1418" s="9" t="s">
        <v>3912</v>
      </c>
      <c r="I1418" s="10">
        <v>45609</v>
      </c>
    </row>
    <row r="1419" spans="1:9" x14ac:dyDescent="0.15">
      <c r="A1419" s="9">
        <v>1418</v>
      </c>
      <c r="B1419" s="9" t="s">
        <v>9</v>
      </c>
      <c r="C1419" s="9">
        <v>1923</v>
      </c>
      <c r="D1419" s="10">
        <v>45701</v>
      </c>
      <c r="E1419" s="13" t="str">
        <f>+HYPERLINK("http://trademark.i-assist.jp/data/china/image_1923th/81942748.pdf","81942748")</f>
        <v>81942748</v>
      </c>
      <c r="F1419" s="9" t="s">
        <v>3913</v>
      </c>
      <c r="G1419" s="9" t="s">
        <v>3914</v>
      </c>
      <c r="H1419" s="9" t="s">
        <v>3915</v>
      </c>
      <c r="I1419" s="10">
        <v>45609</v>
      </c>
    </row>
    <row r="1420" spans="1:9" x14ac:dyDescent="0.15">
      <c r="A1420" s="9">
        <v>1419</v>
      </c>
      <c r="B1420" s="9" t="s">
        <v>9</v>
      </c>
      <c r="C1420" s="9">
        <v>1923</v>
      </c>
      <c r="D1420" s="10">
        <v>45701</v>
      </c>
      <c r="E1420" s="13" t="str">
        <f>+HYPERLINK("http://trademark.i-assist.jp/data/china/image_1923th/81942838.pdf","81942838")</f>
        <v>81942838</v>
      </c>
      <c r="F1420" s="9" t="s">
        <v>3916</v>
      </c>
      <c r="G1420" s="9" t="s">
        <v>3917</v>
      </c>
      <c r="H1420" s="9" t="s">
        <v>3918</v>
      </c>
      <c r="I1420" s="10">
        <v>45609</v>
      </c>
    </row>
    <row r="1421" spans="1:9" x14ac:dyDescent="0.15">
      <c r="A1421" s="9">
        <v>1420</v>
      </c>
      <c r="B1421" s="9" t="s">
        <v>9</v>
      </c>
      <c r="C1421" s="9">
        <v>1923</v>
      </c>
      <c r="D1421" s="10">
        <v>45701</v>
      </c>
      <c r="E1421" s="13" t="str">
        <f>+HYPERLINK("http://trademark.i-assist.jp/data/china/image_1923th/81942870.pdf","81942870")</f>
        <v>81942870</v>
      </c>
      <c r="F1421" s="9" t="s">
        <v>3919</v>
      </c>
      <c r="G1421" s="9" t="s">
        <v>3920</v>
      </c>
      <c r="H1421" s="9" t="s">
        <v>3921</v>
      </c>
      <c r="I1421" s="10">
        <v>45609</v>
      </c>
    </row>
    <row r="1422" spans="1:9" x14ac:dyDescent="0.15">
      <c r="A1422" s="9">
        <v>1421</v>
      </c>
      <c r="B1422" s="9" t="s">
        <v>9</v>
      </c>
      <c r="C1422" s="9">
        <v>1923</v>
      </c>
      <c r="D1422" s="10">
        <v>45701</v>
      </c>
      <c r="E1422" s="13" t="str">
        <f>+HYPERLINK("http://trademark.i-assist.jp/data/china/image_1923th/81942965.pdf","81942965")</f>
        <v>81942965</v>
      </c>
      <c r="F1422" s="9" t="s">
        <v>3922</v>
      </c>
      <c r="G1422" s="9" t="s">
        <v>3923</v>
      </c>
      <c r="H1422" s="9" t="s">
        <v>3924</v>
      </c>
      <c r="I1422" s="10">
        <v>45609</v>
      </c>
    </row>
    <row r="1423" spans="1:9" x14ac:dyDescent="0.15">
      <c r="A1423" s="9">
        <v>1422</v>
      </c>
      <c r="B1423" s="9" t="s">
        <v>9</v>
      </c>
      <c r="C1423" s="9">
        <v>1923</v>
      </c>
      <c r="D1423" s="10">
        <v>45701</v>
      </c>
      <c r="E1423" s="13" t="str">
        <f>+HYPERLINK("http://trademark.i-assist.jp/data/china/image_1923th/81943213.pdf","81943213")</f>
        <v>81943213</v>
      </c>
      <c r="F1423" s="9" t="s">
        <v>3925</v>
      </c>
      <c r="G1423" s="9" t="s">
        <v>3926</v>
      </c>
      <c r="H1423" s="9" t="s">
        <v>3927</v>
      </c>
      <c r="I1423" s="10">
        <v>45609</v>
      </c>
    </row>
    <row r="1424" spans="1:9" x14ac:dyDescent="0.15">
      <c r="A1424" s="9">
        <v>1423</v>
      </c>
      <c r="B1424" s="9" t="s">
        <v>9</v>
      </c>
      <c r="C1424" s="9">
        <v>1923</v>
      </c>
      <c r="D1424" s="10">
        <v>45701</v>
      </c>
      <c r="E1424" s="13" t="str">
        <f>+HYPERLINK("http://trademark.i-assist.jp/data/china/image_1923th/81943253.pdf","81943253")</f>
        <v>81943253</v>
      </c>
      <c r="F1424" s="9" t="s">
        <v>3928</v>
      </c>
      <c r="G1424" s="9" t="s">
        <v>3926</v>
      </c>
      <c r="H1424" s="9" t="s">
        <v>3929</v>
      </c>
      <c r="I1424" s="10">
        <v>45609</v>
      </c>
    </row>
    <row r="1425" spans="1:9" x14ac:dyDescent="0.15">
      <c r="A1425" s="9">
        <v>1424</v>
      </c>
      <c r="B1425" s="9" t="s">
        <v>9</v>
      </c>
      <c r="C1425" s="9">
        <v>1923</v>
      </c>
      <c r="D1425" s="10">
        <v>45701</v>
      </c>
      <c r="E1425" s="13" t="str">
        <f>+HYPERLINK("http://trademark.i-assist.jp/data/china/image_1923th/81943460.pdf","81943460")</f>
        <v>81943460</v>
      </c>
      <c r="F1425" s="9" t="s">
        <v>3930</v>
      </c>
      <c r="G1425" s="9" t="s">
        <v>3931</v>
      </c>
      <c r="H1425" s="9" t="s">
        <v>3932</v>
      </c>
      <c r="I1425" s="10">
        <v>45609</v>
      </c>
    </row>
    <row r="1426" spans="1:9" x14ac:dyDescent="0.15">
      <c r="A1426" s="9">
        <v>1425</v>
      </c>
      <c r="B1426" s="9" t="s">
        <v>9</v>
      </c>
      <c r="C1426" s="9">
        <v>1923</v>
      </c>
      <c r="D1426" s="10">
        <v>45701</v>
      </c>
      <c r="E1426" s="13" t="str">
        <f>+HYPERLINK("http://trademark.i-assist.jp/data/china/image_1923th/81943570.pdf","81943570")</f>
        <v>81943570</v>
      </c>
      <c r="F1426" s="11" t="s">
        <v>3933</v>
      </c>
      <c r="G1426" s="9" t="s">
        <v>3655</v>
      </c>
      <c r="H1426" s="9" t="s">
        <v>3934</v>
      </c>
      <c r="I1426" s="10">
        <v>45609</v>
      </c>
    </row>
    <row r="1427" spans="1:9" x14ac:dyDescent="0.15">
      <c r="A1427" s="9">
        <v>1426</v>
      </c>
      <c r="B1427" s="9" t="s">
        <v>9</v>
      </c>
      <c r="C1427" s="9">
        <v>1923</v>
      </c>
      <c r="D1427" s="10">
        <v>45701</v>
      </c>
      <c r="E1427" s="13" t="str">
        <f>+HYPERLINK("http://trademark.i-assist.jp/data/china/image_1923th/81943647.pdf","81943647")</f>
        <v>81943647</v>
      </c>
      <c r="F1427" s="9" t="s">
        <v>3935</v>
      </c>
      <c r="G1427" s="9" t="s">
        <v>3936</v>
      </c>
      <c r="H1427" s="9" t="s">
        <v>3937</v>
      </c>
      <c r="I1427" s="10">
        <v>45609</v>
      </c>
    </row>
    <row r="1428" spans="1:9" x14ac:dyDescent="0.15">
      <c r="A1428" s="9">
        <v>1427</v>
      </c>
      <c r="B1428" s="9" t="s">
        <v>9</v>
      </c>
      <c r="C1428" s="9">
        <v>1923</v>
      </c>
      <c r="D1428" s="10">
        <v>45701</v>
      </c>
      <c r="E1428" s="13" t="str">
        <f>+HYPERLINK("http://trademark.i-assist.jp/data/china/image_1923th/81943848.pdf","81943848")</f>
        <v>81943848</v>
      </c>
      <c r="F1428" s="9" t="s">
        <v>3938</v>
      </c>
      <c r="G1428" s="9" t="s">
        <v>3939</v>
      </c>
      <c r="H1428" s="9" t="s">
        <v>3940</v>
      </c>
      <c r="I1428" s="10">
        <v>45609</v>
      </c>
    </row>
    <row r="1429" spans="1:9" x14ac:dyDescent="0.15">
      <c r="A1429" s="9">
        <v>1428</v>
      </c>
      <c r="B1429" s="9" t="s">
        <v>9</v>
      </c>
      <c r="C1429" s="9">
        <v>1923</v>
      </c>
      <c r="D1429" s="10">
        <v>45701</v>
      </c>
      <c r="E1429" s="13" t="str">
        <f>+HYPERLINK("http://trademark.i-assist.jp/data/china/image_1923th/81944092.pdf","81944092")</f>
        <v>81944092</v>
      </c>
      <c r="F1429" s="9" t="s">
        <v>3941</v>
      </c>
      <c r="G1429" s="9" t="s">
        <v>3942</v>
      </c>
      <c r="H1429" s="9" t="s">
        <v>3943</v>
      </c>
      <c r="I1429" s="10">
        <v>45609</v>
      </c>
    </row>
    <row r="1430" spans="1:9" x14ac:dyDescent="0.15">
      <c r="A1430" s="9">
        <v>1429</v>
      </c>
      <c r="B1430" s="9" t="s">
        <v>9</v>
      </c>
      <c r="C1430" s="9">
        <v>1923</v>
      </c>
      <c r="D1430" s="10">
        <v>45701</v>
      </c>
      <c r="E1430" s="13" t="str">
        <f>+HYPERLINK("http://trademark.i-assist.jp/data/china/image_1923th/81944226.pdf","81944226")</f>
        <v>81944226</v>
      </c>
      <c r="F1430" s="11" t="s">
        <v>3944</v>
      </c>
      <c r="G1430" s="9" t="s">
        <v>3945</v>
      </c>
      <c r="H1430" s="9" t="s">
        <v>3946</v>
      </c>
      <c r="I1430" s="10">
        <v>45609</v>
      </c>
    </row>
    <row r="1431" spans="1:9" x14ac:dyDescent="0.15">
      <c r="A1431" s="9">
        <v>1430</v>
      </c>
      <c r="B1431" s="9" t="s">
        <v>9</v>
      </c>
      <c r="C1431" s="9">
        <v>1923</v>
      </c>
      <c r="D1431" s="10">
        <v>45701</v>
      </c>
      <c r="E1431" s="13" t="str">
        <f>+HYPERLINK("http://trademark.i-assist.jp/data/china/image_1923th/81944310.pdf","81944310")</f>
        <v>81944310</v>
      </c>
      <c r="F1431" s="9" t="s">
        <v>3947</v>
      </c>
      <c r="G1431" s="9" t="s">
        <v>3797</v>
      </c>
      <c r="H1431" s="9" t="s">
        <v>3948</v>
      </c>
      <c r="I1431" s="10">
        <v>45609</v>
      </c>
    </row>
    <row r="1432" spans="1:9" x14ac:dyDescent="0.15">
      <c r="A1432" s="9">
        <v>1431</v>
      </c>
      <c r="B1432" s="9" t="s">
        <v>9</v>
      </c>
      <c r="C1432" s="9">
        <v>1923</v>
      </c>
      <c r="D1432" s="10">
        <v>45701</v>
      </c>
      <c r="E1432" s="13" t="str">
        <f>+HYPERLINK("http://trademark.i-assist.jp/data/china/image_1923th/81944314.pdf","81944314")</f>
        <v>81944314</v>
      </c>
      <c r="F1432" s="11" t="s">
        <v>3949</v>
      </c>
      <c r="G1432" s="9" t="s">
        <v>3950</v>
      </c>
      <c r="H1432" s="11" t="s">
        <v>3951</v>
      </c>
      <c r="I1432" s="10">
        <v>45609</v>
      </c>
    </row>
    <row r="1433" spans="1:9" x14ac:dyDescent="0.15">
      <c r="A1433" s="9">
        <v>1432</v>
      </c>
      <c r="B1433" s="9" t="s">
        <v>9</v>
      </c>
      <c r="C1433" s="9">
        <v>1923</v>
      </c>
      <c r="D1433" s="10">
        <v>45701</v>
      </c>
      <c r="E1433" s="13" t="str">
        <f>+HYPERLINK("http://trademark.i-assist.jp/data/china/image_1923th/81944611.pdf","81944611")</f>
        <v>81944611</v>
      </c>
      <c r="F1433" s="9" t="s">
        <v>3952</v>
      </c>
      <c r="G1433" s="9" t="s">
        <v>3953</v>
      </c>
      <c r="H1433" s="9" t="s">
        <v>3954</v>
      </c>
      <c r="I1433" s="10">
        <v>45609</v>
      </c>
    </row>
    <row r="1434" spans="1:9" x14ac:dyDescent="0.15">
      <c r="A1434" s="9">
        <v>1433</v>
      </c>
      <c r="B1434" s="9" t="s">
        <v>9</v>
      </c>
      <c r="C1434" s="9">
        <v>1923</v>
      </c>
      <c r="D1434" s="10">
        <v>45701</v>
      </c>
      <c r="E1434" s="13" t="str">
        <f>+HYPERLINK("http://trademark.i-assist.jp/data/china/image_1923th/81944705.pdf","81944705")</f>
        <v>81944705</v>
      </c>
      <c r="F1434" s="9" t="s">
        <v>3955</v>
      </c>
      <c r="G1434" s="9" t="s">
        <v>3843</v>
      </c>
      <c r="H1434" s="9" t="s">
        <v>3956</v>
      </c>
      <c r="I1434" s="10">
        <v>45609</v>
      </c>
    </row>
    <row r="1435" spans="1:9" x14ac:dyDescent="0.15">
      <c r="A1435" s="9">
        <v>1434</v>
      </c>
      <c r="B1435" s="9" t="s">
        <v>9</v>
      </c>
      <c r="C1435" s="9">
        <v>1923</v>
      </c>
      <c r="D1435" s="10">
        <v>45701</v>
      </c>
      <c r="E1435" s="13" t="str">
        <f>+HYPERLINK("http://trademark.i-assist.jp/data/china/image_1923th/81944738.pdf","81944738")</f>
        <v>81944738</v>
      </c>
      <c r="F1435" s="9" t="s">
        <v>3957</v>
      </c>
      <c r="G1435" s="9" t="s">
        <v>3843</v>
      </c>
      <c r="H1435" s="11" t="s">
        <v>3958</v>
      </c>
      <c r="I1435" s="10">
        <v>45609</v>
      </c>
    </row>
    <row r="1436" spans="1:9" x14ac:dyDescent="0.15">
      <c r="A1436" s="9">
        <v>1435</v>
      </c>
      <c r="B1436" s="9" t="s">
        <v>9</v>
      </c>
      <c r="C1436" s="9">
        <v>1923</v>
      </c>
      <c r="D1436" s="10">
        <v>45701</v>
      </c>
      <c r="E1436" s="13" t="str">
        <f>+HYPERLINK("http://trademark.i-assist.jp/data/china/image_1923th/81944795.pdf","81944795")</f>
        <v>81944795</v>
      </c>
      <c r="F1436" s="9" t="s">
        <v>3959</v>
      </c>
      <c r="G1436" s="9" t="s">
        <v>989</v>
      </c>
      <c r="H1436" s="9" t="s">
        <v>3960</v>
      </c>
      <c r="I1436" s="10">
        <v>45609</v>
      </c>
    </row>
    <row r="1437" spans="1:9" x14ac:dyDescent="0.15">
      <c r="A1437" s="9">
        <v>1436</v>
      </c>
      <c r="B1437" s="9" t="s">
        <v>9</v>
      </c>
      <c r="C1437" s="9">
        <v>1923</v>
      </c>
      <c r="D1437" s="10">
        <v>45701</v>
      </c>
      <c r="E1437" s="13" t="str">
        <f>+HYPERLINK("http://trademark.i-assist.jp/data/china/image_1923th/81944875.pdf","81944875")</f>
        <v>81944875</v>
      </c>
      <c r="F1437" s="9" t="s">
        <v>3961</v>
      </c>
      <c r="G1437" s="9" t="s">
        <v>3772</v>
      </c>
      <c r="H1437" s="9" t="s">
        <v>3962</v>
      </c>
      <c r="I1437" s="10">
        <v>45609</v>
      </c>
    </row>
    <row r="1438" spans="1:9" x14ac:dyDescent="0.15">
      <c r="A1438" s="9">
        <v>1437</v>
      </c>
      <c r="B1438" s="9" t="s">
        <v>9</v>
      </c>
      <c r="C1438" s="9">
        <v>1923</v>
      </c>
      <c r="D1438" s="10">
        <v>45701</v>
      </c>
      <c r="E1438" s="13" t="str">
        <f>+HYPERLINK("http://trademark.i-assist.jp/data/china/image_1923th/81944894.pdf","81944894")</f>
        <v>81944894</v>
      </c>
      <c r="F1438" s="9" t="s">
        <v>3963</v>
      </c>
      <c r="G1438" s="9" t="s">
        <v>3772</v>
      </c>
      <c r="H1438" s="9" t="s">
        <v>3964</v>
      </c>
      <c r="I1438" s="10">
        <v>45609</v>
      </c>
    </row>
    <row r="1439" spans="1:9" x14ac:dyDescent="0.15">
      <c r="A1439" s="9">
        <v>1438</v>
      </c>
      <c r="B1439" s="9" t="s">
        <v>9</v>
      </c>
      <c r="C1439" s="9">
        <v>1923</v>
      </c>
      <c r="D1439" s="10">
        <v>45701</v>
      </c>
      <c r="E1439" s="13" t="str">
        <f>+HYPERLINK("http://trademark.i-assist.jp/data/china/image_1923th/81945101.pdf","81945101")</f>
        <v>81945101</v>
      </c>
      <c r="F1439" s="9" t="s">
        <v>3965</v>
      </c>
      <c r="G1439" s="9" t="s">
        <v>3966</v>
      </c>
      <c r="H1439" s="9" t="s">
        <v>3967</v>
      </c>
      <c r="I1439" s="10">
        <v>45609</v>
      </c>
    </row>
    <row r="1440" spans="1:9" x14ac:dyDescent="0.15">
      <c r="A1440" s="9">
        <v>1439</v>
      </c>
      <c r="B1440" s="9" t="s">
        <v>9</v>
      </c>
      <c r="C1440" s="9">
        <v>1923</v>
      </c>
      <c r="D1440" s="10">
        <v>45701</v>
      </c>
      <c r="E1440" s="13" t="str">
        <f>+HYPERLINK("http://trademark.i-assist.jp/data/china/image_1923th/81945359.pdf","81945359")</f>
        <v>81945359</v>
      </c>
      <c r="F1440" s="9" t="s">
        <v>3968</v>
      </c>
      <c r="G1440" s="9" t="s">
        <v>3969</v>
      </c>
      <c r="H1440" s="9" t="s">
        <v>3970</v>
      </c>
      <c r="I1440" s="10">
        <v>45609</v>
      </c>
    </row>
    <row r="1441" spans="1:9" x14ac:dyDescent="0.15">
      <c r="A1441" s="9">
        <v>1440</v>
      </c>
      <c r="B1441" s="9" t="s">
        <v>9</v>
      </c>
      <c r="C1441" s="9">
        <v>1923</v>
      </c>
      <c r="D1441" s="10">
        <v>45701</v>
      </c>
      <c r="E1441" s="13" t="str">
        <f>+HYPERLINK("http://trademark.i-assist.jp/data/china/image_1923th/81945454.pdf","81945454")</f>
        <v>81945454</v>
      </c>
      <c r="F1441" s="9" t="s">
        <v>3971</v>
      </c>
      <c r="G1441" s="9" t="s">
        <v>3717</v>
      </c>
      <c r="H1441" s="9" t="s">
        <v>3972</v>
      </c>
      <c r="I1441" s="10">
        <v>45609</v>
      </c>
    </row>
    <row r="1442" spans="1:9" x14ac:dyDescent="0.15">
      <c r="A1442" s="9">
        <v>1441</v>
      </c>
      <c r="B1442" s="9" t="s">
        <v>9</v>
      </c>
      <c r="C1442" s="9">
        <v>1923</v>
      </c>
      <c r="D1442" s="10">
        <v>45701</v>
      </c>
      <c r="E1442" s="13" t="str">
        <f>+HYPERLINK("http://trademark.i-assist.jp/data/china/image_1923th/81945491.pdf","81945491")</f>
        <v>81945491</v>
      </c>
      <c r="F1442" s="9" t="s">
        <v>3973</v>
      </c>
      <c r="G1442" s="11" t="s">
        <v>3974</v>
      </c>
      <c r="H1442" s="9" t="s">
        <v>3975</v>
      </c>
      <c r="I1442" s="10">
        <v>45609</v>
      </c>
    </row>
    <row r="1443" spans="1:9" x14ac:dyDescent="0.15">
      <c r="A1443" s="9">
        <v>1442</v>
      </c>
      <c r="B1443" s="9" t="s">
        <v>9</v>
      </c>
      <c r="C1443" s="9">
        <v>1923</v>
      </c>
      <c r="D1443" s="10">
        <v>45701</v>
      </c>
      <c r="E1443" s="13" t="str">
        <f>+HYPERLINK("http://trademark.i-assist.jp/data/china/image_1923th/81945788.pdf","81945788")</f>
        <v>81945788</v>
      </c>
      <c r="F1443" s="11" t="s">
        <v>3976</v>
      </c>
      <c r="G1443" s="9" t="s">
        <v>3977</v>
      </c>
      <c r="H1443" s="9" t="s">
        <v>3978</v>
      </c>
      <c r="I1443" s="10">
        <v>45609</v>
      </c>
    </row>
    <row r="1444" spans="1:9" x14ac:dyDescent="0.15">
      <c r="A1444" s="9">
        <v>1443</v>
      </c>
      <c r="B1444" s="9" t="s">
        <v>9</v>
      </c>
      <c r="C1444" s="9">
        <v>1923</v>
      </c>
      <c r="D1444" s="10">
        <v>45701</v>
      </c>
      <c r="E1444" s="13" t="str">
        <f>+HYPERLINK("http://trademark.i-assist.jp/data/china/image_1923th/81946369.pdf","81946369")</f>
        <v>81946369</v>
      </c>
      <c r="F1444" s="11" t="s">
        <v>126</v>
      </c>
      <c r="G1444" s="11" t="s">
        <v>3979</v>
      </c>
      <c r="H1444" s="9" t="s">
        <v>3980</v>
      </c>
      <c r="I1444" s="10">
        <v>45609</v>
      </c>
    </row>
    <row r="1445" spans="1:9" x14ac:dyDescent="0.15">
      <c r="A1445" s="9">
        <v>1444</v>
      </c>
      <c r="B1445" s="9" t="s">
        <v>9</v>
      </c>
      <c r="C1445" s="9">
        <v>1923</v>
      </c>
      <c r="D1445" s="10">
        <v>45701</v>
      </c>
      <c r="E1445" s="13" t="str">
        <f>+HYPERLINK("http://trademark.i-assist.jp/data/china/image_1923th/81946666.pdf","81946666")</f>
        <v>81946666</v>
      </c>
      <c r="F1445" s="9" t="s">
        <v>3981</v>
      </c>
      <c r="G1445" s="9" t="s">
        <v>3760</v>
      </c>
      <c r="H1445" s="9" t="s">
        <v>3982</v>
      </c>
      <c r="I1445" s="10">
        <v>45609</v>
      </c>
    </row>
    <row r="1446" spans="1:9" x14ac:dyDescent="0.15">
      <c r="A1446" s="9">
        <v>1445</v>
      </c>
      <c r="B1446" s="9" t="s">
        <v>9</v>
      </c>
      <c r="C1446" s="9">
        <v>1923</v>
      </c>
      <c r="D1446" s="10">
        <v>45701</v>
      </c>
      <c r="E1446" s="13" t="str">
        <f>+HYPERLINK("http://trademark.i-assist.jp/data/china/image_1923th/81946681.pdf","81946681")</f>
        <v>81946681</v>
      </c>
      <c r="F1446" s="9" t="s">
        <v>3983</v>
      </c>
      <c r="G1446" s="11" t="s">
        <v>3041</v>
      </c>
      <c r="H1446" s="9" t="s">
        <v>3984</v>
      </c>
      <c r="I1446" s="10">
        <v>45609</v>
      </c>
    </row>
    <row r="1447" spans="1:9" x14ac:dyDescent="0.15">
      <c r="A1447" s="9">
        <v>1446</v>
      </c>
      <c r="B1447" s="9" t="s">
        <v>9</v>
      </c>
      <c r="C1447" s="9">
        <v>1923</v>
      </c>
      <c r="D1447" s="10">
        <v>45701</v>
      </c>
      <c r="E1447" s="13" t="str">
        <f>+HYPERLINK("http://trademark.i-assist.jp/data/china/image_1923th/81946719.pdf","81946719")</f>
        <v>81946719</v>
      </c>
      <c r="F1447" s="9" t="s">
        <v>3985</v>
      </c>
      <c r="G1447" s="11" t="s">
        <v>3986</v>
      </c>
      <c r="H1447" s="9" t="s">
        <v>3987</v>
      </c>
      <c r="I1447" s="10">
        <v>45609</v>
      </c>
    </row>
    <row r="1448" spans="1:9" x14ac:dyDescent="0.15">
      <c r="A1448" s="9">
        <v>1447</v>
      </c>
      <c r="B1448" s="9" t="s">
        <v>9</v>
      </c>
      <c r="C1448" s="9">
        <v>1923</v>
      </c>
      <c r="D1448" s="10">
        <v>45701</v>
      </c>
      <c r="E1448" s="13" t="str">
        <f>+HYPERLINK("http://trademark.i-assist.jp/data/china/image_1923th/81946800.pdf","81946800")</f>
        <v>81946800</v>
      </c>
      <c r="F1448" s="9" t="s">
        <v>3988</v>
      </c>
      <c r="G1448" s="9" t="s">
        <v>3989</v>
      </c>
      <c r="H1448" s="11" t="s">
        <v>3990</v>
      </c>
      <c r="I1448" s="10">
        <v>45609</v>
      </c>
    </row>
    <row r="1449" spans="1:9" x14ac:dyDescent="0.15">
      <c r="A1449" s="9">
        <v>1448</v>
      </c>
      <c r="B1449" s="9" t="s">
        <v>9</v>
      </c>
      <c r="C1449" s="9">
        <v>1923</v>
      </c>
      <c r="D1449" s="10">
        <v>45701</v>
      </c>
      <c r="E1449" s="13" t="str">
        <f>+HYPERLINK("http://trademark.i-assist.jp/data/china/image_1923th/81946822.pdf","81946822")</f>
        <v>81946822</v>
      </c>
      <c r="F1449" s="11" t="s">
        <v>3991</v>
      </c>
      <c r="G1449" s="11" t="s">
        <v>3992</v>
      </c>
      <c r="H1449" s="9" t="s">
        <v>3993</v>
      </c>
      <c r="I1449" s="10">
        <v>45609</v>
      </c>
    </row>
    <row r="1450" spans="1:9" x14ac:dyDescent="0.15">
      <c r="A1450" s="9">
        <v>1449</v>
      </c>
      <c r="B1450" s="9" t="s">
        <v>9</v>
      </c>
      <c r="C1450" s="9">
        <v>1923</v>
      </c>
      <c r="D1450" s="10">
        <v>45701</v>
      </c>
      <c r="E1450" s="13" t="str">
        <f>+HYPERLINK("http://trademark.i-assist.jp/data/china/image_1923th/81946998.pdf","81946998")</f>
        <v>81946998</v>
      </c>
      <c r="F1450" s="11" t="s">
        <v>126</v>
      </c>
      <c r="G1450" s="11" t="s">
        <v>3994</v>
      </c>
      <c r="H1450" s="9" t="s">
        <v>3995</v>
      </c>
      <c r="I1450" s="10">
        <v>45609</v>
      </c>
    </row>
    <row r="1451" spans="1:9" x14ac:dyDescent="0.15">
      <c r="A1451" s="9">
        <v>1450</v>
      </c>
      <c r="B1451" s="9" t="s">
        <v>9</v>
      </c>
      <c r="C1451" s="9">
        <v>1923</v>
      </c>
      <c r="D1451" s="10">
        <v>45701</v>
      </c>
      <c r="E1451" s="13" t="str">
        <f>+HYPERLINK("http://trademark.i-assist.jp/data/china/image_1923th/81947171.pdf","81947171")</f>
        <v>81947171</v>
      </c>
      <c r="F1451" s="9" t="s">
        <v>3996</v>
      </c>
      <c r="G1451" s="9" t="s">
        <v>3997</v>
      </c>
      <c r="H1451" s="9" t="s">
        <v>3998</v>
      </c>
      <c r="I1451" s="10">
        <v>45609</v>
      </c>
    </row>
    <row r="1452" spans="1:9" x14ac:dyDescent="0.15">
      <c r="A1452" s="9">
        <v>1451</v>
      </c>
      <c r="B1452" s="9" t="s">
        <v>9</v>
      </c>
      <c r="C1452" s="9">
        <v>1923</v>
      </c>
      <c r="D1452" s="10">
        <v>45701</v>
      </c>
      <c r="E1452" s="13" t="str">
        <f>+HYPERLINK("http://trademark.i-assist.jp/data/china/image_1923th/81947524.pdf","81947524")</f>
        <v>81947524</v>
      </c>
      <c r="F1452" s="9" t="s">
        <v>3999</v>
      </c>
      <c r="G1452" s="9" t="s">
        <v>3903</v>
      </c>
      <c r="H1452" s="9" t="s">
        <v>4000</v>
      </c>
      <c r="I1452" s="10">
        <v>45609</v>
      </c>
    </row>
    <row r="1453" spans="1:9" x14ac:dyDescent="0.15">
      <c r="A1453" s="9">
        <v>1452</v>
      </c>
      <c r="B1453" s="9" t="s">
        <v>9</v>
      </c>
      <c r="C1453" s="9">
        <v>1923</v>
      </c>
      <c r="D1453" s="10">
        <v>45701</v>
      </c>
      <c r="E1453" s="13" t="str">
        <f>+HYPERLINK("http://trademark.i-assist.jp/data/china/image_1923th/81947530.pdf","81947530")</f>
        <v>81947530</v>
      </c>
      <c r="F1453" s="9" t="s">
        <v>4001</v>
      </c>
      <c r="G1453" s="11" t="s">
        <v>4002</v>
      </c>
      <c r="H1453" s="9" t="s">
        <v>4003</v>
      </c>
      <c r="I1453" s="10">
        <v>45609</v>
      </c>
    </row>
    <row r="1454" spans="1:9" x14ac:dyDescent="0.15">
      <c r="A1454" s="9">
        <v>1453</v>
      </c>
      <c r="B1454" s="9" t="s">
        <v>9</v>
      </c>
      <c r="C1454" s="9">
        <v>1923</v>
      </c>
      <c r="D1454" s="10">
        <v>45701</v>
      </c>
      <c r="E1454" s="13" t="str">
        <f>+HYPERLINK("http://trademark.i-assist.jp/data/china/image_1923th/81947729.pdf","81947729")</f>
        <v>81947729</v>
      </c>
      <c r="F1454" s="9" t="s">
        <v>4004</v>
      </c>
      <c r="G1454" s="9" t="s">
        <v>3678</v>
      </c>
      <c r="H1454" s="9" t="s">
        <v>4005</v>
      </c>
      <c r="I1454" s="10">
        <v>45609</v>
      </c>
    </row>
    <row r="1455" spans="1:9" x14ac:dyDescent="0.15">
      <c r="A1455" s="9">
        <v>1454</v>
      </c>
      <c r="B1455" s="9" t="s">
        <v>9</v>
      </c>
      <c r="C1455" s="9">
        <v>1923</v>
      </c>
      <c r="D1455" s="10">
        <v>45701</v>
      </c>
      <c r="E1455" s="13" t="str">
        <f>+HYPERLINK("http://trademark.i-assist.jp/data/china/image_1923th/81947946.pdf","81947946")</f>
        <v>81947946</v>
      </c>
      <c r="F1455" s="9" t="s">
        <v>4006</v>
      </c>
      <c r="G1455" s="9" t="s">
        <v>4007</v>
      </c>
      <c r="H1455" s="9" t="s">
        <v>4008</v>
      </c>
      <c r="I1455" s="10">
        <v>45609</v>
      </c>
    </row>
    <row r="1456" spans="1:9" x14ac:dyDescent="0.15">
      <c r="A1456" s="9">
        <v>1455</v>
      </c>
      <c r="B1456" s="9" t="s">
        <v>9</v>
      </c>
      <c r="C1456" s="9">
        <v>1923</v>
      </c>
      <c r="D1456" s="10">
        <v>45701</v>
      </c>
      <c r="E1456" s="13" t="str">
        <f>+HYPERLINK("http://trademark.i-assist.jp/data/china/image_1923th/81947971.pdf","81947971")</f>
        <v>81947971</v>
      </c>
      <c r="F1456" s="9" t="s">
        <v>4009</v>
      </c>
      <c r="G1456" s="9" t="s">
        <v>3923</v>
      </c>
      <c r="H1456" s="9" t="s">
        <v>4010</v>
      </c>
      <c r="I1456" s="10">
        <v>45609</v>
      </c>
    </row>
    <row r="1457" spans="1:9" x14ac:dyDescent="0.15">
      <c r="A1457" s="9">
        <v>1456</v>
      </c>
      <c r="B1457" s="9" t="s">
        <v>9</v>
      </c>
      <c r="C1457" s="9">
        <v>1923</v>
      </c>
      <c r="D1457" s="10">
        <v>45701</v>
      </c>
      <c r="E1457" s="13" t="str">
        <f>+HYPERLINK("http://trademark.i-assist.jp/data/china/image_1923th/81948195.pdf","81948195")</f>
        <v>81948195</v>
      </c>
      <c r="F1457" s="9" t="s">
        <v>4011</v>
      </c>
      <c r="G1457" s="9" t="s">
        <v>4012</v>
      </c>
      <c r="H1457" s="9" t="s">
        <v>4013</v>
      </c>
      <c r="I1457" s="10">
        <v>45609</v>
      </c>
    </row>
    <row r="1458" spans="1:9" x14ac:dyDescent="0.15">
      <c r="A1458" s="9">
        <v>1457</v>
      </c>
      <c r="B1458" s="9" t="s">
        <v>9</v>
      </c>
      <c r="C1458" s="9">
        <v>1923</v>
      </c>
      <c r="D1458" s="10">
        <v>45701</v>
      </c>
      <c r="E1458" s="13" t="str">
        <f>+HYPERLINK("http://trademark.i-assist.jp/data/china/image_1923th/81948214.pdf","81948214")</f>
        <v>81948214</v>
      </c>
      <c r="F1458" s="11" t="s">
        <v>4014</v>
      </c>
      <c r="G1458" s="9" t="s">
        <v>4015</v>
      </c>
      <c r="H1458" s="9" t="s">
        <v>4016</v>
      </c>
      <c r="I1458" s="10">
        <v>45609</v>
      </c>
    </row>
    <row r="1459" spans="1:9" x14ac:dyDescent="0.15">
      <c r="A1459" s="9">
        <v>1458</v>
      </c>
      <c r="B1459" s="9" t="s">
        <v>9</v>
      </c>
      <c r="C1459" s="9">
        <v>1923</v>
      </c>
      <c r="D1459" s="10">
        <v>45701</v>
      </c>
      <c r="E1459" s="13" t="str">
        <f>+HYPERLINK("http://trademark.i-assist.jp/data/china/image_1923th/81948240.pdf","81948240")</f>
        <v>81948240</v>
      </c>
      <c r="F1459" s="9" t="s">
        <v>4017</v>
      </c>
      <c r="G1459" s="9" t="s">
        <v>4018</v>
      </c>
      <c r="H1459" s="9" t="s">
        <v>4019</v>
      </c>
      <c r="I1459" s="10">
        <v>45609</v>
      </c>
    </row>
    <row r="1460" spans="1:9" x14ac:dyDescent="0.15">
      <c r="A1460" s="9">
        <v>1459</v>
      </c>
      <c r="B1460" s="9" t="s">
        <v>9</v>
      </c>
      <c r="C1460" s="9">
        <v>1923</v>
      </c>
      <c r="D1460" s="10">
        <v>45701</v>
      </c>
      <c r="E1460" s="13" t="str">
        <f>+HYPERLINK("http://trademark.i-assist.jp/data/china/image_1923th/81948335.pdf","81948335")</f>
        <v>81948335</v>
      </c>
      <c r="F1460" s="9" t="s">
        <v>4020</v>
      </c>
      <c r="G1460" s="9" t="s">
        <v>4021</v>
      </c>
      <c r="H1460" s="9" t="s">
        <v>4022</v>
      </c>
      <c r="I1460" s="10">
        <v>45609</v>
      </c>
    </row>
    <row r="1461" spans="1:9" x14ac:dyDescent="0.15">
      <c r="A1461" s="9">
        <v>1460</v>
      </c>
      <c r="B1461" s="9" t="s">
        <v>9</v>
      </c>
      <c r="C1461" s="9">
        <v>1923</v>
      </c>
      <c r="D1461" s="10">
        <v>45701</v>
      </c>
      <c r="E1461" s="13" t="str">
        <f>+HYPERLINK("http://trademark.i-assist.jp/data/china/image_1923th/81948557.pdf","81948557")</f>
        <v>81948557</v>
      </c>
      <c r="F1461" s="9" t="s">
        <v>4023</v>
      </c>
      <c r="G1461" s="9" t="s">
        <v>4024</v>
      </c>
      <c r="H1461" s="9" t="s">
        <v>4025</v>
      </c>
      <c r="I1461" s="10">
        <v>45609</v>
      </c>
    </row>
    <row r="1462" spans="1:9" x14ac:dyDescent="0.15">
      <c r="A1462" s="9">
        <v>1461</v>
      </c>
      <c r="B1462" s="9" t="s">
        <v>9</v>
      </c>
      <c r="C1462" s="9">
        <v>1923</v>
      </c>
      <c r="D1462" s="10">
        <v>45701</v>
      </c>
      <c r="E1462" s="13" t="str">
        <f>+HYPERLINK("http://trademark.i-assist.jp/data/china/image_1923th/81948587.pdf","81948587")</f>
        <v>81948587</v>
      </c>
      <c r="F1462" s="9" t="s">
        <v>4026</v>
      </c>
      <c r="G1462" s="9" t="s">
        <v>4027</v>
      </c>
      <c r="H1462" s="11" t="s">
        <v>4028</v>
      </c>
      <c r="I1462" s="10">
        <v>45609</v>
      </c>
    </row>
    <row r="1463" spans="1:9" x14ac:dyDescent="0.15">
      <c r="A1463" s="9">
        <v>1462</v>
      </c>
      <c r="B1463" s="9" t="s">
        <v>9</v>
      </c>
      <c r="C1463" s="9">
        <v>1923</v>
      </c>
      <c r="D1463" s="10">
        <v>45701</v>
      </c>
      <c r="E1463" s="13" t="str">
        <f>+HYPERLINK("http://trademark.i-assist.jp/data/china/image_1923th/81948762.pdf","81948762")</f>
        <v>81948762</v>
      </c>
      <c r="F1463" s="9" t="s">
        <v>4029</v>
      </c>
      <c r="G1463" s="9" t="s">
        <v>4030</v>
      </c>
      <c r="H1463" s="9" t="s">
        <v>4031</v>
      </c>
      <c r="I1463" s="10">
        <v>45609</v>
      </c>
    </row>
    <row r="1464" spans="1:9" x14ac:dyDescent="0.15">
      <c r="A1464" s="9">
        <v>1463</v>
      </c>
      <c r="B1464" s="9" t="s">
        <v>9</v>
      </c>
      <c r="C1464" s="9">
        <v>1923</v>
      </c>
      <c r="D1464" s="10">
        <v>45701</v>
      </c>
      <c r="E1464" s="13" t="str">
        <f>+HYPERLINK("http://trademark.i-assist.jp/data/china/image_1923th/81948778.pdf","81948778")</f>
        <v>81948778</v>
      </c>
      <c r="F1464" s="9" t="s">
        <v>4032</v>
      </c>
      <c r="G1464" s="9" t="s">
        <v>4033</v>
      </c>
      <c r="H1464" s="9" t="s">
        <v>4034</v>
      </c>
      <c r="I1464" s="10">
        <v>45609</v>
      </c>
    </row>
    <row r="1465" spans="1:9" x14ac:dyDescent="0.15">
      <c r="A1465" s="9">
        <v>1464</v>
      </c>
      <c r="B1465" s="9" t="s">
        <v>9</v>
      </c>
      <c r="C1465" s="9">
        <v>1923</v>
      </c>
      <c r="D1465" s="10">
        <v>45701</v>
      </c>
      <c r="E1465" s="13" t="str">
        <f>+HYPERLINK("http://trademark.i-assist.jp/data/china/image_1923th/81948931.pdf","81948931")</f>
        <v>81948931</v>
      </c>
      <c r="F1465" s="11" t="s">
        <v>4035</v>
      </c>
      <c r="G1465" s="11" t="s">
        <v>4036</v>
      </c>
      <c r="H1465" s="9" t="s">
        <v>4037</v>
      </c>
      <c r="I1465" s="10">
        <v>45609</v>
      </c>
    </row>
    <row r="1466" spans="1:9" x14ac:dyDescent="0.15">
      <c r="A1466" s="9">
        <v>1465</v>
      </c>
      <c r="B1466" s="9" t="s">
        <v>9</v>
      </c>
      <c r="C1466" s="9">
        <v>1923</v>
      </c>
      <c r="D1466" s="10">
        <v>45701</v>
      </c>
      <c r="E1466" s="13" t="str">
        <f>+HYPERLINK("http://trademark.i-assist.jp/data/china/image_1923th/81949009.pdf","81949009")</f>
        <v>81949009</v>
      </c>
      <c r="F1466" s="9" t="s">
        <v>4038</v>
      </c>
      <c r="G1466" s="11" t="s">
        <v>4039</v>
      </c>
      <c r="H1466" s="11" t="s">
        <v>4040</v>
      </c>
      <c r="I1466" s="10">
        <v>45609</v>
      </c>
    </row>
    <row r="1467" spans="1:9" x14ac:dyDescent="0.15">
      <c r="A1467" s="9">
        <v>1466</v>
      </c>
      <c r="B1467" s="9" t="s">
        <v>9</v>
      </c>
      <c r="C1467" s="9">
        <v>1923</v>
      </c>
      <c r="D1467" s="10">
        <v>45701</v>
      </c>
      <c r="E1467" s="13" t="str">
        <f>+HYPERLINK("http://trademark.i-assist.jp/data/china/image_1923th/81949153.pdf","81949153")</f>
        <v>81949153</v>
      </c>
      <c r="F1467" s="9" t="s">
        <v>4041</v>
      </c>
      <c r="G1467" s="11" t="s">
        <v>4042</v>
      </c>
      <c r="H1467" s="9" t="s">
        <v>4043</v>
      </c>
      <c r="I1467" s="10">
        <v>45609</v>
      </c>
    </row>
    <row r="1468" spans="1:9" x14ac:dyDescent="0.15">
      <c r="A1468" s="9">
        <v>1467</v>
      </c>
      <c r="B1468" s="9" t="s">
        <v>9</v>
      </c>
      <c r="C1468" s="9">
        <v>1923</v>
      </c>
      <c r="D1468" s="10">
        <v>45701</v>
      </c>
      <c r="E1468" s="13" t="str">
        <f>+HYPERLINK("http://trademark.i-assist.jp/data/china/image_1923th/81949176.pdf","81949176")</f>
        <v>81949176</v>
      </c>
      <c r="F1468" s="9" t="s">
        <v>4044</v>
      </c>
      <c r="G1468" s="9" t="s">
        <v>4045</v>
      </c>
      <c r="H1468" s="9" t="s">
        <v>4046</v>
      </c>
      <c r="I1468" s="10">
        <v>45609</v>
      </c>
    </row>
    <row r="1469" spans="1:9" x14ac:dyDescent="0.15">
      <c r="A1469" s="9">
        <v>1468</v>
      </c>
      <c r="B1469" s="9" t="s">
        <v>9</v>
      </c>
      <c r="C1469" s="9">
        <v>1923</v>
      </c>
      <c r="D1469" s="10">
        <v>45701</v>
      </c>
      <c r="E1469" s="13" t="str">
        <f>+HYPERLINK("http://trademark.i-assist.jp/data/china/image_1923th/81949335.pdf","81949335")</f>
        <v>81949335</v>
      </c>
      <c r="F1469" s="9" t="s">
        <v>4047</v>
      </c>
      <c r="G1469" s="9" t="s">
        <v>19</v>
      </c>
      <c r="H1469" s="9" t="s">
        <v>4048</v>
      </c>
      <c r="I1469" s="10">
        <v>45609</v>
      </c>
    </row>
    <row r="1470" spans="1:9" x14ac:dyDescent="0.15">
      <c r="A1470" s="9">
        <v>1469</v>
      </c>
      <c r="B1470" s="9" t="s">
        <v>9</v>
      </c>
      <c r="C1470" s="9">
        <v>1923</v>
      </c>
      <c r="D1470" s="10">
        <v>45701</v>
      </c>
      <c r="E1470" s="13" t="str">
        <f>+HYPERLINK("http://trademark.i-assist.jp/data/china/image_1923th/81949348.pdf","81949348")</f>
        <v>81949348</v>
      </c>
      <c r="F1470" s="9" t="s">
        <v>4049</v>
      </c>
      <c r="G1470" s="9" t="s">
        <v>4050</v>
      </c>
      <c r="H1470" s="9" t="s">
        <v>4051</v>
      </c>
      <c r="I1470" s="10">
        <v>45609</v>
      </c>
    </row>
    <row r="1471" spans="1:9" x14ac:dyDescent="0.15">
      <c r="A1471" s="9">
        <v>1470</v>
      </c>
      <c r="B1471" s="9" t="s">
        <v>9</v>
      </c>
      <c r="C1471" s="9">
        <v>1923</v>
      </c>
      <c r="D1471" s="10">
        <v>45701</v>
      </c>
      <c r="E1471" s="13" t="str">
        <f>+HYPERLINK("http://trademark.i-assist.jp/data/china/image_1923th/81949379.pdf","81949379")</f>
        <v>81949379</v>
      </c>
      <c r="F1471" s="11" t="s">
        <v>126</v>
      </c>
      <c r="G1471" s="9" t="s">
        <v>3797</v>
      </c>
      <c r="H1471" s="9" t="s">
        <v>4052</v>
      </c>
      <c r="I1471" s="10">
        <v>45609</v>
      </c>
    </row>
    <row r="1472" spans="1:9" x14ac:dyDescent="0.15">
      <c r="A1472" s="9">
        <v>1471</v>
      </c>
      <c r="B1472" s="9" t="s">
        <v>9</v>
      </c>
      <c r="C1472" s="9">
        <v>1923</v>
      </c>
      <c r="D1472" s="10">
        <v>45701</v>
      </c>
      <c r="E1472" s="13" t="str">
        <f>+HYPERLINK("http://trademark.i-assist.jp/data/china/image_1923th/81949590.pdf","81949590")</f>
        <v>81949590</v>
      </c>
      <c r="F1472" s="9" t="s">
        <v>4053</v>
      </c>
      <c r="G1472" s="9" t="s">
        <v>4054</v>
      </c>
      <c r="H1472" s="9" t="s">
        <v>4055</v>
      </c>
      <c r="I1472" s="10">
        <v>45609</v>
      </c>
    </row>
    <row r="1473" spans="1:9" x14ac:dyDescent="0.15">
      <c r="A1473" s="9">
        <v>1472</v>
      </c>
      <c r="B1473" s="9" t="s">
        <v>9</v>
      </c>
      <c r="C1473" s="9">
        <v>1923</v>
      </c>
      <c r="D1473" s="10">
        <v>45701</v>
      </c>
      <c r="E1473" s="13" t="str">
        <f>+HYPERLINK("http://trademark.i-assist.jp/data/china/image_1923th/81949918.pdf","81949918")</f>
        <v>81949918</v>
      </c>
      <c r="F1473" s="9" t="s">
        <v>4056</v>
      </c>
      <c r="G1473" s="11" t="s">
        <v>3026</v>
      </c>
      <c r="H1473" s="11" t="s">
        <v>4057</v>
      </c>
      <c r="I1473" s="10">
        <v>45609</v>
      </c>
    </row>
    <row r="1474" spans="1:9" x14ac:dyDescent="0.15">
      <c r="A1474" s="9">
        <v>1473</v>
      </c>
      <c r="B1474" s="9" t="s">
        <v>9</v>
      </c>
      <c r="C1474" s="9">
        <v>1923</v>
      </c>
      <c r="D1474" s="10">
        <v>45701</v>
      </c>
      <c r="E1474" s="13" t="str">
        <f>+HYPERLINK("http://trademark.i-assist.jp/data/china/image_1923th/81950440.pdf","81950440")</f>
        <v>81950440</v>
      </c>
      <c r="F1474" s="9" t="s">
        <v>4058</v>
      </c>
      <c r="G1474" s="9" t="s">
        <v>4059</v>
      </c>
      <c r="H1474" s="9" t="s">
        <v>4060</v>
      </c>
      <c r="I1474" s="10">
        <v>45609</v>
      </c>
    </row>
    <row r="1475" spans="1:9" x14ac:dyDescent="0.15">
      <c r="A1475" s="9">
        <v>1474</v>
      </c>
      <c r="B1475" s="9" t="s">
        <v>9</v>
      </c>
      <c r="C1475" s="9">
        <v>1923</v>
      </c>
      <c r="D1475" s="10">
        <v>45701</v>
      </c>
      <c r="E1475" s="13" t="str">
        <f>+HYPERLINK("http://trademark.i-assist.jp/data/china/image_1923th/81950671.pdf","81950671")</f>
        <v>81950671</v>
      </c>
      <c r="F1475" s="9" t="s">
        <v>4061</v>
      </c>
      <c r="G1475" s="9" t="s">
        <v>4062</v>
      </c>
      <c r="H1475" s="11" t="s">
        <v>4063</v>
      </c>
      <c r="I1475" s="10">
        <v>45609</v>
      </c>
    </row>
    <row r="1476" spans="1:9" x14ac:dyDescent="0.15">
      <c r="A1476" s="9">
        <v>1475</v>
      </c>
      <c r="B1476" s="9" t="s">
        <v>9</v>
      </c>
      <c r="C1476" s="9">
        <v>1923</v>
      </c>
      <c r="D1476" s="10">
        <v>45701</v>
      </c>
      <c r="E1476" s="13" t="str">
        <f>+HYPERLINK("http://trademark.i-assist.jp/data/china/image_1923th/81950702.pdf","81950702")</f>
        <v>81950702</v>
      </c>
      <c r="F1476" s="11" t="s">
        <v>126</v>
      </c>
      <c r="G1476" s="9" t="s">
        <v>4064</v>
      </c>
      <c r="H1476" s="11" t="s">
        <v>4065</v>
      </c>
      <c r="I1476" s="10">
        <v>45609</v>
      </c>
    </row>
    <row r="1477" spans="1:9" x14ac:dyDescent="0.15">
      <c r="A1477" s="9">
        <v>1476</v>
      </c>
      <c r="B1477" s="9" t="s">
        <v>9</v>
      </c>
      <c r="C1477" s="9">
        <v>1923</v>
      </c>
      <c r="D1477" s="10">
        <v>45701</v>
      </c>
      <c r="E1477" s="13" t="str">
        <f>+HYPERLINK("http://trademark.i-assist.jp/data/china/image_1923th/81950742.pdf","81950742")</f>
        <v>81950742</v>
      </c>
      <c r="F1477" s="9" t="s">
        <v>4066</v>
      </c>
      <c r="G1477" s="11" t="s">
        <v>4067</v>
      </c>
      <c r="H1477" s="9" t="s">
        <v>4068</v>
      </c>
      <c r="I1477" s="10">
        <v>45609</v>
      </c>
    </row>
    <row r="1478" spans="1:9" x14ac:dyDescent="0.15">
      <c r="A1478" s="9">
        <v>1477</v>
      </c>
      <c r="B1478" s="9" t="s">
        <v>9</v>
      </c>
      <c r="C1478" s="9">
        <v>1923</v>
      </c>
      <c r="D1478" s="10">
        <v>45701</v>
      </c>
      <c r="E1478" s="13" t="str">
        <f>+HYPERLINK("http://trademark.i-assist.jp/data/china/image_1923th/81950820.pdf","81950820")</f>
        <v>81950820</v>
      </c>
      <c r="F1478" s="9" t="s">
        <v>4069</v>
      </c>
      <c r="G1478" s="11" t="s">
        <v>4070</v>
      </c>
      <c r="H1478" s="11" t="s">
        <v>4071</v>
      </c>
      <c r="I1478" s="10">
        <v>45609</v>
      </c>
    </row>
    <row r="1479" spans="1:9" x14ac:dyDescent="0.15">
      <c r="A1479" s="9">
        <v>1478</v>
      </c>
      <c r="B1479" s="9" t="s">
        <v>9</v>
      </c>
      <c r="C1479" s="9">
        <v>1923</v>
      </c>
      <c r="D1479" s="10">
        <v>45701</v>
      </c>
      <c r="E1479" s="13" t="str">
        <f>+HYPERLINK("http://trademark.i-assist.jp/data/china/image_1923th/81950974.pdf","81950974")</f>
        <v>81950974</v>
      </c>
      <c r="F1479" s="9" t="s">
        <v>4072</v>
      </c>
      <c r="G1479" s="11" t="s">
        <v>4073</v>
      </c>
      <c r="H1479" s="9" t="s">
        <v>4074</v>
      </c>
      <c r="I1479" s="10">
        <v>45609</v>
      </c>
    </row>
    <row r="1480" spans="1:9" x14ac:dyDescent="0.15">
      <c r="A1480" s="9">
        <v>1479</v>
      </c>
      <c r="B1480" s="9" t="s">
        <v>9</v>
      </c>
      <c r="C1480" s="9">
        <v>1923</v>
      </c>
      <c r="D1480" s="10">
        <v>45701</v>
      </c>
      <c r="E1480" s="13" t="str">
        <f>+HYPERLINK("http://trademark.i-assist.jp/data/china/image_1923th/81951313.pdf","81951313")</f>
        <v>81951313</v>
      </c>
      <c r="F1480" s="9" t="s">
        <v>4075</v>
      </c>
      <c r="G1480" s="11" t="s">
        <v>4076</v>
      </c>
      <c r="H1480" s="9" t="s">
        <v>4077</v>
      </c>
      <c r="I1480" s="10">
        <v>45609</v>
      </c>
    </row>
    <row r="1481" spans="1:9" x14ac:dyDescent="0.15">
      <c r="A1481" s="9">
        <v>1480</v>
      </c>
      <c r="B1481" s="9" t="s">
        <v>9</v>
      </c>
      <c r="C1481" s="9">
        <v>1923</v>
      </c>
      <c r="D1481" s="10">
        <v>45701</v>
      </c>
      <c r="E1481" s="13" t="str">
        <f>+HYPERLINK("http://trademark.i-assist.jp/data/china/image_1923th/81951640.pdf","81951640")</f>
        <v>81951640</v>
      </c>
      <c r="F1481" s="11" t="s">
        <v>4078</v>
      </c>
      <c r="G1481" s="9" t="s">
        <v>4015</v>
      </c>
      <c r="H1481" s="11" t="s">
        <v>4079</v>
      </c>
      <c r="I1481" s="10">
        <v>45609</v>
      </c>
    </row>
    <row r="1482" spans="1:9" x14ac:dyDescent="0.15">
      <c r="A1482" s="9">
        <v>1481</v>
      </c>
      <c r="B1482" s="9" t="s">
        <v>9</v>
      </c>
      <c r="C1482" s="9">
        <v>1923</v>
      </c>
      <c r="D1482" s="10">
        <v>45701</v>
      </c>
      <c r="E1482" s="13" t="str">
        <f>+HYPERLINK("http://trademark.i-assist.jp/data/china/image_1923th/81951843.pdf","81951843")</f>
        <v>81951843</v>
      </c>
      <c r="F1482" s="9" t="s">
        <v>4080</v>
      </c>
      <c r="G1482" s="11" t="s">
        <v>4081</v>
      </c>
      <c r="H1482" s="9" t="s">
        <v>4082</v>
      </c>
      <c r="I1482" s="10">
        <v>45609</v>
      </c>
    </row>
    <row r="1483" spans="1:9" x14ac:dyDescent="0.15">
      <c r="A1483" s="9">
        <v>1482</v>
      </c>
      <c r="B1483" s="9" t="s">
        <v>9</v>
      </c>
      <c r="C1483" s="9">
        <v>1923</v>
      </c>
      <c r="D1483" s="10">
        <v>45701</v>
      </c>
      <c r="E1483" s="13" t="str">
        <f>+HYPERLINK("http://trademark.i-assist.jp/data/china/image_1923th/81951888.pdf","81951888")</f>
        <v>81951888</v>
      </c>
      <c r="F1483" s="9" t="s">
        <v>4083</v>
      </c>
      <c r="G1483" s="11" t="s">
        <v>4084</v>
      </c>
      <c r="H1483" s="9" t="s">
        <v>4085</v>
      </c>
      <c r="I1483" s="10">
        <v>45609</v>
      </c>
    </row>
    <row r="1484" spans="1:9" x14ac:dyDescent="0.15">
      <c r="A1484" s="9">
        <v>1483</v>
      </c>
      <c r="B1484" s="9" t="s">
        <v>9</v>
      </c>
      <c r="C1484" s="9">
        <v>1923</v>
      </c>
      <c r="D1484" s="10">
        <v>45701</v>
      </c>
      <c r="E1484" s="13" t="str">
        <f>+HYPERLINK("http://trademark.i-assist.jp/data/china/image_1923th/81951936.pdf","81951936")</f>
        <v>81951936</v>
      </c>
      <c r="F1484" s="9" t="s">
        <v>4086</v>
      </c>
      <c r="G1484" s="9" t="s">
        <v>4087</v>
      </c>
      <c r="H1484" s="9" t="s">
        <v>4088</v>
      </c>
      <c r="I1484" s="10">
        <v>45609</v>
      </c>
    </row>
    <row r="1485" spans="1:9" x14ac:dyDescent="0.15">
      <c r="A1485" s="9">
        <v>1484</v>
      </c>
      <c r="B1485" s="9" t="s">
        <v>9</v>
      </c>
      <c r="C1485" s="9">
        <v>1923</v>
      </c>
      <c r="D1485" s="10">
        <v>45701</v>
      </c>
      <c r="E1485" s="13" t="str">
        <f>+HYPERLINK("http://trademark.i-assist.jp/data/china/image_1923th/81952091.pdf","81952091")</f>
        <v>81952091</v>
      </c>
      <c r="F1485" s="9" t="s">
        <v>4089</v>
      </c>
      <c r="G1485" s="11" t="s">
        <v>4090</v>
      </c>
      <c r="H1485" s="9" t="s">
        <v>4091</v>
      </c>
      <c r="I1485" s="10">
        <v>45609</v>
      </c>
    </row>
    <row r="1486" spans="1:9" x14ac:dyDescent="0.15">
      <c r="A1486" s="9">
        <v>1485</v>
      </c>
      <c r="B1486" s="9" t="s">
        <v>9</v>
      </c>
      <c r="C1486" s="9">
        <v>1923</v>
      </c>
      <c r="D1486" s="10">
        <v>45701</v>
      </c>
      <c r="E1486" s="13" t="str">
        <f>+HYPERLINK("http://trademark.i-assist.jp/data/china/image_1923th/81952245.pdf","81952245")</f>
        <v>81952245</v>
      </c>
      <c r="F1486" s="11" t="s">
        <v>4092</v>
      </c>
      <c r="G1486" s="9" t="s">
        <v>3797</v>
      </c>
      <c r="H1486" s="9" t="s">
        <v>4093</v>
      </c>
      <c r="I1486" s="10">
        <v>45609</v>
      </c>
    </row>
    <row r="1487" spans="1:9" x14ac:dyDescent="0.15">
      <c r="A1487" s="9">
        <v>1486</v>
      </c>
      <c r="B1487" s="9" t="s">
        <v>9</v>
      </c>
      <c r="C1487" s="9">
        <v>1923</v>
      </c>
      <c r="D1487" s="10">
        <v>45701</v>
      </c>
      <c r="E1487" s="13" t="str">
        <f>+HYPERLINK("http://trademark.i-assist.jp/data/china/image_1923th/81952296.pdf","81952296")</f>
        <v>81952296</v>
      </c>
      <c r="F1487" s="11" t="s">
        <v>4094</v>
      </c>
      <c r="G1487" s="11" t="s">
        <v>4095</v>
      </c>
      <c r="H1487" s="9" t="s">
        <v>4096</v>
      </c>
      <c r="I1487" s="10">
        <v>45609</v>
      </c>
    </row>
    <row r="1488" spans="1:9" x14ac:dyDescent="0.15">
      <c r="A1488" s="9">
        <v>1487</v>
      </c>
      <c r="B1488" s="9" t="s">
        <v>9</v>
      </c>
      <c r="C1488" s="9">
        <v>1923</v>
      </c>
      <c r="D1488" s="10">
        <v>45701</v>
      </c>
      <c r="E1488" s="13" t="str">
        <f>+HYPERLINK("http://trademark.i-assist.jp/data/china/image_1923th/81952378.pdf","81952378")</f>
        <v>81952378</v>
      </c>
      <c r="F1488" s="11" t="s">
        <v>4097</v>
      </c>
      <c r="G1488" s="11" t="s">
        <v>3992</v>
      </c>
      <c r="H1488" s="9" t="s">
        <v>4098</v>
      </c>
      <c r="I1488" s="10">
        <v>45609</v>
      </c>
    </row>
    <row r="1489" spans="1:9" x14ac:dyDescent="0.15">
      <c r="A1489" s="9">
        <v>1488</v>
      </c>
      <c r="B1489" s="9" t="s">
        <v>9</v>
      </c>
      <c r="C1489" s="9">
        <v>1923</v>
      </c>
      <c r="D1489" s="10">
        <v>45701</v>
      </c>
      <c r="E1489" s="13" t="str">
        <f>+HYPERLINK("http://trademark.i-assist.jp/data/china/image_1923th/81952688.pdf","81952688")</f>
        <v>81952688</v>
      </c>
      <c r="F1489" s="9" t="s">
        <v>4099</v>
      </c>
      <c r="G1489" s="9" t="s">
        <v>4100</v>
      </c>
      <c r="H1489" s="9" t="s">
        <v>4101</v>
      </c>
      <c r="I1489" s="10">
        <v>45609</v>
      </c>
    </row>
    <row r="1490" spans="1:9" x14ac:dyDescent="0.15">
      <c r="A1490" s="9">
        <v>1489</v>
      </c>
      <c r="B1490" s="9" t="s">
        <v>9</v>
      </c>
      <c r="C1490" s="9">
        <v>1923</v>
      </c>
      <c r="D1490" s="10">
        <v>45701</v>
      </c>
      <c r="E1490" s="13" t="str">
        <f>+HYPERLINK("http://trademark.i-assist.jp/data/china/image_1923th/81952692.pdf","81952692")</f>
        <v>81952692</v>
      </c>
      <c r="F1490" s="9" t="s">
        <v>4102</v>
      </c>
      <c r="G1490" s="9" t="s">
        <v>4103</v>
      </c>
      <c r="H1490" s="9" t="s">
        <v>4104</v>
      </c>
      <c r="I1490" s="10">
        <v>45609</v>
      </c>
    </row>
    <row r="1491" spans="1:9" x14ac:dyDescent="0.15">
      <c r="A1491" s="9">
        <v>1490</v>
      </c>
      <c r="B1491" s="9" t="s">
        <v>9</v>
      </c>
      <c r="C1491" s="9">
        <v>1923</v>
      </c>
      <c r="D1491" s="10">
        <v>45701</v>
      </c>
      <c r="E1491" s="13" t="str">
        <f>+HYPERLINK("http://trademark.i-assist.jp/data/china/image_1923th/81952695.pdf","81952695")</f>
        <v>81952695</v>
      </c>
      <c r="F1491" s="9" t="s">
        <v>4105</v>
      </c>
      <c r="G1491" s="9" t="s">
        <v>3760</v>
      </c>
      <c r="H1491" s="9" t="s">
        <v>4106</v>
      </c>
      <c r="I1491" s="10">
        <v>45609</v>
      </c>
    </row>
    <row r="1492" spans="1:9" x14ac:dyDescent="0.15">
      <c r="A1492" s="9">
        <v>1491</v>
      </c>
      <c r="B1492" s="9" t="s">
        <v>9</v>
      </c>
      <c r="C1492" s="9">
        <v>1923</v>
      </c>
      <c r="D1492" s="10">
        <v>45701</v>
      </c>
      <c r="E1492" s="13" t="str">
        <f>+HYPERLINK("http://trademark.i-assist.jp/data/china/image_1923th/81953092.pdf","81953092")</f>
        <v>81953092</v>
      </c>
      <c r="F1492" s="9" t="s">
        <v>4107</v>
      </c>
      <c r="G1492" s="11" t="s">
        <v>4108</v>
      </c>
      <c r="H1492" s="9" t="s">
        <v>4109</v>
      </c>
      <c r="I1492" s="10">
        <v>45609</v>
      </c>
    </row>
    <row r="1493" spans="1:9" x14ac:dyDescent="0.15">
      <c r="A1493" s="9">
        <v>1492</v>
      </c>
      <c r="B1493" s="9" t="s">
        <v>9</v>
      </c>
      <c r="C1493" s="9">
        <v>1923</v>
      </c>
      <c r="D1493" s="10">
        <v>45701</v>
      </c>
      <c r="E1493" s="13" t="str">
        <f>+HYPERLINK("http://trademark.i-assist.jp/data/china/image_1923th/81953262.pdf","81953262")</f>
        <v>81953262</v>
      </c>
      <c r="F1493" s="9" t="s">
        <v>4110</v>
      </c>
      <c r="G1493" s="9" t="s">
        <v>3742</v>
      </c>
      <c r="H1493" s="9" t="s">
        <v>4111</v>
      </c>
      <c r="I1493" s="10">
        <v>45609</v>
      </c>
    </row>
    <row r="1494" spans="1:9" x14ac:dyDescent="0.15">
      <c r="A1494" s="9">
        <v>1493</v>
      </c>
      <c r="B1494" s="9" t="s">
        <v>9</v>
      </c>
      <c r="C1494" s="9">
        <v>1923</v>
      </c>
      <c r="D1494" s="10">
        <v>45701</v>
      </c>
      <c r="E1494" s="13" t="str">
        <f>+HYPERLINK("http://trademark.i-assist.jp/data/china/image_1923th/81953269.pdf","81953269")</f>
        <v>81953269</v>
      </c>
      <c r="F1494" s="9" t="s">
        <v>4112</v>
      </c>
      <c r="G1494" s="11" t="s">
        <v>4113</v>
      </c>
      <c r="H1494" s="9" t="s">
        <v>4114</v>
      </c>
      <c r="I1494" s="10">
        <v>45609</v>
      </c>
    </row>
    <row r="1495" spans="1:9" x14ac:dyDescent="0.15">
      <c r="A1495" s="9">
        <v>1494</v>
      </c>
      <c r="B1495" s="9" t="s">
        <v>9</v>
      </c>
      <c r="C1495" s="9">
        <v>1923</v>
      </c>
      <c r="D1495" s="10">
        <v>45701</v>
      </c>
      <c r="E1495" s="13" t="str">
        <f>+HYPERLINK("http://trademark.i-assist.jp/data/china/image_1923th/81953486.pdf","81953486")</f>
        <v>81953486</v>
      </c>
      <c r="F1495" s="11" t="s">
        <v>126</v>
      </c>
      <c r="G1495" s="9" t="s">
        <v>4115</v>
      </c>
      <c r="H1495" s="9" t="s">
        <v>4116</v>
      </c>
      <c r="I1495" s="10">
        <v>45609</v>
      </c>
    </row>
    <row r="1496" spans="1:9" x14ac:dyDescent="0.15">
      <c r="A1496" s="9">
        <v>1495</v>
      </c>
      <c r="B1496" s="9" t="s">
        <v>9</v>
      </c>
      <c r="C1496" s="9">
        <v>1923</v>
      </c>
      <c r="D1496" s="10">
        <v>45701</v>
      </c>
      <c r="E1496" s="13" t="str">
        <f>+HYPERLINK("http://trademark.i-assist.jp/data/china/image_1923th/81953738.pdf","81953738")</f>
        <v>81953738</v>
      </c>
      <c r="F1496" s="9" t="s">
        <v>4117</v>
      </c>
      <c r="G1496" s="12" t="s">
        <v>4118</v>
      </c>
      <c r="H1496" s="11" t="s">
        <v>4119</v>
      </c>
      <c r="I1496" s="10">
        <v>45609</v>
      </c>
    </row>
    <row r="1497" spans="1:9" x14ac:dyDescent="0.15">
      <c r="A1497" s="9">
        <v>1496</v>
      </c>
      <c r="B1497" s="9" t="s">
        <v>9</v>
      </c>
      <c r="C1497" s="9">
        <v>1923</v>
      </c>
      <c r="D1497" s="10">
        <v>45701</v>
      </c>
      <c r="E1497" s="13" t="str">
        <f>+HYPERLINK("http://trademark.i-assist.jp/data/china/image_1923th/81954004.pdf","81954004")</f>
        <v>81954004</v>
      </c>
      <c r="F1497" s="9" t="s">
        <v>4120</v>
      </c>
      <c r="G1497" s="11" t="s">
        <v>4121</v>
      </c>
      <c r="H1497" s="11" t="s">
        <v>4122</v>
      </c>
      <c r="I1497" s="10">
        <v>45609</v>
      </c>
    </row>
    <row r="1498" spans="1:9" x14ac:dyDescent="0.15">
      <c r="A1498" s="9">
        <v>1497</v>
      </c>
      <c r="B1498" s="9" t="s">
        <v>9</v>
      </c>
      <c r="C1498" s="9">
        <v>1923</v>
      </c>
      <c r="D1498" s="10">
        <v>45701</v>
      </c>
      <c r="E1498" s="13" t="str">
        <f>+HYPERLINK("http://trademark.i-assist.jp/data/china/image_1923th/81954025.pdf","81954025")</f>
        <v>81954025</v>
      </c>
      <c r="F1498" s="9" t="s">
        <v>4123</v>
      </c>
      <c r="G1498" s="9" t="s">
        <v>4124</v>
      </c>
      <c r="H1498" s="9" t="s">
        <v>4125</v>
      </c>
      <c r="I1498" s="10">
        <v>45609</v>
      </c>
    </row>
    <row r="1499" spans="1:9" x14ac:dyDescent="0.15">
      <c r="A1499" s="9">
        <v>1498</v>
      </c>
      <c r="B1499" s="9" t="s">
        <v>9</v>
      </c>
      <c r="C1499" s="9">
        <v>1923</v>
      </c>
      <c r="D1499" s="10">
        <v>45701</v>
      </c>
      <c r="E1499" s="13" t="str">
        <f>+HYPERLINK("http://trademark.i-assist.jp/data/china/image_1923th/81954132.pdf","81954132")</f>
        <v>81954132</v>
      </c>
      <c r="F1499" s="9" t="s">
        <v>4126</v>
      </c>
      <c r="G1499" s="9" t="s">
        <v>19</v>
      </c>
      <c r="H1499" s="9" t="s">
        <v>4127</v>
      </c>
      <c r="I1499" s="10">
        <v>45609</v>
      </c>
    </row>
    <row r="1500" spans="1:9" x14ac:dyDescent="0.15">
      <c r="A1500" s="9">
        <v>1499</v>
      </c>
      <c r="B1500" s="9" t="s">
        <v>9</v>
      </c>
      <c r="C1500" s="9">
        <v>1923</v>
      </c>
      <c r="D1500" s="10">
        <v>45701</v>
      </c>
      <c r="E1500" s="13" t="str">
        <f>+HYPERLINK("http://trademark.i-assist.jp/data/china/image_1923th/81954195.pdf","81954195")</f>
        <v>81954195</v>
      </c>
      <c r="F1500" s="11" t="s">
        <v>4128</v>
      </c>
      <c r="G1500" s="9" t="s">
        <v>4129</v>
      </c>
      <c r="H1500" s="9" t="s">
        <v>4130</v>
      </c>
      <c r="I1500" s="10">
        <v>45610</v>
      </c>
    </row>
    <row r="1501" spans="1:9" x14ac:dyDescent="0.15">
      <c r="A1501" s="9">
        <v>1500</v>
      </c>
      <c r="B1501" s="9" t="s">
        <v>9</v>
      </c>
      <c r="C1501" s="9">
        <v>1923</v>
      </c>
      <c r="D1501" s="10">
        <v>45701</v>
      </c>
      <c r="E1501" s="13" t="str">
        <f>+HYPERLINK("http://trademark.i-assist.jp/data/china/image_1923th/81954204.pdf","81954204")</f>
        <v>81954204</v>
      </c>
      <c r="F1501" s="9" t="s">
        <v>4131</v>
      </c>
      <c r="G1501" s="9" t="s">
        <v>4132</v>
      </c>
      <c r="H1501" s="11" t="s">
        <v>4133</v>
      </c>
      <c r="I1501" s="10">
        <v>45610</v>
      </c>
    </row>
    <row r="1502" spans="1:9" x14ac:dyDescent="0.15">
      <c r="A1502" s="9">
        <v>1501</v>
      </c>
      <c r="B1502" s="9" t="s">
        <v>9</v>
      </c>
      <c r="C1502" s="9">
        <v>1923</v>
      </c>
      <c r="D1502" s="10">
        <v>45701</v>
      </c>
      <c r="E1502" s="13" t="str">
        <f>+HYPERLINK("http://trademark.i-assist.jp/data/china/image_1923th/81954462.pdf","81954462")</f>
        <v>81954462</v>
      </c>
      <c r="F1502" s="9" t="s">
        <v>4134</v>
      </c>
      <c r="G1502" s="9" t="s">
        <v>4135</v>
      </c>
      <c r="H1502" s="9" t="s">
        <v>4136</v>
      </c>
      <c r="I1502" s="10">
        <v>45610</v>
      </c>
    </row>
    <row r="1503" spans="1:9" x14ac:dyDescent="0.15">
      <c r="A1503" s="9">
        <v>1502</v>
      </c>
      <c r="B1503" s="9" t="s">
        <v>9</v>
      </c>
      <c r="C1503" s="9">
        <v>1923</v>
      </c>
      <c r="D1503" s="10">
        <v>45701</v>
      </c>
      <c r="E1503" s="13" t="str">
        <f>+HYPERLINK("http://trademark.i-assist.jp/data/china/image_1923th/81954701.pdf","81954701")</f>
        <v>81954701</v>
      </c>
      <c r="F1503" s="9" t="s">
        <v>4137</v>
      </c>
      <c r="G1503" s="9" t="s">
        <v>4138</v>
      </c>
      <c r="H1503" s="9" t="s">
        <v>4139</v>
      </c>
      <c r="I1503" s="10">
        <v>45610</v>
      </c>
    </row>
    <row r="1504" spans="1:9" x14ac:dyDescent="0.15">
      <c r="A1504" s="9">
        <v>1503</v>
      </c>
      <c r="B1504" s="9" t="s">
        <v>9</v>
      </c>
      <c r="C1504" s="9">
        <v>1923</v>
      </c>
      <c r="D1504" s="10">
        <v>45701</v>
      </c>
      <c r="E1504" s="13" t="str">
        <f>+HYPERLINK("http://trademark.i-assist.jp/data/china/image_1923th/81954781.pdf","81954781")</f>
        <v>81954781</v>
      </c>
      <c r="F1504" s="9" t="s">
        <v>4140</v>
      </c>
      <c r="G1504" s="9" t="s">
        <v>4141</v>
      </c>
      <c r="H1504" s="9" t="s">
        <v>4142</v>
      </c>
      <c r="I1504" s="10">
        <v>45610</v>
      </c>
    </row>
    <row r="1505" spans="1:9" x14ac:dyDescent="0.15">
      <c r="A1505" s="9">
        <v>1504</v>
      </c>
      <c r="B1505" s="9" t="s">
        <v>9</v>
      </c>
      <c r="C1505" s="9">
        <v>1923</v>
      </c>
      <c r="D1505" s="10">
        <v>45701</v>
      </c>
      <c r="E1505" s="13" t="str">
        <f>+HYPERLINK("http://trademark.i-assist.jp/data/china/image_1923th/81954831.pdf","81954831")</f>
        <v>81954831</v>
      </c>
      <c r="F1505" s="9" t="s">
        <v>4143</v>
      </c>
      <c r="G1505" s="9" t="s">
        <v>4144</v>
      </c>
      <c r="H1505" s="9" t="s">
        <v>4145</v>
      </c>
      <c r="I1505" s="10">
        <v>45610</v>
      </c>
    </row>
    <row r="1506" spans="1:9" x14ac:dyDescent="0.15">
      <c r="A1506" s="9">
        <v>1505</v>
      </c>
      <c r="B1506" s="9" t="s">
        <v>9</v>
      </c>
      <c r="C1506" s="9">
        <v>1923</v>
      </c>
      <c r="D1506" s="10">
        <v>45701</v>
      </c>
      <c r="E1506" s="13" t="str">
        <f>+HYPERLINK("http://trademark.i-assist.jp/data/china/image_1923th/81954925.pdf","81954925")</f>
        <v>81954925</v>
      </c>
      <c r="F1506" s="9" t="s">
        <v>4146</v>
      </c>
      <c r="G1506" s="9" t="s">
        <v>4147</v>
      </c>
      <c r="H1506" s="11" t="s">
        <v>4148</v>
      </c>
      <c r="I1506" s="10">
        <v>45610</v>
      </c>
    </row>
    <row r="1507" spans="1:9" x14ac:dyDescent="0.15">
      <c r="A1507" s="9">
        <v>1506</v>
      </c>
      <c r="B1507" s="9" t="s">
        <v>9</v>
      </c>
      <c r="C1507" s="9">
        <v>1923</v>
      </c>
      <c r="D1507" s="10">
        <v>45701</v>
      </c>
      <c r="E1507" s="13" t="str">
        <f>+HYPERLINK("http://trademark.i-assist.jp/data/china/image_1923th/81955110.pdf","81955110")</f>
        <v>81955110</v>
      </c>
      <c r="F1507" s="11" t="s">
        <v>4149</v>
      </c>
      <c r="G1507" s="9" t="s">
        <v>4150</v>
      </c>
      <c r="H1507" s="9" t="s">
        <v>4151</v>
      </c>
      <c r="I1507" s="10">
        <v>45610</v>
      </c>
    </row>
    <row r="1508" spans="1:9" x14ac:dyDescent="0.15">
      <c r="A1508" s="9">
        <v>1507</v>
      </c>
      <c r="B1508" s="9" t="s">
        <v>9</v>
      </c>
      <c r="C1508" s="9">
        <v>1923</v>
      </c>
      <c r="D1508" s="10">
        <v>45701</v>
      </c>
      <c r="E1508" s="13" t="str">
        <f>+HYPERLINK("http://trademark.i-assist.jp/data/china/image_1923th/81955207.pdf","81955207")</f>
        <v>81955207</v>
      </c>
      <c r="F1508" s="9" t="s">
        <v>4152</v>
      </c>
      <c r="G1508" s="11" t="s">
        <v>4153</v>
      </c>
      <c r="H1508" s="11" t="s">
        <v>4154</v>
      </c>
      <c r="I1508" s="10">
        <v>45610</v>
      </c>
    </row>
    <row r="1509" spans="1:9" x14ac:dyDescent="0.15">
      <c r="A1509" s="9">
        <v>1508</v>
      </c>
      <c r="B1509" s="9" t="s">
        <v>9</v>
      </c>
      <c r="C1509" s="9">
        <v>1923</v>
      </c>
      <c r="D1509" s="10">
        <v>45701</v>
      </c>
      <c r="E1509" s="13" t="str">
        <f>+HYPERLINK("http://trademark.i-assist.jp/data/china/image_1923th/81955413.pdf","81955413")</f>
        <v>81955413</v>
      </c>
      <c r="F1509" s="9" t="s">
        <v>4155</v>
      </c>
      <c r="G1509" s="11" t="s">
        <v>4156</v>
      </c>
      <c r="H1509" s="9" t="s">
        <v>4157</v>
      </c>
      <c r="I1509" s="10">
        <v>45610</v>
      </c>
    </row>
    <row r="1510" spans="1:9" x14ac:dyDescent="0.15">
      <c r="A1510" s="9">
        <v>1509</v>
      </c>
      <c r="B1510" s="9" t="s">
        <v>9</v>
      </c>
      <c r="C1510" s="9">
        <v>1923</v>
      </c>
      <c r="D1510" s="10">
        <v>45701</v>
      </c>
      <c r="E1510" s="13" t="str">
        <f>+HYPERLINK("http://trademark.i-assist.jp/data/china/image_1923th/81955801.pdf","81955801")</f>
        <v>81955801</v>
      </c>
      <c r="F1510" s="9" t="s">
        <v>4158</v>
      </c>
      <c r="G1510" s="9" t="s">
        <v>4159</v>
      </c>
      <c r="H1510" s="9" t="s">
        <v>4160</v>
      </c>
      <c r="I1510" s="10">
        <v>45610</v>
      </c>
    </row>
    <row r="1511" spans="1:9" x14ac:dyDescent="0.15">
      <c r="A1511" s="9">
        <v>1510</v>
      </c>
      <c r="B1511" s="9" t="s">
        <v>9</v>
      </c>
      <c r="C1511" s="9">
        <v>1923</v>
      </c>
      <c r="D1511" s="10">
        <v>45701</v>
      </c>
      <c r="E1511" s="13" t="str">
        <f>+HYPERLINK("http://trademark.i-assist.jp/data/china/image_1923th/81955836.pdf","81955836")</f>
        <v>81955836</v>
      </c>
      <c r="F1511" s="9" t="s">
        <v>4161</v>
      </c>
      <c r="G1511" s="9" t="s">
        <v>4159</v>
      </c>
      <c r="H1511" s="9" t="s">
        <v>4162</v>
      </c>
      <c r="I1511" s="10">
        <v>45610</v>
      </c>
    </row>
    <row r="1512" spans="1:9" x14ac:dyDescent="0.15">
      <c r="A1512" s="9">
        <v>1511</v>
      </c>
      <c r="B1512" s="9" t="s">
        <v>9</v>
      </c>
      <c r="C1512" s="9">
        <v>1923</v>
      </c>
      <c r="D1512" s="10">
        <v>45701</v>
      </c>
      <c r="E1512" s="13" t="str">
        <f>+HYPERLINK("http://trademark.i-assist.jp/data/china/image_1923th/81956077.pdf","81956077")</f>
        <v>81956077</v>
      </c>
      <c r="F1512" s="9" t="s">
        <v>4163</v>
      </c>
      <c r="G1512" s="9" t="s">
        <v>1068</v>
      </c>
      <c r="H1512" s="9" t="s">
        <v>4164</v>
      </c>
      <c r="I1512" s="10">
        <v>45610</v>
      </c>
    </row>
    <row r="1513" spans="1:9" x14ac:dyDescent="0.15">
      <c r="A1513" s="9">
        <v>1512</v>
      </c>
      <c r="B1513" s="9" t="s">
        <v>9</v>
      </c>
      <c r="C1513" s="9">
        <v>1923</v>
      </c>
      <c r="D1513" s="10">
        <v>45701</v>
      </c>
      <c r="E1513" s="13" t="str">
        <f>+HYPERLINK("http://trademark.i-assist.jp/data/china/image_1923th/81956087.pdf","81956087")</f>
        <v>81956087</v>
      </c>
      <c r="F1513" s="11" t="s">
        <v>4165</v>
      </c>
      <c r="G1513" s="9" t="s">
        <v>4166</v>
      </c>
      <c r="H1513" s="9" t="s">
        <v>4167</v>
      </c>
      <c r="I1513" s="10">
        <v>45610</v>
      </c>
    </row>
    <row r="1514" spans="1:9" x14ac:dyDescent="0.15">
      <c r="A1514" s="9">
        <v>1513</v>
      </c>
      <c r="B1514" s="9" t="s">
        <v>9</v>
      </c>
      <c r="C1514" s="9">
        <v>1923</v>
      </c>
      <c r="D1514" s="10">
        <v>45701</v>
      </c>
      <c r="E1514" s="13" t="str">
        <f>+HYPERLINK("http://trademark.i-assist.jp/data/china/image_1923th/81956138.pdf","81956138")</f>
        <v>81956138</v>
      </c>
      <c r="F1514" s="9" t="s">
        <v>4168</v>
      </c>
      <c r="G1514" s="9" t="s">
        <v>4169</v>
      </c>
      <c r="H1514" s="9" t="s">
        <v>4170</v>
      </c>
      <c r="I1514" s="10">
        <v>45610</v>
      </c>
    </row>
    <row r="1515" spans="1:9" x14ac:dyDescent="0.15">
      <c r="A1515" s="9">
        <v>1514</v>
      </c>
      <c r="B1515" s="9" t="s">
        <v>9</v>
      </c>
      <c r="C1515" s="9">
        <v>1923</v>
      </c>
      <c r="D1515" s="10">
        <v>45701</v>
      </c>
      <c r="E1515" s="13" t="str">
        <f>+HYPERLINK("http://trademark.i-assist.jp/data/china/image_1923th/81956174.pdf","81956174")</f>
        <v>81956174</v>
      </c>
      <c r="F1515" s="11" t="s">
        <v>4171</v>
      </c>
      <c r="G1515" s="11" t="s">
        <v>4172</v>
      </c>
      <c r="H1515" s="9" t="s">
        <v>4173</v>
      </c>
      <c r="I1515" s="10">
        <v>45610</v>
      </c>
    </row>
    <row r="1516" spans="1:9" x14ac:dyDescent="0.15">
      <c r="A1516" s="9">
        <v>1515</v>
      </c>
      <c r="B1516" s="9" t="s">
        <v>9</v>
      </c>
      <c r="C1516" s="9">
        <v>1923</v>
      </c>
      <c r="D1516" s="10">
        <v>45701</v>
      </c>
      <c r="E1516" s="13" t="str">
        <f>+HYPERLINK("http://trademark.i-assist.jp/data/china/image_1923th/81956229.pdf","81956229")</f>
        <v>81956229</v>
      </c>
      <c r="F1516" s="11" t="s">
        <v>4174</v>
      </c>
      <c r="G1516" s="9" t="s">
        <v>4175</v>
      </c>
      <c r="H1516" s="9" t="s">
        <v>4176</v>
      </c>
      <c r="I1516" s="10">
        <v>45610</v>
      </c>
    </row>
    <row r="1517" spans="1:9" x14ac:dyDescent="0.15">
      <c r="A1517" s="9">
        <v>1516</v>
      </c>
      <c r="B1517" s="9" t="s">
        <v>9</v>
      </c>
      <c r="C1517" s="9">
        <v>1923</v>
      </c>
      <c r="D1517" s="10">
        <v>45701</v>
      </c>
      <c r="E1517" s="13" t="str">
        <f>+HYPERLINK("http://trademark.i-assist.jp/data/china/image_1923th/81956247.pdf","81956247")</f>
        <v>81956247</v>
      </c>
      <c r="F1517" s="9" t="s">
        <v>4177</v>
      </c>
      <c r="G1517" s="11" t="s">
        <v>4178</v>
      </c>
      <c r="H1517" s="11" t="s">
        <v>4179</v>
      </c>
      <c r="I1517" s="10">
        <v>45610</v>
      </c>
    </row>
    <row r="1518" spans="1:9" x14ac:dyDescent="0.15">
      <c r="A1518" s="9">
        <v>1517</v>
      </c>
      <c r="B1518" s="9" t="s">
        <v>9</v>
      </c>
      <c r="C1518" s="9">
        <v>1923</v>
      </c>
      <c r="D1518" s="10">
        <v>45701</v>
      </c>
      <c r="E1518" s="13" t="str">
        <f>+HYPERLINK("http://trademark.i-assist.jp/data/china/image_1923th/81956252.pdf","81956252")</f>
        <v>81956252</v>
      </c>
      <c r="F1518" s="9" t="s">
        <v>4180</v>
      </c>
      <c r="G1518" s="9" t="s">
        <v>4181</v>
      </c>
      <c r="H1518" s="9" t="s">
        <v>4182</v>
      </c>
      <c r="I1518" s="10">
        <v>45610</v>
      </c>
    </row>
    <row r="1519" spans="1:9" x14ac:dyDescent="0.15">
      <c r="A1519" s="9">
        <v>1518</v>
      </c>
      <c r="B1519" s="9" t="s">
        <v>9</v>
      </c>
      <c r="C1519" s="9">
        <v>1923</v>
      </c>
      <c r="D1519" s="10">
        <v>45701</v>
      </c>
      <c r="E1519" s="13" t="str">
        <f>+HYPERLINK("http://trademark.i-assist.jp/data/china/image_1923th/81956557.pdf","81956557")</f>
        <v>81956557</v>
      </c>
      <c r="F1519" s="9" t="s">
        <v>4183</v>
      </c>
      <c r="G1519" s="11" t="s">
        <v>4184</v>
      </c>
      <c r="H1519" s="9" t="s">
        <v>4185</v>
      </c>
      <c r="I1519" s="10">
        <v>45610</v>
      </c>
    </row>
    <row r="1520" spans="1:9" x14ac:dyDescent="0.15">
      <c r="A1520" s="9">
        <v>1519</v>
      </c>
      <c r="B1520" s="9" t="s">
        <v>9</v>
      </c>
      <c r="C1520" s="9">
        <v>1923</v>
      </c>
      <c r="D1520" s="10">
        <v>45701</v>
      </c>
      <c r="E1520" s="13" t="str">
        <f>+HYPERLINK("http://trademark.i-assist.jp/data/china/image_1923th/81956582.pdf","81956582")</f>
        <v>81956582</v>
      </c>
      <c r="F1520" s="9" t="s">
        <v>4186</v>
      </c>
      <c r="G1520" s="9" t="s">
        <v>4187</v>
      </c>
      <c r="H1520" s="9" t="s">
        <v>4188</v>
      </c>
      <c r="I1520" s="10">
        <v>45610</v>
      </c>
    </row>
    <row r="1521" spans="1:9" x14ac:dyDescent="0.15">
      <c r="A1521" s="9">
        <v>1520</v>
      </c>
      <c r="B1521" s="9" t="s">
        <v>9</v>
      </c>
      <c r="C1521" s="9">
        <v>1923</v>
      </c>
      <c r="D1521" s="10">
        <v>45701</v>
      </c>
      <c r="E1521" s="13" t="str">
        <f>+HYPERLINK("http://trademark.i-assist.jp/data/china/image_1923th/81956741.pdf","81956741")</f>
        <v>81956741</v>
      </c>
      <c r="F1521" s="11" t="s">
        <v>4189</v>
      </c>
      <c r="G1521" s="9" t="s">
        <v>4190</v>
      </c>
      <c r="H1521" s="9" t="s">
        <v>4191</v>
      </c>
      <c r="I1521" s="10">
        <v>45610</v>
      </c>
    </row>
    <row r="1522" spans="1:9" x14ac:dyDescent="0.15">
      <c r="A1522" s="9">
        <v>1521</v>
      </c>
      <c r="B1522" s="9" t="s">
        <v>9</v>
      </c>
      <c r="C1522" s="9">
        <v>1923</v>
      </c>
      <c r="D1522" s="10">
        <v>45701</v>
      </c>
      <c r="E1522" s="13" t="str">
        <f>+HYPERLINK("http://trademark.i-assist.jp/data/china/image_1923th/81956792.pdf","81956792")</f>
        <v>81956792</v>
      </c>
      <c r="F1522" s="11" t="s">
        <v>4192</v>
      </c>
      <c r="G1522" s="11" t="s">
        <v>4193</v>
      </c>
      <c r="H1522" s="9" t="s">
        <v>4194</v>
      </c>
      <c r="I1522" s="10">
        <v>45610</v>
      </c>
    </row>
    <row r="1523" spans="1:9" x14ac:dyDescent="0.15">
      <c r="A1523" s="9">
        <v>1522</v>
      </c>
      <c r="B1523" s="9" t="s">
        <v>9</v>
      </c>
      <c r="C1523" s="9">
        <v>1923</v>
      </c>
      <c r="D1523" s="10">
        <v>45701</v>
      </c>
      <c r="E1523" s="13" t="str">
        <f>+HYPERLINK("http://trademark.i-assist.jp/data/china/image_1923th/81956806.pdf","81956806")</f>
        <v>81956806</v>
      </c>
      <c r="F1523" s="11" t="s">
        <v>4195</v>
      </c>
      <c r="G1523" s="9" t="s">
        <v>4196</v>
      </c>
      <c r="H1523" s="11" t="s">
        <v>4197</v>
      </c>
      <c r="I1523" s="10">
        <v>45610</v>
      </c>
    </row>
    <row r="1524" spans="1:9" x14ac:dyDescent="0.15">
      <c r="A1524" s="9">
        <v>1523</v>
      </c>
      <c r="B1524" s="9" t="s">
        <v>9</v>
      </c>
      <c r="C1524" s="9">
        <v>1923</v>
      </c>
      <c r="D1524" s="10">
        <v>45701</v>
      </c>
      <c r="E1524" s="13" t="str">
        <f>+HYPERLINK("http://trademark.i-assist.jp/data/china/image_1923th/81957241.pdf","81957241")</f>
        <v>81957241</v>
      </c>
      <c r="F1524" s="9" t="s">
        <v>4198</v>
      </c>
      <c r="G1524" s="9" t="s">
        <v>4199</v>
      </c>
      <c r="H1524" s="9" t="s">
        <v>4200</v>
      </c>
      <c r="I1524" s="10">
        <v>45610</v>
      </c>
    </row>
    <row r="1525" spans="1:9" x14ac:dyDescent="0.15">
      <c r="A1525" s="9">
        <v>1524</v>
      </c>
      <c r="B1525" s="9" t="s">
        <v>9</v>
      </c>
      <c r="C1525" s="9">
        <v>1923</v>
      </c>
      <c r="D1525" s="10">
        <v>45701</v>
      </c>
      <c r="E1525" s="13" t="str">
        <f>+HYPERLINK("http://trademark.i-assist.jp/data/china/image_1923th/81957298.pdf","81957298")</f>
        <v>81957298</v>
      </c>
      <c r="F1525" s="11" t="s">
        <v>4201</v>
      </c>
      <c r="G1525" s="11" t="s">
        <v>4202</v>
      </c>
      <c r="H1525" s="11" t="s">
        <v>4203</v>
      </c>
      <c r="I1525" s="10">
        <v>45610</v>
      </c>
    </row>
    <row r="1526" spans="1:9" x14ac:dyDescent="0.15">
      <c r="A1526" s="9">
        <v>1525</v>
      </c>
      <c r="B1526" s="9" t="s">
        <v>9</v>
      </c>
      <c r="C1526" s="9">
        <v>1923</v>
      </c>
      <c r="D1526" s="10">
        <v>45701</v>
      </c>
      <c r="E1526" s="13" t="str">
        <f>+HYPERLINK("http://trademark.i-assist.jp/data/china/image_1923th/81957562.pdf","81957562")</f>
        <v>81957562</v>
      </c>
      <c r="F1526" s="9" t="s">
        <v>4204</v>
      </c>
      <c r="G1526" s="9" t="s">
        <v>4205</v>
      </c>
      <c r="H1526" s="9" t="s">
        <v>4206</v>
      </c>
      <c r="I1526" s="10">
        <v>45610</v>
      </c>
    </row>
    <row r="1527" spans="1:9" x14ac:dyDescent="0.15">
      <c r="A1527" s="9">
        <v>1526</v>
      </c>
      <c r="B1527" s="9" t="s">
        <v>9</v>
      </c>
      <c r="C1527" s="9">
        <v>1923</v>
      </c>
      <c r="D1527" s="10">
        <v>45701</v>
      </c>
      <c r="E1527" s="13" t="str">
        <f>+HYPERLINK("http://trademark.i-assist.jp/data/china/image_1923th/81957565.pdf","81957565")</f>
        <v>81957565</v>
      </c>
      <c r="F1527" s="9" t="s">
        <v>4207</v>
      </c>
      <c r="G1527" s="9" t="s">
        <v>4208</v>
      </c>
      <c r="H1527" s="9" t="s">
        <v>11</v>
      </c>
      <c r="I1527" s="10">
        <v>45610</v>
      </c>
    </row>
    <row r="1528" spans="1:9" x14ac:dyDescent="0.15">
      <c r="A1528" s="9">
        <v>1527</v>
      </c>
      <c r="B1528" s="9" t="s">
        <v>9</v>
      </c>
      <c r="C1528" s="9">
        <v>1923</v>
      </c>
      <c r="D1528" s="10">
        <v>45701</v>
      </c>
      <c r="E1528" s="13" t="str">
        <f>+HYPERLINK("http://trademark.i-assist.jp/data/china/image_1923th/81957619.pdf","81957619")</f>
        <v>81957619</v>
      </c>
      <c r="F1528" s="9" t="s">
        <v>4209</v>
      </c>
      <c r="G1528" s="11" t="s">
        <v>4210</v>
      </c>
      <c r="H1528" s="9" t="s">
        <v>4211</v>
      </c>
      <c r="I1528" s="10">
        <v>45610</v>
      </c>
    </row>
    <row r="1529" spans="1:9" x14ac:dyDescent="0.15">
      <c r="A1529" s="9">
        <v>1528</v>
      </c>
      <c r="B1529" s="9" t="s">
        <v>9</v>
      </c>
      <c r="C1529" s="9">
        <v>1923</v>
      </c>
      <c r="D1529" s="10">
        <v>45701</v>
      </c>
      <c r="E1529" s="13" t="str">
        <f>+HYPERLINK("http://trademark.i-assist.jp/data/china/image_1923th/81957836.pdf","81957836")</f>
        <v>81957836</v>
      </c>
      <c r="F1529" s="9" t="s">
        <v>4212</v>
      </c>
      <c r="G1529" s="9" t="s">
        <v>4213</v>
      </c>
      <c r="H1529" s="9" t="s">
        <v>4214</v>
      </c>
      <c r="I1529" s="10">
        <v>45610</v>
      </c>
    </row>
    <row r="1530" spans="1:9" x14ac:dyDescent="0.15">
      <c r="A1530" s="9">
        <v>1529</v>
      </c>
      <c r="B1530" s="9" t="s">
        <v>9</v>
      </c>
      <c r="C1530" s="9">
        <v>1923</v>
      </c>
      <c r="D1530" s="10">
        <v>45701</v>
      </c>
      <c r="E1530" s="13" t="str">
        <f>+HYPERLINK("http://trademark.i-assist.jp/data/china/image_1923th/81957928.pdf","81957928")</f>
        <v>81957928</v>
      </c>
      <c r="F1530" s="9" t="s">
        <v>4215</v>
      </c>
      <c r="G1530" s="11" t="s">
        <v>4216</v>
      </c>
      <c r="H1530" s="9" t="s">
        <v>4217</v>
      </c>
      <c r="I1530" s="10">
        <v>45610</v>
      </c>
    </row>
    <row r="1531" spans="1:9" x14ac:dyDescent="0.15">
      <c r="A1531" s="9">
        <v>1530</v>
      </c>
      <c r="B1531" s="9" t="s">
        <v>9</v>
      </c>
      <c r="C1531" s="9">
        <v>1923</v>
      </c>
      <c r="D1531" s="10">
        <v>45701</v>
      </c>
      <c r="E1531" s="13" t="str">
        <f>+HYPERLINK("http://trademark.i-assist.jp/data/china/image_1923th/81958585.pdf","81958585")</f>
        <v>81958585</v>
      </c>
      <c r="F1531" s="11" t="s">
        <v>4218</v>
      </c>
      <c r="G1531" s="11" t="s">
        <v>4219</v>
      </c>
      <c r="H1531" s="9" t="s">
        <v>4220</v>
      </c>
      <c r="I1531" s="10">
        <v>45610</v>
      </c>
    </row>
    <row r="1532" spans="1:9" x14ac:dyDescent="0.15">
      <c r="A1532" s="9">
        <v>1531</v>
      </c>
      <c r="B1532" s="9" t="s">
        <v>9</v>
      </c>
      <c r="C1532" s="9">
        <v>1923</v>
      </c>
      <c r="D1532" s="10">
        <v>45701</v>
      </c>
      <c r="E1532" s="13" t="str">
        <f>+HYPERLINK("http://trademark.i-assist.jp/data/china/image_1923th/81958593.pdf","81958593")</f>
        <v>81958593</v>
      </c>
      <c r="F1532" s="9" t="s">
        <v>4221</v>
      </c>
      <c r="G1532" s="9" t="s">
        <v>4222</v>
      </c>
      <c r="H1532" s="9" t="s">
        <v>4223</v>
      </c>
      <c r="I1532" s="10">
        <v>45610</v>
      </c>
    </row>
    <row r="1533" spans="1:9" x14ac:dyDescent="0.15">
      <c r="A1533" s="9">
        <v>1532</v>
      </c>
      <c r="B1533" s="9" t="s">
        <v>9</v>
      </c>
      <c r="C1533" s="9">
        <v>1923</v>
      </c>
      <c r="D1533" s="10">
        <v>45701</v>
      </c>
      <c r="E1533" s="13" t="str">
        <f>+HYPERLINK("http://trademark.i-assist.jp/data/china/image_1923th/81958933.pdf","81958933")</f>
        <v>81958933</v>
      </c>
      <c r="F1533" s="9" t="s">
        <v>4224</v>
      </c>
      <c r="G1533" s="9" t="s">
        <v>4225</v>
      </c>
      <c r="H1533" s="9" t="s">
        <v>4226</v>
      </c>
      <c r="I1533" s="10">
        <v>45610</v>
      </c>
    </row>
    <row r="1534" spans="1:9" x14ac:dyDescent="0.15">
      <c r="A1534" s="9">
        <v>1533</v>
      </c>
      <c r="B1534" s="9" t="s">
        <v>9</v>
      </c>
      <c r="C1534" s="9">
        <v>1923</v>
      </c>
      <c r="D1534" s="10">
        <v>45701</v>
      </c>
      <c r="E1534" s="13" t="str">
        <f>+HYPERLINK("http://trademark.i-assist.jp/data/china/image_1923th/81958961.pdf","81958961")</f>
        <v>81958961</v>
      </c>
      <c r="F1534" s="9" t="s">
        <v>4227</v>
      </c>
      <c r="G1534" s="9" t="s">
        <v>4228</v>
      </c>
      <c r="H1534" s="9" t="s">
        <v>4229</v>
      </c>
      <c r="I1534" s="10">
        <v>45610</v>
      </c>
    </row>
    <row r="1535" spans="1:9" x14ac:dyDescent="0.15">
      <c r="A1535" s="9">
        <v>1534</v>
      </c>
      <c r="B1535" s="9" t="s">
        <v>9</v>
      </c>
      <c r="C1535" s="9">
        <v>1923</v>
      </c>
      <c r="D1535" s="10">
        <v>45701</v>
      </c>
      <c r="E1535" s="13" t="str">
        <f>+HYPERLINK("http://trademark.i-assist.jp/data/china/image_1923th/81959046.pdf","81959046")</f>
        <v>81959046</v>
      </c>
      <c r="F1535" s="9" t="s">
        <v>4230</v>
      </c>
      <c r="G1535" s="9" t="s">
        <v>4231</v>
      </c>
      <c r="H1535" s="9" t="s">
        <v>4232</v>
      </c>
      <c r="I1535" s="10">
        <v>45610</v>
      </c>
    </row>
    <row r="1536" spans="1:9" x14ac:dyDescent="0.15">
      <c r="A1536" s="9">
        <v>1535</v>
      </c>
      <c r="B1536" s="9" t="s">
        <v>9</v>
      </c>
      <c r="C1536" s="9">
        <v>1923</v>
      </c>
      <c r="D1536" s="10">
        <v>45701</v>
      </c>
      <c r="E1536" s="13" t="str">
        <f>+HYPERLINK("http://trademark.i-assist.jp/data/china/image_1923th/81959162.pdf","81959162")</f>
        <v>81959162</v>
      </c>
      <c r="F1536" s="9" t="s">
        <v>4233</v>
      </c>
      <c r="G1536" s="9" t="s">
        <v>4234</v>
      </c>
      <c r="H1536" s="9" t="s">
        <v>4235</v>
      </c>
      <c r="I1536" s="10">
        <v>45610</v>
      </c>
    </row>
    <row r="1537" spans="1:9" x14ac:dyDescent="0.15">
      <c r="A1537" s="9">
        <v>1536</v>
      </c>
      <c r="B1537" s="9" t="s">
        <v>9</v>
      </c>
      <c r="C1537" s="9">
        <v>1923</v>
      </c>
      <c r="D1537" s="10">
        <v>45701</v>
      </c>
      <c r="E1537" s="13" t="str">
        <f>+HYPERLINK("http://trademark.i-assist.jp/data/china/image_1923th/81959239.pdf","81959239")</f>
        <v>81959239</v>
      </c>
      <c r="F1537" s="11" t="s">
        <v>4236</v>
      </c>
      <c r="G1537" s="9" t="s">
        <v>4237</v>
      </c>
      <c r="H1537" s="9" t="s">
        <v>4238</v>
      </c>
      <c r="I1537" s="10">
        <v>45610</v>
      </c>
    </row>
    <row r="1538" spans="1:9" x14ac:dyDescent="0.15">
      <c r="A1538" s="9">
        <v>1537</v>
      </c>
      <c r="B1538" s="9" t="s">
        <v>9</v>
      </c>
      <c r="C1538" s="9">
        <v>1923</v>
      </c>
      <c r="D1538" s="10">
        <v>45701</v>
      </c>
      <c r="E1538" s="13" t="str">
        <f>+HYPERLINK("http://trademark.i-assist.jp/data/china/image_1923th/81959270.pdf","81959270")</f>
        <v>81959270</v>
      </c>
      <c r="F1538" s="9" t="s">
        <v>4239</v>
      </c>
      <c r="G1538" s="9" t="s">
        <v>4135</v>
      </c>
      <c r="H1538" s="9" t="s">
        <v>4240</v>
      </c>
      <c r="I1538" s="10">
        <v>45610</v>
      </c>
    </row>
    <row r="1539" spans="1:9" x14ac:dyDescent="0.15">
      <c r="A1539" s="9">
        <v>1538</v>
      </c>
      <c r="B1539" s="9" t="s">
        <v>9</v>
      </c>
      <c r="C1539" s="9">
        <v>1923</v>
      </c>
      <c r="D1539" s="10">
        <v>45701</v>
      </c>
      <c r="E1539" s="13" t="str">
        <f>+HYPERLINK("http://trademark.i-assist.jp/data/china/image_1923th/81959336.pdf","81959336")</f>
        <v>81959336</v>
      </c>
      <c r="F1539" s="9" t="s">
        <v>4241</v>
      </c>
      <c r="G1539" s="9" t="s">
        <v>4242</v>
      </c>
      <c r="H1539" s="9" t="s">
        <v>4243</v>
      </c>
      <c r="I1539" s="10">
        <v>45610</v>
      </c>
    </row>
    <row r="1540" spans="1:9" x14ac:dyDescent="0.15">
      <c r="A1540" s="9">
        <v>1539</v>
      </c>
      <c r="B1540" s="9" t="s">
        <v>9</v>
      </c>
      <c r="C1540" s="9">
        <v>1923</v>
      </c>
      <c r="D1540" s="10">
        <v>45701</v>
      </c>
      <c r="E1540" s="13" t="str">
        <f>+HYPERLINK("http://trademark.i-assist.jp/data/china/image_1923th/81959690.pdf","81959690")</f>
        <v>81959690</v>
      </c>
      <c r="F1540" s="11" t="s">
        <v>4244</v>
      </c>
      <c r="G1540" s="11" t="s">
        <v>4245</v>
      </c>
      <c r="H1540" s="9" t="s">
        <v>4246</v>
      </c>
      <c r="I1540" s="10">
        <v>45610</v>
      </c>
    </row>
    <row r="1541" spans="1:9" x14ac:dyDescent="0.15">
      <c r="A1541" s="9">
        <v>1540</v>
      </c>
      <c r="B1541" s="9" t="s">
        <v>9</v>
      </c>
      <c r="C1541" s="9">
        <v>1923</v>
      </c>
      <c r="D1541" s="10">
        <v>45701</v>
      </c>
      <c r="E1541" s="13" t="str">
        <f>+HYPERLINK("http://trademark.i-assist.jp/data/china/image_1923th/81959861.pdf","81959861")</f>
        <v>81959861</v>
      </c>
      <c r="F1541" s="9" t="s">
        <v>4247</v>
      </c>
      <c r="G1541" s="9" t="s">
        <v>4248</v>
      </c>
      <c r="H1541" s="9" t="s">
        <v>4249</v>
      </c>
      <c r="I1541" s="10">
        <v>45610</v>
      </c>
    </row>
    <row r="1542" spans="1:9" x14ac:dyDescent="0.15">
      <c r="A1542" s="9">
        <v>1541</v>
      </c>
      <c r="B1542" s="9" t="s">
        <v>9</v>
      </c>
      <c r="C1542" s="9">
        <v>1923</v>
      </c>
      <c r="D1542" s="10">
        <v>45701</v>
      </c>
      <c r="E1542" s="13" t="str">
        <f>+HYPERLINK("http://trademark.i-assist.jp/data/china/image_1923th/81959937.pdf","81959937")</f>
        <v>81959937</v>
      </c>
      <c r="F1542" s="9" t="s">
        <v>4250</v>
      </c>
      <c r="G1542" s="9" t="s">
        <v>4251</v>
      </c>
      <c r="H1542" s="9" t="s">
        <v>4252</v>
      </c>
      <c r="I1542" s="10">
        <v>45610</v>
      </c>
    </row>
    <row r="1543" spans="1:9" x14ac:dyDescent="0.15">
      <c r="A1543" s="9">
        <v>1542</v>
      </c>
      <c r="B1543" s="9" t="s">
        <v>9</v>
      </c>
      <c r="C1543" s="9">
        <v>1923</v>
      </c>
      <c r="D1543" s="10">
        <v>45701</v>
      </c>
      <c r="E1543" s="13" t="str">
        <f>+HYPERLINK("http://trademark.i-assist.jp/data/china/image_1923th/81959979.pdf","81959979")</f>
        <v>81959979</v>
      </c>
      <c r="F1543" s="9" t="s">
        <v>4253</v>
      </c>
      <c r="G1543" s="9" t="s">
        <v>4169</v>
      </c>
      <c r="H1543" s="11" t="s">
        <v>4254</v>
      </c>
      <c r="I1543" s="10">
        <v>45610</v>
      </c>
    </row>
    <row r="1544" spans="1:9" x14ac:dyDescent="0.15">
      <c r="A1544" s="9">
        <v>1543</v>
      </c>
      <c r="B1544" s="9" t="s">
        <v>9</v>
      </c>
      <c r="C1544" s="9">
        <v>1923</v>
      </c>
      <c r="D1544" s="10">
        <v>45701</v>
      </c>
      <c r="E1544" s="13" t="str">
        <f>+HYPERLINK("http://trademark.i-assist.jp/data/china/image_1923th/81960060.pdf","81960060")</f>
        <v>81960060</v>
      </c>
      <c r="F1544" s="9" t="s">
        <v>4255</v>
      </c>
      <c r="G1544" s="11" t="s">
        <v>4178</v>
      </c>
      <c r="H1544" s="9" t="s">
        <v>4256</v>
      </c>
      <c r="I1544" s="10">
        <v>45610</v>
      </c>
    </row>
    <row r="1545" spans="1:9" x14ac:dyDescent="0.15">
      <c r="A1545" s="9">
        <v>1544</v>
      </c>
      <c r="B1545" s="9" t="s">
        <v>9</v>
      </c>
      <c r="C1545" s="9">
        <v>1923</v>
      </c>
      <c r="D1545" s="10">
        <v>45701</v>
      </c>
      <c r="E1545" s="13" t="str">
        <f>+HYPERLINK("http://trademark.i-assist.jp/data/china/image_1923th/81960116.pdf","81960116")</f>
        <v>81960116</v>
      </c>
      <c r="F1545" s="9" t="s">
        <v>4257</v>
      </c>
      <c r="G1545" s="9" t="s">
        <v>4258</v>
      </c>
      <c r="H1545" s="9" t="s">
        <v>4259</v>
      </c>
      <c r="I1545" s="10">
        <v>45610</v>
      </c>
    </row>
    <row r="1546" spans="1:9" x14ac:dyDescent="0.15">
      <c r="A1546" s="9">
        <v>1545</v>
      </c>
      <c r="B1546" s="9" t="s">
        <v>9</v>
      </c>
      <c r="C1546" s="9">
        <v>1923</v>
      </c>
      <c r="D1546" s="10">
        <v>45701</v>
      </c>
      <c r="E1546" s="13" t="str">
        <f>+HYPERLINK("http://trademark.i-assist.jp/data/china/image_1923th/81960158.pdf","81960158")</f>
        <v>81960158</v>
      </c>
      <c r="F1546" s="11" t="s">
        <v>4260</v>
      </c>
      <c r="G1546" s="9" t="s">
        <v>4261</v>
      </c>
      <c r="H1546" s="9" t="s">
        <v>4262</v>
      </c>
      <c r="I1546" s="10">
        <v>45610</v>
      </c>
    </row>
    <row r="1547" spans="1:9" x14ac:dyDescent="0.15">
      <c r="A1547" s="9">
        <v>1546</v>
      </c>
      <c r="B1547" s="9" t="s">
        <v>9</v>
      </c>
      <c r="C1547" s="9">
        <v>1923</v>
      </c>
      <c r="D1547" s="10">
        <v>45701</v>
      </c>
      <c r="E1547" s="13" t="str">
        <f>+HYPERLINK("http://trademark.i-assist.jp/data/china/image_1923th/81960255.pdf","81960255")</f>
        <v>81960255</v>
      </c>
      <c r="F1547" s="11" t="s">
        <v>4263</v>
      </c>
      <c r="G1547" s="9" t="s">
        <v>4264</v>
      </c>
      <c r="H1547" s="9" t="s">
        <v>4265</v>
      </c>
      <c r="I1547" s="10">
        <v>45610</v>
      </c>
    </row>
    <row r="1548" spans="1:9" x14ac:dyDescent="0.15">
      <c r="A1548" s="9">
        <v>1547</v>
      </c>
      <c r="B1548" s="9" t="s">
        <v>9</v>
      </c>
      <c r="C1548" s="9">
        <v>1923</v>
      </c>
      <c r="D1548" s="10">
        <v>45701</v>
      </c>
      <c r="E1548" s="13" t="str">
        <f>+HYPERLINK("http://trademark.i-assist.jp/data/china/image_1923th/81960663.pdf","81960663")</f>
        <v>81960663</v>
      </c>
      <c r="F1548" s="9" t="s">
        <v>4266</v>
      </c>
      <c r="G1548" s="11" t="s">
        <v>4267</v>
      </c>
      <c r="H1548" s="9" t="s">
        <v>4268</v>
      </c>
      <c r="I1548" s="10">
        <v>45610</v>
      </c>
    </row>
    <row r="1549" spans="1:9" x14ac:dyDescent="0.15">
      <c r="A1549" s="9">
        <v>1548</v>
      </c>
      <c r="B1549" s="9" t="s">
        <v>9</v>
      </c>
      <c r="C1549" s="9">
        <v>1923</v>
      </c>
      <c r="D1549" s="10">
        <v>45701</v>
      </c>
      <c r="E1549" s="13" t="str">
        <f>+HYPERLINK("http://trademark.i-assist.jp/data/china/image_1923th/81961030.pdf","81961030")</f>
        <v>81961030</v>
      </c>
      <c r="F1549" s="9" t="s">
        <v>4269</v>
      </c>
      <c r="G1549" s="11" t="s">
        <v>4270</v>
      </c>
      <c r="H1549" s="9" t="s">
        <v>4271</v>
      </c>
      <c r="I1549" s="10">
        <v>45610</v>
      </c>
    </row>
    <row r="1550" spans="1:9" x14ac:dyDescent="0.15">
      <c r="A1550" s="9">
        <v>1549</v>
      </c>
      <c r="B1550" s="9" t="s">
        <v>9</v>
      </c>
      <c r="C1550" s="9">
        <v>1923</v>
      </c>
      <c r="D1550" s="10">
        <v>45701</v>
      </c>
      <c r="E1550" s="13" t="str">
        <f>+HYPERLINK("http://trademark.i-assist.jp/data/china/image_1923th/81961268.pdf","81961268")</f>
        <v>81961268</v>
      </c>
      <c r="F1550" s="9" t="s">
        <v>43</v>
      </c>
      <c r="G1550" s="9" t="s">
        <v>4272</v>
      </c>
      <c r="H1550" s="9" t="s">
        <v>4273</v>
      </c>
      <c r="I1550" s="10">
        <v>45610</v>
      </c>
    </row>
    <row r="1551" spans="1:9" x14ac:dyDescent="0.15">
      <c r="A1551" s="9">
        <v>1550</v>
      </c>
      <c r="B1551" s="9" t="s">
        <v>9</v>
      </c>
      <c r="C1551" s="9">
        <v>1923</v>
      </c>
      <c r="D1551" s="10">
        <v>45701</v>
      </c>
      <c r="E1551" s="13" t="str">
        <f>+HYPERLINK("http://trademark.i-assist.jp/data/china/image_1923th/81961744.pdf","81961744")</f>
        <v>81961744</v>
      </c>
      <c r="F1551" s="11" t="s">
        <v>4274</v>
      </c>
      <c r="G1551" s="9" t="s">
        <v>4275</v>
      </c>
      <c r="H1551" s="9" t="s">
        <v>4276</v>
      </c>
      <c r="I1551" s="10">
        <v>45610</v>
      </c>
    </row>
    <row r="1552" spans="1:9" x14ac:dyDescent="0.15">
      <c r="A1552" s="9">
        <v>1551</v>
      </c>
      <c r="B1552" s="9" t="s">
        <v>9</v>
      </c>
      <c r="C1552" s="9">
        <v>1923</v>
      </c>
      <c r="D1552" s="10">
        <v>45701</v>
      </c>
      <c r="E1552" s="13" t="str">
        <f>+HYPERLINK("http://trademark.i-assist.jp/data/china/image_1923th/81961765.pdf","81961765")</f>
        <v>81961765</v>
      </c>
      <c r="F1552" s="9" t="s">
        <v>4277</v>
      </c>
      <c r="G1552" s="11" t="s">
        <v>4278</v>
      </c>
      <c r="H1552" s="9" t="s">
        <v>4279</v>
      </c>
      <c r="I1552" s="10">
        <v>45610</v>
      </c>
    </row>
    <row r="1553" spans="1:9" x14ac:dyDescent="0.15">
      <c r="A1553" s="9">
        <v>1552</v>
      </c>
      <c r="B1553" s="9" t="s">
        <v>9</v>
      </c>
      <c r="C1553" s="9">
        <v>1923</v>
      </c>
      <c r="D1553" s="10">
        <v>45701</v>
      </c>
      <c r="E1553" s="13" t="str">
        <f>+HYPERLINK("http://trademark.i-assist.jp/data/china/image_1923th/81961995.pdf","81961995")</f>
        <v>81961995</v>
      </c>
      <c r="F1553" s="11" t="s">
        <v>4280</v>
      </c>
      <c r="G1553" s="9" t="s">
        <v>4281</v>
      </c>
      <c r="H1553" s="9" t="s">
        <v>4282</v>
      </c>
      <c r="I1553" s="10">
        <v>45610</v>
      </c>
    </row>
    <row r="1554" spans="1:9" x14ac:dyDescent="0.15">
      <c r="A1554" s="9">
        <v>1553</v>
      </c>
      <c r="B1554" s="9" t="s">
        <v>9</v>
      </c>
      <c r="C1554" s="9">
        <v>1923</v>
      </c>
      <c r="D1554" s="10">
        <v>45701</v>
      </c>
      <c r="E1554" s="13" t="str">
        <f>+HYPERLINK("http://trademark.i-assist.jp/data/china/image_1923th/81963039.pdf","81963039")</f>
        <v>81963039</v>
      </c>
      <c r="F1554" s="9" t="s">
        <v>4283</v>
      </c>
      <c r="G1554" s="11" t="s">
        <v>4284</v>
      </c>
      <c r="H1554" s="11" t="s">
        <v>4285</v>
      </c>
      <c r="I1554" s="10">
        <v>45610</v>
      </c>
    </row>
    <row r="1555" spans="1:9" x14ac:dyDescent="0.15">
      <c r="A1555" s="9">
        <v>1554</v>
      </c>
      <c r="B1555" s="9" t="s">
        <v>9</v>
      </c>
      <c r="C1555" s="9">
        <v>1923</v>
      </c>
      <c r="D1555" s="10">
        <v>45701</v>
      </c>
      <c r="E1555" s="13" t="str">
        <f>+HYPERLINK("http://trademark.i-assist.jp/data/china/image_1923th/81963267.pdf","81963267")</f>
        <v>81963267</v>
      </c>
      <c r="F1555" s="9" t="s">
        <v>4286</v>
      </c>
      <c r="G1555" s="9" t="s">
        <v>4287</v>
      </c>
      <c r="H1555" s="9" t="s">
        <v>4288</v>
      </c>
      <c r="I1555" s="10">
        <v>45610</v>
      </c>
    </row>
    <row r="1556" spans="1:9" x14ac:dyDescent="0.15">
      <c r="A1556" s="9">
        <v>1555</v>
      </c>
      <c r="B1556" s="9" t="s">
        <v>9</v>
      </c>
      <c r="C1556" s="9">
        <v>1923</v>
      </c>
      <c r="D1556" s="10">
        <v>45701</v>
      </c>
      <c r="E1556" s="13" t="str">
        <f>+HYPERLINK("http://trademark.i-assist.jp/data/china/image_1923th/81963333.pdf","81963333")</f>
        <v>81963333</v>
      </c>
      <c r="F1556" s="9" t="s">
        <v>4289</v>
      </c>
      <c r="G1556" s="11" t="s">
        <v>4178</v>
      </c>
      <c r="H1556" s="9" t="s">
        <v>4290</v>
      </c>
      <c r="I1556" s="10">
        <v>45610</v>
      </c>
    </row>
    <row r="1557" spans="1:9" x14ac:dyDescent="0.15">
      <c r="A1557" s="9">
        <v>1556</v>
      </c>
      <c r="B1557" s="9" t="s">
        <v>9</v>
      </c>
      <c r="C1557" s="9">
        <v>1923</v>
      </c>
      <c r="D1557" s="10">
        <v>45701</v>
      </c>
      <c r="E1557" s="13" t="str">
        <f>+HYPERLINK("http://trademark.i-assist.jp/data/china/image_1923th/81963507.pdf","81963507")</f>
        <v>81963507</v>
      </c>
      <c r="F1557" s="9" t="s">
        <v>4291</v>
      </c>
      <c r="G1557" s="9" t="s">
        <v>4292</v>
      </c>
      <c r="H1557" s="9" t="s">
        <v>4293</v>
      </c>
      <c r="I1557" s="10">
        <v>45610</v>
      </c>
    </row>
    <row r="1558" spans="1:9" x14ac:dyDescent="0.15">
      <c r="A1558" s="9">
        <v>1557</v>
      </c>
      <c r="B1558" s="9" t="s">
        <v>9</v>
      </c>
      <c r="C1558" s="9">
        <v>1923</v>
      </c>
      <c r="D1558" s="10">
        <v>45701</v>
      </c>
      <c r="E1558" s="13" t="str">
        <f>+HYPERLINK("http://trademark.i-assist.jp/data/china/image_1923th/81963742.pdf","81963742")</f>
        <v>81963742</v>
      </c>
      <c r="F1558" s="9" t="s">
        <v>4294</v>
      </c>
      <c r="G1558" s="11" t="s">
        <v>4178</v>
      </c>
      <c r="H1558" s="11" t="s">
        <v>4295</v>
      </c>
      <c r="I1558" s="10">
        <v>45610</v>
      </c>
    </row>
    <row r="1559" spans="1:9" x14ac:dyDescent="0.15">
      <c r="A1559" s="9">
        <v>1558</v>
      </c>
      <c r="B1559" s="9" t="s">
        <v>9</v>
      </c>
      <c r="C1559" s="9">
        <v>1923</v>
      </c>
      <c r="D1559" s="10">
        <v>45701</v>
      </c>
      <c r="E1559" s="13" t="str">
        <f>+HYPERLINK("http://trademark.i-assist.jp/data/china/image_1923th/81963744.pdf","81963744")</f>
        <v>81963744</v>
      </c>
      <c r="F1559" s="9" t="s">
        <v>4296</v>
      </c>
      <c r="G1559" s="9" t="s">
        <v>4297</v>
      </c>
      <c r="H1559" s="11" t="s">
        <v>4298</v>
      </c>
      <c r="I1559" s="10">
        <v>45610</v>
      </c>
    </row>
    <row r="1560" spans="1:9" x14ac:dyDescent="0.15">
      <c r="A1560" s="9">
        <v>1559</v>
      </c>
      <c r="B1560" s="9" t="s">
        <v>9</v>
      </c>
      <c r="C1560" s="9">
        <v>1923</v>
      </c>
      <c r="D1560" s="10">
        <v>45701</v>
      </c>
      <c r="E1560" s="13" t="str">
        <f>+HYPERLINK("http://trademark.i-assist.jp/data/china/image_1923th/81964023.pdf","81964023")</f>
        <v>81964023</v>
      </c>
      <c r="F1560" s="9" t="s">
        <v>4299</v>
      </c>
      <c r="G1560" s="9" t="s">
        <v>4300</v>
      </c>
      <c r="H1560" s="9" t="s">
        <v>4301</v>
      </c>
      <c r="I1560" s="10">
        <v>45610</v>
      </c>
    </row>
    <row r="1561" spans="1:9" x14ac:dyDescent="0.15">
      <c r="A1561" s="9">
        <v>1560</v>
      </c>
      <c r="B1561" s="9" t="s">
        <v>9</v>
      </c>
      <c r="C1561" s="9">
        <v>1923</v>
      </c>
      <c r="D1561" s="10">
        <v>45701</v>
      </c>
      <c r="E1561" s="13" t="str">
        <f>+HYPERLINK("http://trademark.i-assist.jp/data/china/image_1923th/81964031.pdf","81964031")</f>
        <v>81964031</v>
      </c>
      <c r="F1561" s="9" t="s">
        <v>4302</v>
      </c>
      <c r="G1561" s="9" t="s">
        <v>4300</v>
      </c>
      <c r="H1561" s="9" t="s">
        <v>4303</v>
      </c>
      <c r="I1561" s="10">
        <v>45610</v>
      </c>
    </row>
    <row r="1562" spans="1:9" x14ac:dyDescent="0.15">
      <c r="A1562" s="9">
        <v>1561</v>
      </c>
      <c r="B1562" s="9" t="s">
        <v>9</v>
      </c>
      <c r="C1562" s="9">
        <v>1923</v>
      </c>
      <c r="D1562" s="10">
        <v>45701</v>
      </c>
      <c r="E1562" s="13" t="str">
        <f>+HYPERLINK("http://trademark.i-assist.jp/data/china/image_1923th/81964570.pdf","81964570")</f>
        <v>81964570</v>
      </c>
      <c r="F1562" s="11" t="s">
        <v>126</v>
      </c>
      <c r="G1562" s="11" t="s">
        <v>4304</v>
      </c>
      <c r="H1562" s="9" t="s">
        <v>4305</v>
      </c>
      <c r="I1562" s="10">
        <v>45610</v>
      </c>
    </row>
    <row r="1563" spans="1:9" x14ac:dyDescent="0.15">
      <c r="A1563" s="9">
        <v>1562</v>
      </c>
      <c r="B1563" s="9" t="s">
        <v>9</v>
      </c>
      <c r="C1563" s="9">
        <v>1923</v>
      </c>
      <c r="D1563" s="10">
        <v>45701</v>
      </c>
      <c r="E1563" s="13" t="str">
        <f>+HYPERLINK("http://trademark.i-assist.jp/data/china/image_1923th/81964679.pdf","81964679")</f>
        <v>81964679</v>
      </c>
      <c r="F1563" s="9" t="s">
        <v>4306</v>
      </c>
      <c r="G1563" s="9" t="s">
        <v>4307</v>
      </c>
      <c r="H1563" s="9" t="s">
        <v>4308</v>
      </c>
      <c r="I1563" s="10">
        <v>45610</v>
      </c>
    </row>
    <row r="1564" spans="1:9" x14ac:dyDescent="0.15">
      <c r="A1564" s="9">
        <v>1563</v>
      </c>
      <c r="B1564" s="9" t="s">
        <v>9</v>
      </c>
      <c r="C1564" s="9">
        <v>1923</v>
      </c>
      <c r="D1564" s="10">
        <v>45701</v>
      </c>
      <c r="E1564" s="13" t="str">
        <f>+HYPERLINK("http://trademark.i-assist.jp/data/china/image_1923th/81964779.pdf","81964779")</f>
        <v>81964779</v>
      </c>
      <c r="F1564" s="9" t="s">
        <v>4309</v>
      </c>
      <c r="G1564" s="9" t="s">
        <v>4310</v>
      </c>
      <c r="H1564" s="9" t="s">
        <v>4311</v>
      </c>
      <c r="I1564" s="10">
        <v>45610</v>
      </c>
    </row>
    <row r="1565" spans="1:9" x14ac:dyDescent="0.15">
      <c r="A1565" s="9">
        <v>1564</v>
      </c>
      <c r="B1565" s="9" t="s">
        <v>9</v>
      </c>
      <c r="C1565" s="9">
        <v>1923</v>
      </c>
      <c r="D1565" s="10">
        <v>45701</v>
      </c>
      <c r="E1565" s="13" t="str">
        <f>+HYPERLINK("http://trademark.i-assist.jp/data/china/image_1923th/81964882.pdf","81964882")</f>
        <v>81964882</v>
      </c>
      <c r="F1565" s="9" t="s">
        <v>4312</v>
      </c>
      <c r="G1565" s="9" t="s">
        <v>4313</v>
      </c>
      <c r="H1565" s="9" t="s">
        <v>4314</v>
      </c>
      <c r="I1565" s="10">
        <v>45610</v>
      </c>
    </row>
    <row r="1566" spans="1:9" x14ac:dyDescent="0.15">
      <c r="A1566" s="9">
        <v>1565</v>
      </c>
      <c r="B1566" s="9" t="s">
        <v>9</v>
      </c>
      <c r="C1566" s="9">
        <v>1923</v>
      </c>
      <c r="D1566" s="10">
        <v>45701</v>
      </c>
      <c r="E1566" s="13" t="str">
        <f>+HYPERLINK("http://trademark.i-assist.jp/data/china/image_1923th/81965073.pdf","81965073")</f>
        <v>81965073</v>
      </c>
      <c r="F1566" s="9" t="s">
        <v>4315</v>
      </c>
      <c r="G1566" s="9" t="s">
        <v>4316</v>
      </c>
      <c r="H1566" s="11" t="s">
        <v>4317</v>
      </c>
      <c r="I1566" s="10">
        <v>45610</v>
      </c>
    </row>
    <row r="1567" spans="1:9" x14ac:dyDescent="0.15">
      <c r="A1567" s="9">
        <v>1566</v>
      </c>
      <c r="B1567" s="9" t="s">
        <v>9</v>
      </c>
      <c r="C1567" s="9">
        <v>1923</v>
      </c>
      <c r="D1567" s="10">
        <v>45701</v>
      </c>
      <c r="E1567" s="13" t="str">
        <f>+HYPERLINK("http://trademark.i-assist.jp/data/china/image_1923th/81965925.pdf","81965925")</f>
        <v>81965925</v>
      </c>
      <c r="F1567" s="9" t="s">
        <v>4318</v>
      </c>
      <c r="G1567" s="11" t="s">
        <v>4319</v>
      </c>
      <c r="H1567" s="11" t="s">
        <v>4320</v>
      </c>
      <c r="I1567" s="10">
        <v>45610</v>
      </c>
    </row>
    <row r="1568" spans="1:9" x14ac:dyDescent="0.15">
      <c r="A1568" s="9">
        <v>1567</v>
      </c>
      <c r="B1568" s="9" t="s">
        <v>9</v>
      </c>
      <c r="C1568" s="9">
        <v>1923</v>
      </c>
      <c r="D1568" s="10">
        <v>45701</v>
      </c>
      <c r="E1568" s="13" t="str">
        <f>+HYPERLINK("http://trademark.i-assist.jp/data/china/image_1923th/81965928.pdf","81965928")</f>
        <v>81965928</v>
      </c>
      <c r="F1568" s="11" t="s">
        <v>4321</v>
      </c>
      <c r="G1568" s="11" t="s">
        <v>4322</v>
      </c>
      <c r="H1568" s="9" t="s">
        <v>4323</v>
      </c>
      <c r="I1568" s="10">
        <v>45610</v>
      </c>
    </row>
    <row r="1569" spans="1:9" x14ac:dyDescent="0.15">
      <c r="A1569" s="9">
        <v>1568</v>
      </c>
      <c r="B1569" s="9" t="s">
        <v>9</v>
      </c>
      <c r="C1569" s="9">
        <v>1923</v>
      </c>
      <c r="D1569" s="10">
        <v>45701</v>
      </c>
      <c r="E1569" s="13" t="str">
        <f>+HYPERLINK("http://trademark.i-assist.jp/data/china/image_1923th/81966027.pdf","81966027")</f>
        <v>81966027</v>
      </c>
      <c r="F1569" s="9" t="s">
        <v>4324</v>
      </c>
      <c r="G1569" s="9" t="s">
        <v>4325</v>
      </c>
      <c r="H1569" s="9" t="s">
        <v>4326</v>
      </c>
      <c r="I1569" s="10">
        <v>45610</v>
      </c>
    </row>
    <row r="1570" spans="1:9" x14ac:dyDescent="0.15">
      <c r="A1570" s="9">
        <v>1569</v>
      </c>
      <c r="B1570" s="9" t="s">
        <v>9</v>
      </c>
      <c r="C1570" s="9">
        <v>1923</v>
      </c>
      <c r="D1570" s="10">
        <v>45701</v>
      </c>
      <c r="E1570" s="13" t="str">
        <f>+HYPERLINK("http://trademark.i-assist.jp/data/china/image_1923th/81966246.pdf","81966246")</f>
        <v>81966246</v>
      </c>
      <c r="F1570" s="9" t="s">
        <v>4327</v>
      </c>
      <c r="G1570" s="9" t="s">
        <v>4328</v>
      </c>
      <c r="H1570" s="9" t="s">
        <v>4329</v>
      </c>
      <c r="I1570" s="10">
        <v>45610</v>
      </c>
    </row>
    <row r="1571" spans="1:9" x14ac:dyDescent="0.15">
      <c r="A1571" s="9">
        <v>1570</v>
      </c>
      <c r="B1571" s="9" t="s">
        <v>9</v>
      </c>
      <c r="C1571" s="9">
        <v>1923</v>
      </c>
      <c r="D1571" s="10">
        <v>45701</v>
      </c>
      <c r="E1571" s="13" t="str">
        <f>+HYPERLINK("http://trademark.i-assist.jp/data/china/image_1923th/81966250.pdf","81966250")</f>
        <v>81966250</v>
      </c>
      <c r="F1571" s="9" t="s">
        <v>4330</v>
      </c>
      <c r="G1571" s="9" t="s">
        <v>4331</v>
      </c>
      <c r="H1571" s="9" t="s">
        <v>4332</v>
      </c>
      <c r="I1571" s="10">
        <v>45610</v>
      </c>
    </row>
    <row r="1572" spans="1:9" x14ac:dyDescent="0.15">
      <c r="A1572" s="9">
        <v>1571</v>
      </c>
      <c r="B1572" s="9" t="s">
        <v>9</v>
      </c>
      <c r="C1572" s="9">
        <v>1923</v>
      </c>
      <c r="D1572" s="10">
        <v>45701</v>
      </c>
      <c r="E1572" s="13" t="str">
        <f>+HYPERLINK("http://trademark.i-assist.jp/data/china/image_1923th/81966598.pdf","81966598")</f>
        <v>81966598</v>
      </c>
      <c r="F1572" s="11" t="s">
        <v>4333</v>
      </c>
      <c r="G1572" s="9" t="s">
        <v>4334</v>
      </c>
      <c r="H1572" s="11" t="s">
        <v>4335</v>
      </c>
      <c r="I1572" s="10">
        <v>45610</v>
      </c>
    </row>
    <row r="1573" spans="1:9" x14ac:dyDescent="0.15">
      <c r="A1573" s="9">
        <v>1572</v>
      </c>
      <c r="B1573" s="9" t="s">
        <v>9</v>
      </c>
      <c r="C1573" s="9">
        <v>1923</v>
      </c>
      <c r="D1573" s="10">
        <v>45701</v>
      </c>
      <c r="E1573" s="13" t="str">
        <f>+HYPERLINK("http://trademark.i-assist.jp/data/china/image_1923th/81967201.pdf","81967201")</f>
        <v>81967201</v>
      </c>
      <c r="F1573" s="9" t="s">
        <v>4336</v>
      </c>
      <c r="G1573" s="9" t="s">
        <v>3797</v>
      </c>
      <c r="H1573" s="9" t="s">
        <v>4337</v>
      </c>
      <c r="I1573" s="10">
        <v>45610</v>
      </c>
    </row>
    <row r="1574" spans="1:9" x14ac:dyDescent="0.15">
      <c r="A1574" s="9">
        <v>1573</v>
      </c>
      <c r="B1574" s="9" t="s">
        <v>9</v>
      </c>
      <c r="C1574" s="9">
        <v>1923</v>
      </c>
      <c r="D1574" s="10">
        <v>45701</v>
      </c>
      <c r="E1574" s="13" t="str">
        <f>+HYPERLINK("http://trademark.i-assist.jp/data/china/image_1923th/81967490.pdf","81967490")</f>
        <v>81967490</v>
      </c>
      <c r="F1574" s="9" t="s">
        <v>4338</v>
      </c>
      <c r="G1574" s="9" t="s">
        <v>4339</v>
      </c>
      <c r="H1574" s="9" t="s">
        <v>4340</v>
      </c>
      <c r="I1574" s="10">
        <v>45610</v>
      </c>
    </row>
    <row r="1575" spans="1:9" x14ac:dyDescent="0.15">
      <c r="A1575" s="9">
        <v>1574</v>
      </c>
      <c r="B1575" s="9" t="s">
        <v>9</v>
      </c>
      <c r="C1575" s="9">
        <v>1923</v>
      </c>
      <c r="D1575" s="10">
        <v>45701</v>
      </c>
      <c r="E1575" s="13" t="str">
        <f>+HYPERLINK("http://trademark.i-assist.jp/data/china/image_1923th/81967688.pdf","81967688")</f>
        <v>81967688</v>
      </c>
      <c r="F1575" s="9" t="s">
        <v>4341</v>
      </c>
      <c r="G1575" s="9" t="s">
        <v>4342</v>
      </c>
      <c r="H1575" s="9" t="s">
        <v>4343</v>
      </c>
      <c r="I1575" s="10">
        <v>45610</v>
      </c>
    </row>
    <row r="1576" spans="1:9" x14ac:dyDescent="0.15">
      <c r="A1576" s="9">
        <v>1575</v>
      </c>
      <c r="B1576" s="9" t="s">
        <v>9</v>
      </c>
      <c r="C1576" s="9">
        <v>1923</v>
      </c>
      <c r="D1576" s="10">
        <v>45701</v>
      </c>
      <c r="E1576" s="13" t="str">
        <f>+HYPERLINK("http://trademark.i-assist.jp/data/china/image_1923th/81967710.pdf","81967710")</f>
        <v>81967710</v>
      </c>
      <c r="F1576" s="11" t="s">
        <v>4344</v>
      </c>
      <c r="G1576" s="9" t="s">
        <v>4345</v>
      </c>
      <c r="H1576" s="9" t="s">
        <v>4346</v>
      </c>
      <c r="I1576" s="10">
        <v>45610</v>
      </c>
    </row>
    <row r="1577" spans="1:9" x14ac:dyDescent="0.15">
      <c r="A1577" s="9">
        <v>1576</v>
      </c>
      <c r="B1577" s="9" t="s">
        <v>9</v>
      </c>
      <c r="C1577" s="9">
        <v>1923</v>
      </c>
      <c r="D1577" s="10">
        <v>45701</v>
      </c>
      <c r="E1577" s="13" t="str">
        <f>+HYPERLINK("http://trademark.i-assist.jp/data/china/image_1923th/81967916.pdf","81967916")</f>
        <v>81967916</v>
      </c>
      <c r="F1577" s="12" t="s">
        <v>4347</v>
      </c>
      <c r="G1577" s="9" t="s">
        <v>4348</v>
      </c>
      <c r="H1577" s="9" t="s">
        <v>4349</v>
      </c>
      <c r="I1577" s="10">
        <v>45610</v>
      </c>
    </row>
    <row r="1578" spans="1:9" x14ac:dyDescent="0.15">
      <c r="A1578" s="9">
        <v>1577</v>
      </c>
      <c r="B1578" s="9" t="s">
        <v>9</v>
      </c>
      <c r="C1578" s="9">
        <v>1923</v>
      </c>
      <c r="D1578" s="10">
        <v>45701</v>
      </c>
      <c r="E1578" s="13" t="str">
        <f>+HYPERLINK("http://trademark.i-assist.jp/data/china/image_1923th/81968064.pdf","81968064")</f>
        <v>81968064</v>
      </c>
      <c r="F1578" s="9" t="s">
        <v>4350</v>
      </c>
      <c r="G1578" s="9" t="s">
        <v>4351</v>
      </c>
      <c r="H1578" s="9" t="s">
        <v>4352</v>
      </c>
      <c r="I1578" s="10">
        <v>45610</v>
      </c>
    </row>
    <row r="1579" spans="1:9" x14ac:dyDescent="0.15">
      <c r="A1579" s="9">
        <v>1578</v>
      </c>
      <c r="B1579" s="9" t="s">
        <v>9</v>
      </c>
      <c r="C1579" s="9">
        <v>1923</v>
      </c>
      <c r="D1579" s="10">
        <v>45701</v>
      </c>
      <c r="E1579" s="13" t="str">
        <f>+HYPERLINK("http://trademark.i-assist.jp/data/china/image_1923th/81968106.pdf","81968106")</f>
        <v>81968106</v>
      </c>
      <c r="F1579" s="9" t="s">
        <v>4353</v>
      </c>
      <c r="G1579" s="9" t="s">
        <v>4354</v>
      </c>
      <c r="H1579" s="9" t="s">
        <v>4355</v>
      </c>
      <c r="I1579" s="10">
        <v>45610</v>
      </c>
    </row>
    <row r="1580" spans="1:9" x14ac:dyDescent="0.15">
      <c r="A1580" s="9">
        <v>1579</v>
      </c>
      <c r="B1580" s="9" t="s">
        <v>9</v>
      </c>
      <c r="C1580" s="9">
        <v>1923</v>
      </c>
      <c r="D1580" s="10">
        <v>45701</v>
      </c>
      <c r="E1580" s="13" t="str">
        <f>+HYPERLINK("http://trademark.i-assist.jp/data/china/image_1923th/81968444.pdf","81968444")</f>
        <v>81968444</v>
      </c>
      <c r="F1580" s="11" t="s">
        <v>4356</v>
      </c>
      <c r="G1580" s="9" t="s">
        <v>4357</v>
      </c>
      <c r="H1580" s="9" t="s">
        <v>4358</v>
      </c>
      <c r="I1580" s="10">
        <v>45610</v>
      </c>
    </row>
    <row r="1581" spans="1:9" x14ac:dyDescent="0.15">
      <c r="A1581" s="9">
        <v>1580</v>
      </c>
      <c r="B1581" s="9" t="s">
        <v>9</v>
      </c>
      <c r="C1581" s="9">
        <v>1923</v>
      </c>
      <c r="D1581" s="10">
        <v>45701</v>
      </c>
      <c r="E1581" s="13" t="str">
        <f>+HYPERLINK("http://trademark.i-assist.jp/data/china/image_1923th/81968725.pdf","81968725")</f>
        <v>81968725</v>
      </c>
      <c r="F1581" s="11" t="s">
        <v>4359</v>
      </c>
      <c r="G1581" s="9" t="s">
        <v>4360</v>
      </c>
      <c r="H1581" s="9" t="s">
        <v>4361</v>
      </c>
      <c r="I1581" s="10">
        <v>45610</v>
      </c>
    </row>
    <row r="1582" spans="1:9" x14ac:dyDescent="0.15">
      <c r="A1582" s="9">
        <v>1581</v>
      </c>
      <c r="B1582" s="9" t="s">
        <v>9</v>
      </c>
      <c r="C1582" s="9">
        <v>1923</v>
      </c>
      <c r="D1582" s="10">
        <v>45701</v>
      </c>
      <c r="E1582" s="13" t="str">
        <f>+HYPERLINK("http://trademark.i-assist.jp/data/china/image_1923th/81968949.pdf","81968949")</f>
        <v>81968949</v>
      </c>
      <c r="F1582" s="9" t="s">
        <v>4362</v>
      </c>
      <c r="G1582" s="9" t="s">
        <v>4363</v>
      </c>
      <c r="H1582" s="9" t="s">
        <v>4364</v>
      </c>
      <c r="I1582" s="10">
        <v>45610</v>
      </c>
    </row>
    <row r="1583" spans="1:9" x14ac:dyDescent="0.15">
      <c r="A1583" s="9">
        <v>1582</v>
      </c>
      <c r="B1583" s="9" t="s">
        <v>9</v>
      </c>
      <c r="C1583" s="9">
        <v>1923</v>
      </c>
      <c r="D1583" s="10">
        <v>45701</v>
      </c>
      <c r="E1583" s="13" t="str">
        <f>+HYPERLINK("http://trademark.i-assist.jp/data/china/image_1923th/81969055.pdf","81969055")</f>
        <v>81969055</v>
      </c>
      <c r="F1583" s="9" t="s">
        <v>4365</v>
      </c>
      <c r="G1583" s="9" t="s">
        <v>4366</v>
      </c>
      <c r="H1583" s="11" t="s">
        <v>4367</v>
      </c>
      <c r="I1583" s="10">
        <v>45610</v>
      </c>
    </row>
    <row r="1584" spans="1:9" x14ac:dyDescent="0.15">
      <c r="A1584" s="9">
        <v>1583</v>
      </c>
      <c r="B1584" s="9" t="s">
        <v>9</v>
      </c>
      <c r="C1584" s="9">
        <v>1923</v>
      </c>
      <c r="D1584" s="10">
        <v>45701</v>
      </c>
      <c r="E1584" s="13" t="str">
        <f>+HYPERLINK("http://trademark.i-assist.jp/data/china/image_1923th/81969107.pdf","81969107")</f>
        <v>81969107</v>
      </c>
      <c r="F1584" s="9" t="s">
        <v>4368</v>
      </c>
      <c r="G1584" s="11" t="s">
        <v>4369</v>
      </c>
      <c r="H1584" s="9" t="s">
        <v>4370</v>
      </c>
      <c r="I1584" s="10">
        <v>45610</v>
      </c>
    </row>
    <row r="1585" spans="1:9" x14ac:dyDescent="0.15">
      <c r="A1585" s="9">
        <v>1584</v>
      </c>
      <c r="B1585" s="9" t="s">
        <v>9</v>
      </c>
      <c r="C1585" s="9">
        <v>1923</v>
      </c>
      <c r="D1585" s="10">
        <v>45701</v>
      </c>
      <c r="E1585" s="13" t="str">
        <f>+HYPERLINK("http://trademark.i-assist.jp/data/china/image_1923th/81969233.pdf","81969233")</f>
        <v>81969233</v>
      </c>
      <c r="F1585" s="9" t="s">
        <v>4371</v>
      </c>
      <c r="G1585" s="9" t="s">
        <v>4372</v>
      </c>
      <c r="H1585" s="9" t="s">
        <v>4373</v>
      </c>
      <c r="I1585" s="10">
        <v>45610</v>
      </c>
    </row>
    <row r="1586" spans="1:9" x14ac:dyDescent="0.15">
      <c r="A1586" s="9">
        <v>1585</v>
      </c>
      <c r="B1586" s="9" t="s">
        <v>9</v>
      </c>
      <c r="C1586" s="9">
        <v>1923</v>
      </c>
      <c r="D1586" s="10">
        <v>45701</v>
      </c>
      <c r="E1586" s="13" t="str">
        <f>+HYPERLINK("http://trademark.i-assist.jp/data/china/image_1923th/81969242.pdf","81969242")</f>
        <v>81969242</v>
      </c>
      <c r="F1586" s="11" t="s">
        <v>4374</v>
      </c>
      <c r="G1586" s="9" t="s">
        <v>4375</v>
      </c>
      <c r="H1586" s="9" t="s">
        <v>4376</v>
      </c>
      <c r="I1586" s="10">
        <v>45610</v>
      </c>
    </row>
    <row r="1587" spans="1:9" x14ac:dyDescent="0.15">
      <c r="A1587" s="9">
        <v>1586</v>
      </c>
      <c r="B1587" s="9" t="s">
        <v>9</v>
      </c>
      <c r="C1587" s="9">
        <v>1923</v>
      </c>
      <c r="D1587" s="10">
        <v>45701</v>
      </c>
      <c r="E1587" s="13" t="str">
        <f>+HYPERLINK("http://trademark.i-assist.jp/data/china/image_1923th/81969532.pdf","81969532")</f>
        <v>81969532</v>
      </c>
      <c r="F1587" s="9" t="s">
        <v>4377</v>
      </c>
      <c r="G1587" s="9" t="s">
        <v>4199</v>
      </c>
      <c r="H1587" s="9" t="s">
        <v>4378</v>
      </c>
      <c r="I1587" s="10">
        <v>45610</v>
      </c>
    </row>
    <row r="1588" spans="1:9" x14ac:dyDescent="0.15">
      <c r="A1588" s="9">
        <v>1587</v>
      </c>
      <c r="B1588" s="9" t="s">
        <v>9</v>
      </c>
      <c r="C1588" s="9">
        <v>1923</v>
      </c>
      <c r="D1588" s="10">
        <v>45701</v>
      </c>
      <c r="E1588" s="13" t="str">
        <f>+HYPERLINK("http://trademark.i-assist.jp/data/china/image_1923th/81969547.pdf","81969547")</f>
        <v>81969547</v>
      </c>
      <c r="F1588" s="11" t="s">
        <v>4379</v>
      </c>
      <c r="G1588" s="9" t="s">
        <v>4380</v>
      </c>
      <c r="H1588" s="9" t="s">
        <v>4381</v>
      </c>
      <c r="I1588" s="10">
        <v>45610</v>
      </c>
    </row>
    <row r="1589" spans="1:9" x14ac:dyDescent="0.15">
      <c r="A1589" s="9">
        <v>1588</v>
      </c>
      <c r="B1589" s="9" t="s">
        <v>9</v>
      </c>
      <c r="C1589" s="9">
        <v>1923</v>
      </c>
      <c r="D1589" s="10">
        <v>45701</v>
      </c>
      <c r="E1589" s="13" t="str">
        <f>+HYPERLINK("http://trademark.i-assist.jp/data/china/image_1923th/81969757.pdf","81969757")</f>
        <v>81969757</v>
      </c>
      <c r="F1589" s="9" t="s">
        <v>4382</v>
      </c>
      <c r="G1589" s="9" t="s">
        <v>4383</v>
      </c>
      <c r="H1589" s="11" t="s">
        <v>4384</v>
      </c>
      <c r="I1589" s="10">
        <v>45610</v>
      </c>
    </row>
    <row r="1590" spans="1:9" x14ac:dyDescent="0.15">
      <c r="A1590" s="9">
        <v>1589</v>
      </c>
      <c r="B1590" s="9" t="s">
        <v>9</v>
      </c>
      <c r="C1590" s="9">
        <v>1923</v>
      </c>
      <c r="D1590" s="10">
        <v>45701</v>
      </c>
      <c r="E1590" s="13" t="str">
        <f>+HYPERLINK("http://trademark.i-assist.jp/data/china/image_1923th/81969820.pdf","81969820")</f>
        <v>81969820</v>
      </c>
      <c r="F1590" s="9" t="s">
        <v>4385</v>
      </c>
      <c r="G1590" s="9" t="s">
        <v>4386</v>
      </c>
      <c r="H1590" s="9" t="s">
        <v>4387</v>
      </c>
      <c r="I1590" s="10">
        <v>45610</v>
      </c>
    </row>
    <row r="1591" spans="1:9" x14ac:dyDescent="0.15">
      <c r="A1591" s="9">
        <v>1590</v>
      </c>
      <c r="B1591" s="9" t="s">
        <v>9</v>
      </c>
      <c r="C1591" s="9">
        <v>1923</v>
      </c>
      <c r="D1591" s="10">
        <v>45701</v>
      </c>
      <c r="E1591" s="13" t="str">
        <f>+HYPERLINK("http://trademark.i-assist.jp/data/china/image_1923th/81970012.pdf","81970012")</f>
        <v>81970012</v>
      </c>
      <c r="F1591" s="11" t="s">
        <v>4388</v>
      </c>
      <c r="G1591" s="9" t="s">
        <v>4389</v>
      </c>
      <c r="H1591" s="9" t="s">
        <v>4390</v>
      </c>
      <c r="I1591" s="10">
        <v>45610</v>
      </c>
    </row>
    <row r="1592" spans="1:9" x14ac:dyDescent="0.15">
      <c r="A1592" s="9">
        <v>1591</v>
      </c>
      <c r="B1592" s="9" t="s">
        <v>9</v>
      </c>
      <c r="C1592" s="9">
        <v>1923</v>
      </c>
      <c r="D1592" s="10">
        <v>45701</v>
      </c>
      <c r="E1592" s="13" t="str">
        <f>+HYPERLINK("http://trademark.i-assist.jp/data/china/image_1923th/81970193.pdf","81970193")</f>
        <v>81970193</v>
      </c>
      <c r="F1592" s="12" t="s">
        <v>4391</v>
      </c>
      <c r="G1592" s="9" t="s">
        <v>4181</v>
      </c>
      <c r="H1592" s="11" t="s">
        <v>4392</v>
      </c>
      <c r="I1592" s="10">
        <v>45610</v>
      </c>
    </row>
    <row r="1593" spans="1:9" x14ac:dyDescent="0.15">
      <c r="A1593" s="9">
        <v>1592</v>
      </c>
      <c r="B1593" s="9" t="s">
        <v>9</v>
      </c>
      <c r="C1593" s="9">
        <v>1923</v>
      </c>
      <c r="D1593" s="10">
        <v>45701</v>
      </c>
      <c r="E1593" s="13" t="str">
        <f>+HYPERLINK("http://trademark.i-assist.jp/data/china/image_1923th/81970680.pdf","81970680")</f>
        <v>81970680</v>
      </c>
      <c r="F1593" s="9" t="s">
        <v>4393</v>
      </c>
      <c r="G1593" s="11" t="s">
        <v>4394</v>
      </c>
      <c r="H1593" s="9" t="s">
        <v>4395</v>
      </c>
      <c r="I1593" s="10">
        <v>45610</v>
      </c>
    </row>
    <row r="1594" spans="1:9" x14ac:dyDescent="0.15">
      <c r="A1594" s="9">
        <v>1593</v>
      </c>
      <c r="B1594" s="9" t="s">
        <v>9</v>
      </c>
      <c r="C1594" s="9">
        <v>1923</v>
      </c>
      <c r="D1594" s="10">
        <v>45701</v>
      </c>
      <c r="E1594" s="13" t="str">
        <f>+HYPERLINK("http://trademark.i-assist.jp/data/china/image_1923th/81970907.pdf","81970907")</f>
        <v>81970907</v>
      </c>
      <c r="F1594" s="11" t="s">
        <v>126</v>
      </c>
      <c r="G1594" s="9" t="s">
        <v>4396</v>
      </c>
      <c r="H1594" s="9" t="s">
        <v>4397</v>
      </c>
      <c r="I1594" s="10">
        <v>45610</v>
      </c>
    </row>
    <row r="1595" spans="1:9" x14ac:dyDescent="0.15">
      <c r="A1595" s="9">
        <v>1594</v>
      </c>
      <c r="B1595" s="9" t="s">
        <v>9</v>
      </c>
      <c r="C1595" s="9">
        <v>1923</v>
      </c>
      <c r="D1595" s="10">
        <v>45701</v>
      </c>
      <c r="E1595" s="13" t="str">
        <f>+HYPERLINK("http://trademark.i-assist.jp/data/china/image_1923th/81971120.pdf","81971120")</f>
        <v>81971120</v>
      </c>
      <c r="F1595" s="9" t="s">
        <v>4398</v>
      </c>
      <c r="G1595" s="9" t="s">
        <v>4199</v>
      </c>
      <c r="H1595" s="9" t="s">
        <v>4399</v>
      </c>
      <c r="I1595" s="10">
        <v>45610</v>
      </c>
    </row>
    <row r="1596" spans="1:9" x14ac:dyDescent="0.15">
      <c r="A1596" s="9">
        <v>1595</v>
      </c>
      <c r="B1596" s="9" t="s">
        <v>9</v>
      </c>
      <c r="C1596" s="9">
        <v>1923</v>
      </c>
      <c r="D1596" s="10">
        <v>45701</v>
      </c>
      <c r="E1596" s="13" t="str">
        <f>+HYPERLINK("http://trademark.i-assist.jp/data/china/image_1923th/81971189.pdf","81971189")</f>
        <v>81971189</v>
      </c>
      <c r="F1596" s="9" t="s">
        <v>4400</v>
      </c>
      <c r="G1596" s="9" t="s">
        <v>4401</v>
      </c>
      <c r="H1596" s="9" t="s">
        <v>10</v>
      </c>
      <c r="I1596" s="10">
        <v>45610</v>
      </c>
    </row>
    <row r="1597" spans="1:9" x14ac:dyDescent="0.15">
      <c r="A1597" s="9">
        <v>1596</v>
      </c>
      <c r="B1597" s="9" t="s">
        <v>9</v>
      </c>
      <c r="C1597" s="9">
        <v>1923</v>
      </c>
      <c r="D1597" s="10">
        <v>45701</v>
      </c>
      <c r="E1597" s="13" t="str">
        <f>+HYPERLINK("http://trademark.i-assist.jp/data/china/image_1923th/81971446.pdf","81971446")</f>
        <v>81971446</v>
      </c>
      <c r="F1597" s="9" t="s">
        <v>4402</v>
      </c>
      <c r="G1597" s="9" t="s">
        <v>4159</v>
      </c>
      <c r="H1597" s="11" t="s">
        <v>4403</v>
      </c>
      <c r="I1597" s="10">
        <v>45610</v>
      </c>
    </row>
    <row r="1598" spans="1:9" x14ac:dyDescent="0.15">
      <c r="A1598" s="9">
        <v>1597</v>
      </c>
      <c r="B1598" s="9" t="s">
        <v>9</v>
      </c>
      <c r="C1598" s="9">
        <v>1923</v>
      </c>
      <c r="D1598" s="10">
        <v>45701</v>
      </c>
      <c r="E1598" s="13" t="str">
        <f>+HYPERLINK("http://trademark.i-assist.jp/data/china/image_1923th/81971499.pdf","81971499")</f>
        <v>81971499</v>
      </c>
      <c r="F1598" s="11" t="s">
        <v>4404</v>
      </c>
      <c r="G1598" s="11" t="s">
        <v>4405</v>
      </c>
      <c r="H1598" s="9" t="s">
        <v>4406</v>
      </c>
      <c r="I1598" s="10">
        <v>45610</v>
      </c>
    </row>
    <row r="1599" spans="1:9" x14ac:dyDescent="0.15">
      <c r="A1599" s="9">
        <v>1598</v>
      </c>
      <c r="B1599" s="9" t="s">
        <v>9</v>
      </c>
      <c r="C1599" s="9">
        <v>1923</v>
      </c>
      <c r="D1599" s="10">
        <v>45701</v>
      </c>
      <c r="E1599" s="13" t="str">
        <f>+HYPERLINK("http://trademark.i-assist.jp/data/china/image_1923th/81971575.pdf","81971575")</f>
        <v>81971575</v>
      </c>
      <c r="F1599" s="9" t="s">
        <v>4407</v>
      </c>
      <c r="G1599" s="11" t="s">
        <v>4284</v>
      </c>
      <c r="H1599" s="9" t="s">
        <v>4408</v>
      </c>
      <c r="I1599" s="10">
        <v>45610</v>
      </c>
    </row>
    <row r="1600" spans="1:9" x14ac:dyDescent="0.15">
      <c r="A1600" s="9">
        <v>1599</v>
      </c>
      <c r="B1600" s="9" t="s">
        <v>9</v>
      </c>
      <c r="C1600" s="9">
        <v>1923</v>
      </c>
      <c r="D1600" s="10">
        <v>45701</v>
      </c>
      <c r="E1600" s="13" t="str">
        <f>+HYPERLINK("http://trademark.i-assist.jp/data/china/image_1923th/81971779.pdf","81971779")</f>
        <v>81971779</v>
      </c>
      <c r="F1600" s="9" t="s">
        <v>4409</v>
      </c>
      <c r="G1600" s="9" t="s">
        <v>4410</v>
      </c>
      <c r="H1600" s="9" t="s">
        <v>4411</v>
      </c>
      <c r="I1600" s="10">
        <v>45610</v>
      </c>
    </row>
    <row r="1601" spans="1:9" x14ac:dyDescent="0.15">
      <c r="A1601" s="9">
        <v>1600</v>
      </c>
      <c r="B1601" s="9" t="s">
        <v>9</v>
      </c>
      <c r="C1601" s="9">
        <v>1923</v>
      </c>
      <c r="D1601" s="10">
        <v>45701</v>
      </c>
      <c r="E1601" s="13" t="str">
        <f>+HYPERLINK("http://trademark.i-assist.jp/data/china/image_1923th/81971853.pdf","81971853")</f>
        <v>81971853</v>
      </c>
      <c r="F1601" s="9" t="s">
        <v>4412</v>
      </c>
      <c r="G1601" s="9" t="s">
        <v>4413</v>
      </c>
      <c r="H1601" s="9" t="s">
        <v>4414</v>
      </c>
      <c r="I1601" s="10">
        <v>45610</v>
      </c>
    </row>
    <row r="1602" spans="1:9" x14ac:dyDescent="0.15">
      <c r="A1602" s="9">
        <v>1601</v>
      </c>
      <c r="B1602" s="9" t="s">
        <v>9</v>
      </c>
      <c r="C1602" s="9">
        <v>1923</v>
      </c>
      <c r="D1602" s="10">
        <v>45701</v>
      </c>
      <c r="E1602" s="13" t="str">
        <f>+HYPERLINK("http://trademark.i-assist.jp/data/china/image_1923th/81972124.pdf","81972124")</f>
        <v>81972124</v>
      </c>
      <c r="F1602" s="11" t="s">
        <v>4415</v>
      </c>
      <c r="G1602" s="11" t="s">
        <v>4416</v>
      </c>
      <c r="H1602" s="9" t="s">
        <v>4417</v>
      </c>
      <c r="I1602" s="10">
        <v>45610</v>
      </c>
    </row>
    <row r="1603" spans="1:9" x14ac:dyDescent="0.15">
      <c r="A1603" s="9">
        <v>1602</v>
      </c>
      <c r="B1603" s="9" t="s">
        <v>9</v>
      </c>
      <c r="C1603" s="9">
        <v>1923</v>
      </c>
      <c r="D1603" s="10">
        <v>45701</v>
      </c>
      <c r="E1603" s="13" t="str">
        <f>+HYPERLINK("http://trademark.i-assist.jp/data/china/image_1923th/81972518.pdf","81972518")</f>
        <v>81972518</v>
      </c>
      <c r="F1603" s="9" t="s">
        <v>43</v>
      </c>
      <c r="G1603" s="9" t="s">
        <v>4272</v>
      </c>
      <c r="H1603" s="9" t="s">
        <v>4418</v>
      </c>
      <c r="I1603" s="10">
        <v>45610</v>
      </c>
    </row>
    <row r="1604" spans="1:9" x14ac:dyDescent="0.15">
      <c r="A1604" s="9">
        <v>1603</v>
      </c>
      <c r="B1604" s="9" t="s">
        <v>9</v>
      </c>
      <c r="C1604" s="9">
        <v>1923</v>
      </c>
      <c r="D1604" s="10">
        <v>45701</v>
      </c>
      <c r="E1604" s="13" t="str">
        <f>+HYPERLINK("http://trademark.i-assist.jp/data/china/image_1923th/81972630.pdf","81972630")</f>
        <v>81972630</v>
      </c>
      <c r="F1604" s="9" t="s">
        <v>4419</v>
      </c>
      <c r="G1604" s="9" t="s">
        <v>4420</v>
      </c>
      <c r="H1604" s="11" t="s">
        <v>4421</v>
      </c>
      <c r="I1604" s="10">
        <v>45610</v>
      </c>
    </row>
    <row r="1605" spans="1:9" x14ac:dyDescent="0.15">
      <c r="A1605" s="9">
        <v>1604</v>
      </c>
      <c r="B1605" s="9" t="s">
        <v>9</v>
      </c>
      <c r="C1605" s="9">
        <v>1923</v>
      </c>
      <c r="D1605" s="10">
        <v>45701</v>
      </c>
      <c r="E1605" s="13" t="str">
        <f>+HYPERLINK("http://trademark.i-assist.jp/data/china/image_1923th/81973213.pdf","81973213")</f>
        <v>81973213</v>
      </c>
      <c r="F1605" s="9" t="s">
        <v>4422</v>
      </c>
      <c r="G1605" s="9" t="s">
        <v>4423</v>
      </c>
      <c r="H1605" s="9" t="s">
        <v>4424</v>
      </c>
      <c r="I1605" s="10">
        <v>45610</v>
      </c>
    </row>
    <row r="1606" spans="1:9" x14ac:dyDescent="0.15">
      <c r="A1606" s="9">
        <v>1605</v>
      </c>
      <c r="B1606" s="9" t="s">
        <v>9</v>
      </c>
      <c r="C1606" s="9">
        <v>1923</v>
      </c>
      <c r="D1606" s="10">
        <v>45701</v>
      </c>
      <c r="E1606" s="13" t="str">
        <f>+HYPERLINK("http://trademark.i-assist.jp/data/china/image_1923th/81973306.pdf","81973306")</f>
        <v>81973306</v>
      </c>
      <c r="F1606" s="9" t="s">
        <v>4425</v>
      </c>
      <c r="G1606" s="9" t="s">
        <v>4426</v>
      </c>
      <c r="H1606" s="9" t="s">
        <v>4427</v>
      </c>
      <c r="I1606" s="10">
        <v>45610</v>
      </c>
    </row>
    <row r="1607" spans="1:9" x14ac:dyDescent="0.15">
      <c r="A1607" s="9">
        <v>1606</v>
      </c>
      <c r="B1607" s="9" t="s">
        <v>9</v>
      </c>
      <c r="C1607" s="9">
        <v>1923</v>
      </c>
      <c r="D1607" s="10">
        <v>45701</v>
      </c>
      <c r="E1607" s="13" t="str">
        <f>+HYPERLINK("http://trademark.i-assist.jp/data/china/image_1923th/81973323.pdf","81973323")</f>
        <v>81973323</v>
      </c>
      <c r="F1607" s="11" t="s">
        <v>4428</v>
      </c>
      <c r="G1607" s="9" t="s">
        <v>4429</v>
      </c>
      <c r="H1607" s="9" t="s">
        <v>4430</v>
      </c>
      <c r="I1607" s="10">
        <v>45610</v>
      </c>
    </row>
    <row r="1608" spans="1:9" x14ac:dyDescent="0.15">
      <c r="A1608" s="9">
        <v>1607</v>
      </c>
      <c r="B1608" s="9" t="s">
        <v>9</v>
      </c>
      <c r="C1608" s="9">
        <v>1923</v>
      </c>
      <c r="D1608" s="10">
        <v>45701</v>
      </c>
      <c r="E1608" s="13" t="str">
        <f>+HYPERLINK("http://trademark.i-assist.jp/data/china/image_1923th/81973400.pdf","81973400")</f>
        <v>81973400</v>
      </c>
      <c r="F1608" s="9" t="s">
        <v>4431</v>
      </c>
      <c r="G1608" s="9" t="s">
        <v>4432</v>
      </c>
      <c r="H1608" s="9" t="s">
        <v>4433</v>
      </c>
      <c r="I1608" s="10">
        <v>45610</v>
      </c>
    </row>
    <row r="1609" spans="1:9" x14ac:dyDescent="0.15">
      <c r="A1609" s="9">
        <v>1608</v>
      </c>
      <c r="B1609" s="9" t="s">
        <v>9</v>
      </c>
      <c r="C1609" s="9">
        <v>1923</v>
      </c>
      <c r="D1609" s="10">
        <v>45701</v>
      </c>
      <c r="E1609" s="13" t="str">
        <f>+HYPERLINK("http://trademark.i-assist.jp/data/china/image_1923th/81973499.pdf","81973499")</f>
        <v>81973499</v>
      </c>
      <c r="F1609" s="9" t="s">
        <v>4434</v>
      </c>
      <c r="G1609" s="11" t="s">
        <v>4435</v>
      </c>
      <c r="H1609" s="9" t="s">
        <v>4436</v>
      </c>
      <c r="I1609" s="10">
        <v>45610</v>
      </c>
    </row>
    <row r="1610" spans="1:9" x14ac:dyDescent="0.15">
      <c r="A1610" s="9">
        <v>1609</v>
      </c>
      <c r="B1610" s="9" t="s">
        <v>9</v>
      </c>
      <c r="C1610" s="9">
        <v>1923</v>
      </c>
      <c r="D1610" s="10">
        <v>45701</v>
      </c>
      <c r="E1610" s="13" t="str">
        <f>+HYPERLINK("http://trademark.i-assist.jp/data/china/image_1923th/81973511.pdf","81973511")</f>
        <v>81973511</v>
      </c>
      <c r="F1610" s="9" t="s">
        <v>4437</v>
      </c>
      <c r="G1610" s="9" t="s">
        <v>4135</v>
      </c>
      <c r="H1610" s="11" t="s">
        <v>4438</v>
      </c>
      <c r="I1610" s="10">
        <v>45610</v>
      </c>
    </row>
    <row r="1611" spans="1:9" x14ac:dyDescent="0.15">
      <c r="A1611" s="9">
        <v>1610</v>
      </c>
      <c r="B1611" s="9" t="s">
        <v>9</v>
      </c>
      <c r="C1611" s="9">
        <v>1923</v>
      </c>
      <c r="D1611" s="10">
        <v>45701</v>
      </c>
      <c r="E1611" s="13" t="str">
        <f>+HYPERLINK("http://trademark.i-assist.jp/data/china/image_1923th/81973872.pdf","81973872")</f>
        <v>81973872</v>
      </c>
      <c r="F1611" s="9" t="s">
        <v>4439</v>
      </c>
      <c r="G1611" s="9" t="s">
        <v>4440</v>
      </c>
      <c r="H1611" s="9" t="s">
        <v>4441</v>
      </c>
      <c r="I1611" s="10">
        <v>45610</v>
      </c>
    </row>
    <row r="1612" spans="1:9" x14ac:dyDescent="0.15">
      <c r="A1612" s="9">
        <v>1611</v>
      </c>
      <c r="B1612" s="9" t="s">
        <v>9</v>
      </c>
      <c r="C1612" s="9">
        <v>1923</v>
      </c>
      <c r="D1612" s="10">
        <v>45701</v>
      </c>
      <c r="E1612" s="13" t="str">
        <f>+HYPERLINK("http://trademark.i-assist.jp/data/china/image_1923th/81974134.pdf","81974134")</f>
        <v>81974134</v>
      </c>
      <c r="F1612" s="9" t="s">
        <v>4442</v>
      </c>
      <c r="G1612" s="9" t="s">
        <v>4443</v>
      </c>
      <c r="H1612" s="9" t="s">
        <v>4444</v>
      </c>
      <c r="I1612" s="10">
        <v>45610</v>
      </c>
    </row>
    <row r="1613" spans="1:9" x14ac:dyDescent="0.15">
      <c r="A1613" s="9">
        <v>1612</v>
      </c>
      <c r="B1613" s="9" t="s">
        <v>9</v>
      </c>
      <c r="C1613" s="9">
        <v>1923</v>
      </c>
      <c r="D1613" s="10">
        <v>45701</v>
      </c>
      <c r="E1613" s="13" t="str">
        <f>+HYPERLINK("http://trademark.i-assist.jp/data/china/image_1923th/81974151.pdf","81974151")</f>
        <v>81974151</v>
      </c>
      <c r="F1613" s="9" t="s">
        <v>4445</v>
      </c>
      <c r="G1613" s="9" t="s">
        <v>4446</v>
      </c>
      <c r="H1613" s="9" t="s">
        <v>4447</v>
      </c>
      <c r="I1613" s="10">
        <v>45610</v>
      </c>
    </row>
    <row r="1614" spans="1:9" x14ac:dyDescent="0.15">
      <c r="A1614" s="9">
        <v>1613</v>
      </c>
      <c r="B1614" s="9" t="s">
        <v>9</v>
      </c>
      <c r="C1614" s="9">
        <v>1923</v>
      </c>
      <c r="D1614" s="10">
        <v>45701</v>
      </c>
      <c r="E1614" s="13" t="str">
        <f>+HYPERLINK("http://trademark.i-assist.jp/data/china/image_1923th/81974166.pdf","81974166")</f>
        <v>81974166</v>
      </c>
      <c r="F1614" s="9" t="s">
        <v>4448</v>
      </c>
      <c r="G1614" s="9" t="s">
        <v>4199</v>
      </c>
      <c r="H1614" s="9" t="s">
        <v>4449</v>
      </c>
      <c r="I1614" s="10">
        <v>45610</v>
      </c>
    </row>
    <row r="1615" spans="1:9" x14ac:dyDescent="0.15">
      <c r="A1615" s="9">
        <v>1614</v>
      </c>
      <c r="B1615" s="9" t="s">
        <v>9</v>
      </c>
      <c r="C1615" s="9">
        <v>1923</v>
      </c>
      <c r="D1615" s="10">
        <v>45701</v>
      </c>
      <c r="E1615" s="13" t="str">
        <f>+HYPERLINK("http://trademark.i-assist.jp/data/china/image_1923th/81974309.pdf","81974309")</f>
        <v>81974309</v>
      </c>
      <c r="F1615" s="9" t="s">
        <v>4450</v>
      </c>
      <c r="G1615" s="11" t="s">
        <v>4451</v>
      </c>
      <c r="H1615" s="9" t="s">
        <v>4452</v>
      </c>
      <c r="I1615" s="10">
        <v>45610</v>
      </c>
    </row>
    <row r="1616" spans="1:9" x14ac:dyDescent="0.15">
      <c r="A1616" s="9">
        <v>1615</v>
      </c>
      <c r="B1616" s="9" t="s">
        <v>9</v>
      </c>
      <c r="C1616" s="9">
        <v>1923</v>
      </c>
      <c r="D1616" s="10">
        <v>45701</v>
      </c>
      <c r="E1616" s="13" t="str">
        <f>+HYPERLINK("http://trademark.i-assist.jp/data/china/image_1923th/81974894.pdf","81974894")</f>
        <v>81974894</v>
      </c>
      <c r="F1616" s="9" t="s">
        <v>4453</v>
      </c>
      <c r="G1616" s="9" t="s">
        <v>4454</v>
      </c>
      <c r="H1616" s="9" t="s">
        <v>4455</v>
      </c>
      <c r="I1616" s="10">
        <v>45610</v>
      </c>
    </row>
    <row r="1617" spans="1:9" x14ac:dyDescent="0.15">
      <c r="A1617" s="9">
        <v>1616</v>
      </c>
      <c r="B1617" s="9" t="s">
        <v>9</v>
      </c>
      <c r="C1617" s="9">
        <v>1923</v>
      </c>
      <c r="D1617" s="10">
        <v>45701</v>
      </c>
      <c r="E1617" s="13" t="str">
        <f>+HYPERLINK("http://trademark.i-assist.jp/data/china/image_1923th/81974899.pdf","81974899")</f>
        <v>81974899</v>
      </c>
      <c r="F1617" s="9" t="s">
        <v>4456</v>
      </c>
      <c r="G1617" s="9" t="s">
        <v>4181</v>
      </c>
      <c r="H1617" s="9" t="s">
        <v>4457</v>
      </c>
      <c r="I1617" s="10">
        <v>45610</v>
      </c>
    </row>
    <row r="1618" spans="1:9" x14ac:dyDescent="0.15">
      <c r="A1618" s="9">
        <v>1617</v>
      </c>
      <c r="B1618" s="9" t="s">
        <v>9</v>
      </c>
      <c r="C1618" s="9">
        <v>1923</v>
      </c>
      <c r="D1618" s="10">
        <v>45701</v>
      </c>
      <c r="E1618" s="13" t="str">
        <f>+HYPERLINK("http://trademark.i-assist.jp/data/china/image_1923th/81974994.pdf","81974994")</f>
        <v>81974994</v>
      </c>
      <c r="F1618" s="9" t="s">
        <v>4458</v>
      </c>
      <c r="G1618" s="9" t="s">
        <v>4459</v>
      </c>
      <c r="H1618" s="9" t="s">
        <v>4460</v>
      </c>
      <c r="I1618" s="10">
        <v>45610</v>
      </c>
    </row>
    <row r="1619" spans="1:9" x14ac:dyDescent="0.15">
      <c r="A1619" s="9">
        <v>1618</v>
      </c>
      <c r="B1619" s="9" t="s">
        <v>9</v>
      </c>
      <c r="C1619" s="9">
        <v>1923</v>
      </c>
      <c r="D1619" s="10">
        <v>45701</v>
      </c>
      <c r="E1619" s="13" t="str">
        <f>+HYPERLINK("http://trademark.i-assist.jp/data/china/image_1923th/81975138.pdf","81975138")</f>
        <v>81975138</v>
      </c>
      <c r="F1619" s="12" t="s">
        <v>4461</v>
      </c>
      <c r="G1619" s="9" t="s">
        <v>4169</v>
      </c>
      <c r="H1619" s="9" t="s">
        <v>4462</v>
      </c>
      <c r="I1619" s="10">
        <v>45610</v>
      </c>
    </row>
    <row r="1620" spans="1:9" x14ac:dyDescent="0.15">
      <c r="A1620" s="9">
        <v>1619</v>
      </c>
      <c r="B1620" s="9" t="s">
        <v>9</v>
      </c>
      <c r="C1620" s="9">
        <v>1923</v>
      </c>
      <c r="D1620" s="10">
        <v>45701</v>
      </c>
      <c r="E1620" s="13" t="str">
        <f>+HYPERLINK("http://trademark.i-assist.jp/data/china/image_1923th/81975371.pdf","81975371")</f>
        <v>81975371</v>
      </c>
      <c r="F1620" s="9" t="s">
        <v>4463</v>
      </c>
      <c r="G1620" s="9" t="s">
        <v>4339</v>
      </c>
      <c r="H1620" s="9" t="s">
        <v>4464</v>
      </c>
      <c r="I1620" s="10">
        <v>45610</v>
      </c>
    </row>
    <row r="1621" spans="1:9" x14ac:dyDescent="0.15">
      <c r="A1621" s="9">
        <v>1620</v>
      </c>
      <c r="B1621" s="9" t="s">
        <v>9</v>
      </c>
      <c r="C1621" s="9">
        <v>1923</v>
      </c>
      <c r="D1621" s="10">
        <v>45701</v>
      </c>
      <c r="E1621" s="13" t="str">
        <f>+HYPERLINK("http://trademark.i-assist.jp/data/china/image_1923th/81975506.pdf","81975506")</f>
        <v>81975506</v>
      </c>
      <c r="F1621" s="9" t="s">
        <v>4465</v>
      </c>
      <c r="G1621" s="9" t="s">
        <v>4159</v>
      </c>
      <c r="H1621" s="9" t="s">
        <v>4466</v>
      </c>
      <c r="I1621" s="10">
        <v>45610</v>
      </c>
    </row>
    <row r="1622" spans="1:9" x14ac:dyDescent="0.15">
      <c r="A1622" s="9">
        <v>1621</v>
      </c>
      <c r="B1622" s="9" t="s">
        <v>9</v>
      </c>
      <c r="C1622" s="9">
        <v>1923</v>
      </c>
      <c r="D1622" s="10">
        <v>45701</v>
      </c>
      <c r="E1622" s="13" t="str">
        <f>+HYPERLINK("http://trademark.i-assist.jp/data/china/image_1923th/81975531.pdf","81975531")</f>
        <v>81975531</v>
      </c>
      <c r="F1622" s="9" t="s">
        <v>4467</v>
      </c>
      <c r="G1622" s="9" t="s">
        <v>4159</v>
      </c>
      <c r="H1622" s="9" t="s">
        <v>4468</v>
      </c>
      <c r="I1622" s="10">
        <v>45610</v>
      </c>
    </row>
    <row r="1623" spans="1:9" x14ac:dyDescent="0.15">
      <c r="A1623" s="9">
        <v>1622</v>
      </c>
      <c r="B1623" s="9" t="s">
        <v>9</v>
      </c>
      <c r="C1623" s="9">
        <v>1923</v>
      </c>
      <c r="D1623" s="10">
        <v>45701</v>
      </c>
      <c r="E1623" s="13" t="str">
        <f>+HYPERLINK("http://trademark.i-assist.jp/data/china/image_1923th/81975762.pdf","81975762")</f>
        <v>81975762</v>
      </c>
      <c r="F1623" s="9" t="s">
        <v>4469</v>
      </c>
      <c r="G1623" s="9" t="s">
        <v>4470</v>
      </c>
      <c r="H1623" s="9" t="s">
        <v>4471</v>
      </c>
      <c r="I1623" s="10">
        <v>45610</v>
      </c>
    </row>
    <row r="1624" spans="1:9" x14ac:dyDescent="0.15">
      <c r="A1624" s="9">
        <v>1623</v>
      </c>
      <c r="B1624" s="9" t="s">
        <v>9</v>
      </c>
      <c r="C1624" s="9">
        <v>1923</v>
      </c>
      <c r="D1624" s="10">
        <v>45701</v>
      </c>
      <c r="E1624" s="13" t="str">
        <f>+HYPERLINK("http://trademark.i-assist.jp/data/china/image_1923th/81976012.pdf","81976012")</f>
        <v>81976012</v>
      </c>
      <c r="F1624" s="9" t="s">
        <v>4472</v>
      </c>
      <c r="G1624" s="9" t="s">
        <v>4473</v>
      </c>
      <c r="H1624" s="9" t="s">
        <v>4474</v>
      </c>
      <c r="I1624" s="10">
        <v>45610</v>
      </c>
    </row>
    <row r="1625" spans="1:9" x14ac:dyDescent="0.15">
      <c r="A1625" s="9">
        <v>1624</v>
      </c>
      <c r="B1625" s="9" t="s">
        <v>9</v>
      </c>
      <c r="C1625" s="9">
        <v>1923</v>
      </c>
      <c r="D1625" s="10">
        <v>45701</v>
      </c>
      <c r="E1625" s="13" t="str">
        <f>+HYPERLINK("http://trademark.i-assist.jp/data/china/image_1923th/81976651.pdf","81976651")</f>
        <v>81976651</v>
      </c>
      <c r="F1625" s="12" t="s">
        <v>4475</v>
      </c>
      <c r="G1625" s="9" t="s">
        <v>4476</v>
      </c>
      <c r="H1625" s="9" t="s">
        <v>4477</v>
      </c>
      <c r="I1625" s="10">
        <v>45610</v>
      </c>
    </row>
    <row r="1626" spans="1:9" x14ac:dyDescent="0.15">
      <c r="A1626" s="9">
        <v>1625</v>
      </c>
      <c r="B1626" s="9" t="s">
        <v>9</v>
      </c>
      <c r="C1626" s="9">
        <v>1923</v>
      </c>
      <c r="D1626" s="10">
        <v>45701</v>
      </c>
      <c r="E1626" s="13" t="str">
        <f>+HYPERLINK("http://trademark.i-assist.jp/data/china/image_1923th/81976678.pdf","81976678")</f>
        <v>81976678</v>
      </c>
      <c r="F1626" s="9" t="s">
        <v>4478</v>
      </c>
      <c r="G1626" s="11" t="s">
        <v>4210</v>
      </c>
      <c r="H1626" s="9" t="s">
        <v>4479</v>
      </c>
      <c r="I1626" s="10">
        <v>45610</v>
      </c>
    </row>
    <row r="1627" spans="1:9" x14ac:dyDescent="0.15">
      <c r="A1627" s="9">
        <v>1626</v>
      </c>
      <c r="B1627" s="9" t="s">
        <v>9</v>
      </c>
      <c r="C1627" s="9">
        <v>1923</v>
      </c>
      <c r="D1627" s="10">
        <v>45701</v>
      </c>
      <c r="E1627" s="13" t="str">
        <f>+HYPERLINK("http://trademark.i-assist.jp/data/china/image_1923th/81976874.pdf","81976874")</f>
        <v>81976874</v>
      </c>
      <c r="F1627" s="11" t="s">
        <v>4480</v>
      </c>
      <c r="G1627" s="9" t="s">
        <v>4481</v>
      </c>
      <c r="H1627" s="9" t="s">
        <v>4482</v>
      </c>
      <c r="I1627" s="10">
        <v>45610</v>
      </c>
    </row>
    <row r="1628" spans="1:9" x14ac:dyDescent="0.15">
      <c r="A1628" s="9">
        <v>1627</v>
      </c>
      <c r="B1628" s="9" t="s">
        <v>9</v>
      </c>
      <c r="C1628" s="9">
        <v>1923</v>
      </c>
      <c r="D1628" s="10">
        <v>45701</v>
      </c>
      <c r="E1628" s="13" t="str">
        <f>+HYPERLINK("http://trademark.i-assist.jp/data/china/image_1923th/81976882.pdf","81976882")</f>
        <v>81976882</v>
      </c>
      <c r="F1628" s="11" t="s">
        <v>4483</v>
      </c>
      <c r="G1628" s="9" t="s">
        <v>4484</v>
      </c>
      <c r="H1628" s="9" t="s">
        <v>4485</v>
      </c>
      <c r="I1628" s="10">
        <v>45610</v>
      </c>
    </row>
    <row r="1629" spans="1:9" x14ac:dyDescent="0.15">
      <c r="A1629" s="9">
        <v>1628</v>
      </c>
      <c r="B1629" s="9" t="s">
        <v>9</v>
      </c>
      <c r="C1629" s="9">
        <v>1923</v>
      </c>
      <c r="D1629" s="10">
        <v>45701</v>
      </c>
      <c r="E1629" s="13" t="str">
        <f>+HYPERLINK("http://trademark.i-assist.jp/data/china/image_1923th/81976927.pdf","81976927")</f>
        <v>81976927</v>
      </c>
      <c r="F1629" s="9" t="s">
        <v>4486</v>
      </c>
      <c r="G1629" s="9" t="s">
        <v>4360</v>
      </c>
      <c r="H1629" s="9" t="s">
        <v>4487</v>
      </c>
      <c r="I1629" s="10">
        <v>45610</v>
      </c>
    </row>
    <row r="1630" spans="1:9" x14ac:dyDescent="0.15">
      <c r="A1630" s="9">
        <v>1629</v>
      </c>
      <c r="B1630" s="9" t="s">
        <v>9</v>
      </c>
      <c r="C1630" s="9">
        <v>1923</v>
      </c>
      <c r="D1630" s="10">
        <v>45701</v>
      </c>
      <c r="E1630" s="13" t="str">
        <f>+HYPERLINK("http://trademark.i-assist.jp/data/china/image_1923th/81976984.pdf","81976984")</f>
        <v>81976984</v>
      </c>
      <c r="F1630" s="9" t="s">
        <v>4488</v>
      </c>
      <c r="G1630" s="9" t="s">
        <v>4489</v>
      </c>
      <c r="H1630" s="9" t="s">
        <v>4490</v>
      </c>
      <c r="I1630" s="10">
        <v>45610</v>
      </c>
    </row>
    <row r="1631" spans="1:9" x14ac:dyDescent="0.15">
      <c r="A1631" s="9">
        <v>1630</v>
      </c>
      <c r="B1631" s="9" t="s">
        <v>9</v>
      </c>
      <c r="C1631" s="9">
        <v>1923</v>
      </c>
      <c r="D1631" s="10">
        <v>45701</v>
      </c>
      <c r="E1631" s="13" t="str">
        <f>+HYPERLINK("http://trademark.i-assist.jp/data/china/image_1923th/81977046.pdf","81977046")</f>
        <v>81977046</v>
      </c>
      <c r="F1631" s="9" t="s">
        <v>4491</v>
      </c>
      <c r="G1631" s="11" t="s">
        <v>4492</v>
      </c>
      <c r="H1631" s="9" t="s">
        <v>4493</v>
      </c>
      <c r="I1631" s="10">
        <v>45610</v>
      </c>
    </row>
    <row r="1632" spans="1:9" x14ac:dyDescent="0.15">
      <c r="A1632" s="9">
        <v>1631</v>
      </c>
      <c r="B1632" s="9" t="s">
        <v>9</v>
      </c>
      <c r="C1632" s="9">
        <v>1923</v>
      </c>
      <c r="D1632" s="10">
        <v>45701</v>
      </c>
      <c r="E1632" s="13" t="str">
        <f>+HYPERLINK("http://trademark.i-assist.jp/data/china/image_1923th/81977736.pdf","81977736")</f>
        <v>81977736</v>
      </c>
      <c r="F1632" s="9" t="s">
        <v>4494</v>
      </c>
      <c r="G1632" s="9" t="s">
        <v>4495</v>
      </c>
      <c r="H1632" s="9" t="s">
        <v>4496</v>
      </c>
      <c r="I1632" s="10">
        <v>45610</v>
      </c>
    </row>
    <row r="1633" spans="1:9" x14ac:dyDescent="0.15">
      <c r="A1633" s="9">
        <v>1632</v>
      </c>
      <c r="B1633" s="9" t="s">
        <v>9</v>
      </c>
      <c r="C1633" s="9">
        <v>1923</v>
      </c>
      <c r="D1633" s="10">
        <v>45701</v>
      </c>
      <c r="E1633" s="13" t="str">
        <f>+HYPERLINK("http://trademark.i-assist.jp/data/china/image_1923th/81977971.pdf","81977971")</f>
        <v>81977971</v>
      </c>
      <c r="F1633" s="9" t="s">
        <v>4497</v>
      </c>
      <c r="G1633" s="9" t="s">
        <v>4498</v>
      </c>
      <c r="H1633" s="9" t="s">
        <v>4499</v>
      </c>
      <c r="I1633" s="10">
        <v>45610</v>
      </c>
    </row>
    <row r="1634" spans="1:9" x14ac:dyDescent="0.15">
      <c r="A1634" s="9">
        <v>1633</v>
      </c>
      <c r="B1634" s="9" t="s">
        <v>9</v>
      </c>
      <c r="C1634" s="9">
        <v>1923</v>
      </c>
      <c r="D1634" s="10">
        <v>45701</v>
      </c>
      <c r="E1634" s="13" t="str">
        <f>+HYPERLINK("http://trademark.i-assist.jp/data/china/image_1923th/81978009.pdf","81978009")</f>
        <v>81978009</v>
      </c>
      <c r="F1634" s="9" t="s">
        <v>4500</v>
      </c>
      <c r="G1634" s="9" t="s">
        <v>4169</v>
      </c>
      <c r="H1634" s="9" t="s">
        <v>4501</v>
      </c>
      <c r="I1634" s="10">
        <v>45610</v>
      </c>
    </row>
    <row r="1635" spans="1:9" x14ac:dyDescent="0.15">
      <c r="A1635" s="9">
        <v>1634</v>
      </c>
      <c r="B1635" s="9" t="s">
        <v>9</v>
      </c>
      <c r="C1635" s="9">
        <v>1923</v>
      </c>
      <c r="D1635" s="10">
        <v>45701</v>
      </c>
      <c r="E1635" s="13" t="str">
        <f>+HYPERLINK("http://trademark.i-assist.jp/data/china/image_1923th/81978022.pdf","81978022")</f>
        <v>81978022</v>
      </c>
      <c r="F1635" s="9" t="s">
        <v>4502</v>
      </c>
      <c r="G1635" s="9" t="s">
        <v>4503</v>
      </c>
      <c r="H1635" s="9" t="s">
        <v>4504</v>
      </c>
      <c r="I1635" s="10">
        <v>45610</v>
      </c>
    </row>
    <row r="1636" spans="1:9" x14ac:dyDescent="0.15">
      <c r="A1636" s="9">
        <v>1635</v>
      </c>
      <c r="B1636" s="9" t="s">
        <v>9</v>
      </c>
      <c r="C1636" s="9">
        <v>1923</v>
      </c>
      <c r="D1636" s="10">
        <v>45701</v>
      </c>
      <c r="E1636" s="13" t="str">
        <f>+HYPERLINK("http://trademark.i-assist.jp/data/china/image_1923th/81978123.pdf","81978123")</f>
        <v>81978123</v>
      </c>
      <c r="F1636" s="11" t="s">
        <v>4505</v>
      </c>
      <c r="G1636" s="9" t="s">
        <v>4506</v>
      </c>
      <c r="H1636" s="9" t="s">
        <v>4507</v>
      </c>
      <c r="I1636" s="10">
        <v>45610</v>
      </c>
    </row>
    <row r="1637" spans="1:9" x14ac:dyDescent="0.15">
      <c r="A1637" s="9">
        <v>1636</v>
      </c>
      <c r="B1637" s="9" t="s">
        <v>9</v>
      </c>
      <c r="C1637" s="9">
        <v>1923</v>
      </c>
      <c r="D1637" s="10">
        <v>45701</v>
      </c>
      <c r="E1637" s="13" t="str">
        <f>+HYPERLINK("http://trademark.i-assist.jp/data/china/image_1923th/81978322.pdf","81978322")</f>
        <v>81978322</v>
      </c>
      <c r="F1637" s="9" t="s">
        <v>4508</v>
      </c>
      <c r="G1637" s="9" t="s">
        <v>4199</v>
      </c>
      <c r="H1637" s="9" t="s">
        <v>4509</v>
      </c>
      <c r="I1637" s="10">
        <v>45610</v>
      </c>
    </row>
    <row r="1638" spans="1:9" x14ac:dyDescent="0.15">
      <c r="A1638" s="9">
        <v>1637</v>
      </c>
      <c r="B1638" s="9" t="s">
        <v>9</v>
      </c>
      <c r="C1638" s="9">
        <v>1923</v>
      </c>
      <c r="D1638" s="10">
        <v>45701</v>
      </c>
      <c r="E1638" s="13" t="str">
        <f>+HYPERLINK("http://trademark.i-assist.jp/data/china/image_1923th/81978482.pdf","81978482")</f>
        <v>81978482</v>
      </c>
      <c r="F1638" s="11" t="s">
        <v>4510</v>
      </c>
      <c r="G1638" s="11" t="s">
        <v>4405</v>
      </c>
      <c r="H1638" s="9" t="s">
        <v>4511</v>
      </c>
      <c r="I1638" s="10">
        <v>45610</v>
      </c>
    </row>
    <row r="1639" spans="1:9" x14ac:dyDescent="0.15">
      <c r="A1639" s="9">
        <v>1638</v>
      </c>
      <c r="B1639" s="9" t="s">
        <v>9</v>
      </c>
      <c r="C1639" s="9">
        <v>1923</v>
      </c>
      <c r="D1639" s="10">
        <v>45701</v>
      </c>
      <c r="E1639" s="13" t="str">
        <f>+HYPERLINK("http://trademark.i-assist.jp/data/china/image_1923th/81978485.pdf","81978485")</f>
        <v>81978485</v>
      </c>
      <c r="F1639" s="11" t="s">
        <v>4512</v>
      </c>
      <c r="G1639" s="9" t="s">
        <v>4334</v>
      </c>
      <c r="H1639" s="9" t="s">
        <v>4513</v>
      </c>
      <c r="I1639" s="10">
        <v>45610</v>
      </c>
    </row>
    <row r="1640" spans="1:9" x14ac:dyDescent="0.15">
      <c r="A1640" s="9">
        <v>1639</v>
      </c>
      <c r="B1640" s="9" t="s">
        <v>9</v>
      </c>
      <c r="C1640" s="9">
        <v>1923</v>
      </c>
      <c r="D1640" s="10">
        <v>45701</v>
      </c>
      <c r="E1640" s="13" t="str">
        <f>+HYPERLINK("http://trademark.i-assist.jp/data/china/image_1923th/81978606.pdf","81978606")</f>
        <v>81978606</v>
      </c>
      <c r="F1640" s="9" t="s">
        <v>4514</v>
      </c>
      <c r="G1640" s="9" t="s">
        <v>4135</v>
      </c>
      <c r="H1640" s="9" t="s">
        <v>4515</v>
      </c>
      <c r="I1640" s="10">
        <v>45610</v>
      </c>
    </row>
    <row r="1641" spans="1:9" x14ac:dyDescent="0.15">
      <c r="A1641" s="9">
        <v>1640</v>
      </c>
      <c r="B1641" s="9" t="s">
        <v>9</v>
      </c>
      <c r="C1641" s="9">
        <v>1923</v>
      </c>
      <c r="D1641" s="10">
        <v>45701</v>
      </c>
      <c r="E1641" s="13" t="str">
        <f>+HYPERLINK("http://trademark.i-assist.jp/data/china/image_1923th/81978765.pdf","81978765")</f>
        <v>81978765</v>
      </c>
      <c r="F1641" s="11" t="s">
        <v>4516</v>
      </c>
      <c r="G1641" s="9" t="s">
        <v>4517</v>
      </c>
      <c r="H1641" s="9" t="s">
        <v>4518</v>
      </c>
      <c r="I1641" s="10">
        <v>45610</v>
      </c>
    </row>
    <row r="1642" spans="1:9" x14ac:dyDescent="0.15">
      <c r="A1642" s="9">
        <v>1641</v>
      </c>
      <c r="B1642" s="9" t="s">
        <v>9</v>
      </c>
      <c r="C1642" s="9">
        <v>1923</v>
      </c>
      <c r="D1642" s="10">
        <v>45701</v>
      </c>
      <c r="E1642" s="13" t="str">
        <f>+HYPERLINK("http://trademark.i-assist.jp/data/china/image_1923th/81979152.pdf","81979152")</f>
        <v>81979152</v>
      </c>
      <c r="F1642" s="11" t="s">
        <v>4519</v>
      </c>
      <c r="G1642" s="9" t="s">
        <v>4251</v>
      </c>
      <c r="H1642" s="11" t="s">
        <v>4520</v>
      </c>
      <c r="I1642" s="10">
        <v>45610</v>
      </c>
    </row>
    <row r="1643" spans="1:9" x14ac:dyDescent="0.15">
      <c r="A1643" s="9">
        <v>1642</v>
      </c>
      <c r="B1643" s="9" t="s">
        <v>9</v>
      </c>
      <c r="C1643" s="9">
        <v>1923</v>
      </c>
      <c r="D1643" s="10">
        <v>45701</v>
      </c>
      <c r="E1643" s="13" t="str">
        <f>+HYPERLINK("http://trademark.i-assist.jp/data/china/image_1923th/81979400.pdf","81979400")</f>
        <v>81979400</v>
      </c>
      <c r="F1643" s="11" t="s">
        <v>4521</v>
      </c>
      <c r="G1643" s="9" t="s">
        <v>4292</v>
      </c>
      <c r="H1643" s="9" t="s">
        <v>4522</v>
      </c>
      <c r="I1643" s="10">
        <v>45610</v>
      </c>
    </row>
    <row r="1644" spans="1:9" x14ac:dyDescent="0.15">
      <c r="A1644" s="9">
        <v>1643</v>
      </c>
      <c r="B1644" s="9" t="s">
        <v>9</v>
      </c>
      <c r="C1644" s="9">
        <v>1923</v>
      </c>
      <c r="D1644" s="10">
        <v>45701</v>
      </c>
      <c r="E1644" s="13" t="str">
        <f>+HYPERLINK("http://trademark.i-assist.jp/data/china/image_1923th/81979555.pdf","81979555")</f>
        <v>81979555</v>
      </c>
      <c r="F1644" s="9" t="s">
        <v>4523</v>
      </c>
      <c r="G1644" s="9" t="s">
        <v>4410</v>
      </c>
      <c r="H1644" s="9" t="s">
        <v>4524</v>
      </c>
      <c r="I1644" s="10">
        <v>45610</v>
      </c>
    </row>
    <row r="1645" spans="1:9" x14ac:dyDescent="0.15">
      <c r="A1645" s="9">
        <v>1644</v>
      </c>
      <c r="B1645" s="9" t="s">
        <v>9</v>
      </c>
      <c r="C1645" s="9">
        <v>1923</v>
      </c>
      <c r="D1645" s="10">
        <v>45701</v>
      </c>
      <c r="E1645" s="13" t="str">
        <f>+HYPERLINK("http://trademark.i-assist.jp/data/china/image_1923th/81979752.pdf","81979752")</f>
        <v>81979752</v>
      </c>
      <c r="F1645" s="9" t="s">
        <v>4525</v>
      </c>
      <c r="G1645" s="9" t="s">
        <v>4526</v>
      </c>
      <c r="H1645" s="9" t="s">
        <v>4527</v>
      </c>
      <c r="I1645" s="10">
        <v>45610</v>
      </c>
    </row>
    <row r="1646" spans="1:9" x14ac:dyDescent="0.15">
      <c r="A1646" s="9">
        <v>1645</v>
      </c>
      <c r="B1646" s="9" t="s">
        <v>9</v>
      </c>
      <c r="C1646" s="9">
        <v>1923</v>
      </c>
      <c r="D1646" s="10">
        <v>45701</v>
      </c>
      <c r="E1646" s="13" t="str">
        <f>+HYPERLINK("http://trademark.i-assist.jp/data/china/image_1923th/81979925.pdf","81979925")</f>
        <v>81979925</v>
      </c>
      <c r="F1646" s="9" t="s">
        <v>4528</v>
      </c>
      <c r="G1646" s="9" t="s">
        <v>4363</v>
      </c>
      <c r="H1646" s="9" t="s">
        <v>4529</v>
      </c>
      <c r="I1646" s="10">
        <v>45611</v>
      </c>
    </row>
    <row r="1647" spans="1:9" x14ac:dyDescent="0.15">
      <c r="A1647" s="9">
        <v>1646</v>
      </c>
      <c r="B1647" s="9" t="s">
        <v>9</v>
      </c>
      <c r="C1647" s="9">
        <v>1923</v>
      </c>
      <c r="D1647" s="10">
        <v>45701</v>
      </c>
      <c r="E1647" s="13" t="str">
        <f>+HYPERLINK("http://trademark.i-assist.jp/data/china/image_1923th/81979985.pdf","81979985")</f>
        <v>81979985</v>
      </c>
      <c r="F1647" s="9" t="s">
        <v>4530</v>
      </c>
      <c r="G1647" s="9" t="s">
        <v>4531</v>
      </c>
      <c r="H1647" s="9" t="s">
        <v>4532</v>
      </c>
      <c r="I1647" s="10">
        <v>45611</v>
      </c>
    </row>
    <row r="1648" spans="1:9" x14ac:dyDescent="0.15">
      <c r="A1648" s="9">
        <v>1647</v>
      </c>
      <c r="B1648" s="9" t="s">
        <v>9</v>
      </c>
      <c r="C1648" s="9">
        <v>1923</v>
      </c>
      <c r="D1648" s="10">
        <v>45701</v>
      </c>
      <c r="E1648" s="13" t="str">
        <f>+HYPERLINK("http://trademark.i-assist.jp/data/china/image_1923th/81979986.pdf","81979986")</f>
        <v>81979986</v>
      </c>
      <c r="F1648" s="9" t="s">
        <v>4533</v>
      </c>
      <c r="G1648" s="9" t="s">
        <v>4534</v>
      </c>
      <c r="H1648" s="9" t="s">
        <v>4535</v>
      </c>
      <c r="I1648" s="10">
        <v>45611</v>
      </c>
    </row>
    <row r="1649" spans="1:9" x14ac:dyDescent="0.15">
      <c r="A1649" s="9">
        <v>1648</v>
      </c>
      <c r="B1649" s="9" t="s">
        <v>9</v>
      </c>
      <c r="C1649" s="9">
        <v>1923</v>
      </c>
      <c r="D1649" s="10">
        <v>45701</v>
      </c>
      <c r="E1649" s="13" t="str">
        <f>+HYPERLINK("http://trademark.i-assist.jp/data/china/image_1923th/81979992.pdf","81979992")</f>
        <v>81979992</v>
      </c>
      <c r="F1649" s="9" t="s">
        <v>4536</v>
      </c>
      <c r="G1649" s="11" t="s">
        <v>4537</v>
      </c>
      <c r="H1649" s="9" t="s">
        <v>4538</v>
      </c>
      <c r="I1649" s="10">
        <v>45611</v>
      </c>
    </row>
    <row r="1650" spans="1:9" x14ac:dyDescent="0.15">
      <c r="A1650" s="9">
        <v>1649</v>
      </c>
      <c r="B1650" s="9" t="s">
        <v>9</v>
      </c>
      <c r="C1650" s="9">
        <v>1923</v>
      </c>
      <c r="D1650" s="10">
        <v>45701</v>
      </c>
      <c r="E1650" s="13" t="str">
        <f>+HYPERLINK("http://trademark.i-assist.jp/data/china/image_1923th/81980152.pdf","81980152")</f>
        <v>81980152</v>
      </c>
      <c r="F1650" s="11" t="s">
        <v>4539</v>
      </c>
      <c r="G1650" s="9" t="s">
        <v>4540</v>
      </c>
      <c r="H1650" s="9" t="s">
        <v>4541</v>
      </c>
      <c r="I1650" s="10">
        <v>45611</v>
      </c>
    </row>
    <row r="1651" spans="1:9" x14ac:dyDescent="0.15">
      <c r="A1651" s="9">
        <v>1650</v>
      </c>
      <c r="B1651" s="9" t="s">
        <v>9</v>
      </c>
      <c r="C1651" s="9">
        <v>1923</v>
      </c>
      <c r="D1651" s="10">
        <v>45701</v>
      </c>
      <c r="E1651" s="13" t="str">
        <f>+HYPERLINK("http://trademark.i-assist.jp/data/china/image_1923th/81980575.pdf","81980575")</f>
        <v>81980575</v>
      </c>
      <c r="F1651" s="9" t="s">
        <v>4542</v>
      </c>
      <c r="G1651" s="9" t="s">
        <v>4543</v>
      </c>
      <c r="H1651" s="9" t="s">
        <v>4544</v>
      </c>
      <c r="I1651" s="10">
        <v>45611</v>
      </c>
    </row>
    <row r="1652" spans="1:9" x14ac:dyDescent="0.15">
      <c r="A1652" s="9">
        <v>1651</v>
      </c>
      <c r="B1652" s="9" t="s">
        <v>9</v>
      </c>
      <c r="C1652" s="9">
        <v>1923</v>
      </c>
      <c r="D1652" s="10">
        <v>45701</v>
      </c>
      <c r="E1652" s="13" t="str">
        <f>+HYPERLINK("http://trademark.i-assist.jp/data/china/image_1923th/81980726.pdf","81980726")</f>
        <v>81980726</v>
      </c>
      <c r="F1652" s="11" t="s">
        <v>4545</v>
      </c>
      <c r="G1652" s="9" t="s">
        <v>4546</v>
      </c>
      <c r="H1652" s="9" t="s">
        <v>4547</v>
      </c>
      <c r="I1652" s="10">
        <v>45611</v>
      </c>
    </row>
    <row r="1653" spans="1:9" x14ac:dyDescent="0.15">
      <c r="A1653" s="9">
        <v>1652</v>
      </c>
      <c r="B1653" s="9" t="s">
        <v>9</v>
      </c>
      <c r="C1653" s="9">
        <v>1923</v>
      </c>
      <c r="D1653" s="10">
        <v>45701</v>
      </c>
      <c r="E1653" s="13" t="str">
        <f>+HYPERLINK("http://trademark.i-assist.jp/data/china/image_1923th/81981001.pdf","81981001")</f>
        <v>81981001</v>
      </c>
      <c r="F1653" s="9" t="s">
        <v>4548</v>
      </c>
      <c r="G1653" s="9" t="s">
        <v>4549</v>
      </c>
      <c r="H1653" s="9" t="s">
        <v>4550</v>
      </c>
      <c r="I1653" s="10">
        <v>45611</v>
      </c>
    </row>
    <row r="1654" spans="1:9" x14ac:dyDescent="0.15">
      <c r="A1654" s="9">
        <v>1653</v>
      </c>
      <c r="B1654" s="9" t="s">
        <v>9</v>
      </c>
      <c r="C1654" s="9">
        <v>1923</v>
      </c>
      <c r="D1654" s="10">
        <v>45701</v>
      </c>
      <c r="E1654" s="13" t="str">
        <f>+HYPERLINK("http://trademark.i-assist.jp/data/china/image_1923th/81981013.pdf","81981013")</f>
        <v>81981013</v>
      </c>
      <c r="F1654" s="9" t="s">
        <v>4551</v>
      </c>
      <c r="G1654" s="11" t="s">
        <v>4552</v>
      </c>
      <c r="H1654" s="9" t="s">
        <v>4553</v>
      </c>
      <c r="I1654" s="10">
        <v>45611</v>
      </c>
    </row>
    <row r="1655" spans="1:9" x14ac:dyDescent="0.15">
      <c r="A1655" s="9">
        <v>1654</v>
      </c>
      <c r="B1655" s="9" t="s">
        <v>9</v>
      </c>
      <c r="C1655" s="9">
        <v>1923</v>
      </c>
      <c r="D1655" s="10">
        <v>45701</v>
      </c>
      <c r="E1655" s="13" t="str">
        <f>+HYPERLINK("http://trademark.i-assist.jp/data/china/image_1923th/81981071.pdf","81981071")</f>
        <v>81981071</v>
      </c>
      <c r="F1655" s="9" t="s">
        <v>4554</v>
      </c>
      <c r="G1655" s="11" t="s">
        <v>4555</v>
      </c>
      <c r="H1655" s="11" t="s">
        <v>4556</v>
      </c>
      <c r="I1655" s="10">
        <v>45611</v>
      </c>
    </row>
    <row r="1656" spans="1:9" x14ac:dyDescent="0.15">
      <c r="A1656" s="9">
        <v>1655</v>
      </c>
      <c r="B1656" s="9" t="s">
        <v>9</v>
      </c>
      <c r="C1656" s="9">
        <v>1923</v>
      </c>
      <c r="D1656" s="10">
        <v>45701</v>
      </c>
      <c r="E1656" s="13" t="str">
        <f>+HYPERLINK("http://trademark.i-assist.jp/data/china/image_1923th/81981118.pdf","81981118")</f>
        <v>81981118</v>
      </c>
      <c r="F1656" s="9" t="s">
        <v>4557</v>
      </c>
      <c r="G1656" s="9" t="s">
        <v>4558</v>
      </c>
      <c r="H1656" s="9" t="s">
        <v>4559</v>
      </c>
      <c r="I1656" s="10">
        <v>45611</v>
      </c>
    </row>
    <row r="1657" spans="1:9" x14ac:dyDescent="0.15">
      <c r="A1657" s="9">
        <v>1656</v>
      </c>
      <c r="B1657" s="9" t="s">
        <v>9</v>
      </c>
      <c r="C1657" s="9">
        <v>1923</v>
      </c>
      <c r="D1657" s="10">
        <v>45701</v>
      </c>
      <c r="E1657" s="13" t="str">
        <f>+HYPERLINK("http://trademark.i-assist.jp/data/china/image_1923th/81981202.pdf","81981202")</f>
        <v>81981202</v>
      </c>
      <c r="F1657" s="9" t="s">
        <v>4560</v>
      </c>
      <c r="G1657" s="9" t="s">
        <v>4561</v>
      </c>
      <c r="H1657" s="9" t="s">
        <v>4562</v>
      </c>
      <c r="I1657" s="10">
        <v>45611</v>
      </c>
    </row>
    <row r="1658" spans="1:9" x14ac:dyDescent="0.15">
      <c r="A1658" s="9">
        <v>1657</v>
      </c>
      <c r="B1658" s="9" t="s">
        <v>9</v>
      </c>
      <c r="C1658" s="9">
        <v>1923</v>
      </c>
      <c r="D1658" s="10">
        <v>45701</v>
      </c>
      <c r="E1658" s="13" t="str">
        <f>+HYPERLINK("http://trademark.i-assist.jp/data/china/image_1923th/81981266.pdf","81981266")</f>
        <v>81981266</v>
      </c>
      <c r="F1658" s="9" t="s">
        <v>4563</v>
      </c>
      <c r="G1658" s="9" t="s">
        <v>4564</v>
      </c>
      <c r="H1658" s="9" t="s">
        <v>4565</v>
      </c>
      <c r="I1658" s="10">
        <v>45611</v>
      </c>
    </row>
    <row r="1659" spans="1:9" x14ac:dyDescent="0.15">
      <c r="A1659" s="9">
        <v>1658</v>
      </c>
      <c r="B1659" s="9" t="s">
        <v>9</v>
      </c>
      <c r="C1659" s="9">
        <v>1923</v>
      </c>
      <c r="D1659" s="10">
        <v>45701</v>
      </c>
      <c r="E1659" s="13" t="str">
        <f>+HYPERLINK("http://trademark.i-assist.jp/data/china/image_1923th/81981375.pdf","81981375")</f>
        <v>81981375</v>
      </c>
      <c r="F1659" s="9" t="s">
        <v>4566</v>
      </c>
      <c r="G1659" s="11" t="s">
        <v>4552</v>
      </c>
      <c r="H1659" s="9" t="s">
        <v>4567</v>
      </c>
      <c r="I1659" s="10">
        <v>45611</v>
      </c>
    </row>
    <row r="1660" spans="1:9" x14ac:dyDescent="0.15">
      <c r="A1660" s="9">
        <v>1659</v>
      </c>
      <c r="B1660" s="9" t="s">
        <v>9</v>
      </c>
      <c r="C1660" s="9">
        <v>1923</v>
      </c>
      <c r="D1660" s="10">
        <v>45701</v>
      </c>
      <c r="E1660" s="13" t="str">
        <f>+HYPERLINK("http://trademark.i-assist.jp/data/china/image_1923th/81981682.pdf","81981682")</f>
        <v>81981682</v>
      </c>
      <c r="F1660" s="9" t="s">
        <v>4568</v>
      </c>
      <c r="G1660" s="9" t="s">
        <v>4569</v>
      </c>
      <c r="H1660" s="9" t="s">
        <v>4570</v>
      </c>
      <c r="I1660" s="10">
        <v>45611</v>
      </c>
    </row>
    <row r="1661" spans="1:9" x14ac:dyDescent="0.15">
      <c r="A1661" s="9">
        <v>1660</v>
      </c>
      <c r="B1661" s="9" t="s">
        <v>9</v>
      </c>
      <c r="C1661" s="9">
        <v>1923</v>
      </c>
      <c r="D1661" s="10">
        <v>45701</v>
      </c>
      <c r="E1661" s="13" t="str">
        <f>+HYPERLINK("http://trademark.i-assist.jp/data/china/image_1923th/81981848.pdf","81981848")</f>
        <v>81981848</v>
      </c>
      <c r="F1661" s="9" t="s">
        <v>4571</v>
      </c>
      <c r="G1661" s="9" t="s">
        <v>4572</v>
      </c>
      <c r="H1661" s="9" t="s">
        <v>4573</v>
      </c>
      <c r="I1661" s="10">
        <v>45611</v>
      </c>
    </row>
    <row r="1662" spans="1:9" x14ac:dyDescent="0.15">
      <c r="A1662" s="9">
        <v>1661</v>
      </c>
      <c r="B1662" s="9" t="s">
        <v>9</v>
      </c>
      <c r="C1662" s="9">
        <v>1923</v>
      </c>
      <c r="D1662" s="10">
        <v>45701</v>
      </c>
      <c r="E1662" s="13" t="str">
        <f>+HYPERLINK("http://trademark.i-assist.jp/data/china/image_1923th/81982490.pdf","81982490")</f>
        <v>81982490</v>
      </c>
      <c r="F1662" s="9" t="s">
        <v>4574</v>
      </c>
      <c r="G1662" s="9" t="s">
        <v>4575</v>
      </c>
      <c r="H1662" s="9" t="s">
        <v>4576</v>
      </c>
      <c r="I1662" s="10">
        <v>45611</v>
      </c>
    </row>
    <row r="1663" spans="1:9" x14ac:dyDescent="0.15">
      <c r="A1663" s="9">
        <v>1662</v>
      </c>
      <c r="B1663" s="9" t="s">
        <v>9</v>
      </c>
      <c r="C1663" s="9">
        <v>1923</v>
      </c>
      <c r="D1663" s="10">
        <v>45701</v>
      </c>
      <c r="E1663" s="13" t="str">
        <f>+HYPERLINK("http://trademark.i-assist.jp/data/china/image_1923th/81982725.pdf","81982725")</f>
        <v>81982725</v>
      </c>
      <c r="F1663" s="9" t="s">
        <v>4577</v>
      </c>
      <c r="G1663" s="9" t="s">
        <v>4578</v>
      </c>
      <c r="H1663" s="9" t="s">
        <v>4579</v>
      </c>
      <c r="I1663" s="10">
        <v>45611</v>
      </c>
    </row>
    <row r="1664" spans="1:9" x14ac:dyDescent="0.15">
      <c r="A1664" s="9">
        <v>1663</v>
      </c>
      <c r="B1664" s="9" t="s">
        <v>9</v>
      </c>
      <c r="C1664" s="9">
        <v>1923</v>
      </c>
      <c r="D1664" s="10">
        <v>45701</v>
      </c>
      <c r="E1664" s="13" t="str">
        <f>+HYPERLINK("http://trademark.i-assist.jp/data/china/image_1923th/81983219.pdf","81983219")</f>
        <v>81983219</v>
      </c>
      <c r="F1664" s="11" t="s">
        <v>4580</v>
      </c>
      <c r="G1664" s="9" t="s">
        <v>4581</v>
      </c>
      <c r="H1664" s="9" t="s">
        <v>4582</v>
      </c>
      <c r="I1664" s="10">
        <v>45611</v>
      </c>
    </row>
    <row r="1665" spans="1:9" x14ac:dyDescent="0.15">
      <c r="A1665" s="9">
        <v>1664</v>
      </c>
      <c r="B1665" s="9" t="s">
        <v>9</v>
      </c>
      <c r="C1665" s="9">
        <v>1923</v>
      </c>
      <c r="D1665" s="10">
        <v>45701</v>
      </c>
      <c r="E1665" s="13" t="str">
        <f>+HYPERLINK("http://trademark.i-assist.jp/data/china/image_1923th/81983239.pdf","81983239")</f>
        <v>81983239</v>
      </c>
      <c r="F1665" s="9" t="s">
        <v>4583</v>
      </c>
      <c r="G1665" s="9" t="s">
        <v>4584</v>
      </c>
      <c r="H1665" s="9" t="s">
        <v>4585</v>
      </c>
      <c r="I1665" s="10">
        <v>45611</v>
      </c>
    </row>
    <row r="1666" spans="1:9" x14ac:dyDescent="0.15">
      <c r="A1666" s="9">
        <v>1665</v>
      </c>
      <c r="B1666" s="9" t="s">
        <v>9</v>
      </c>
      <c r="C1666" s="9">
        <v>1923</v>
      </c>
      <c r="D1666" s="10">
        <v>45701</v>
      </c>
      <c r="E1666" s="13" t="str">
        <f>+HYPERLINK("http://trademark.i-assist.jp/data/china/image_1923th/81983241.pdf","81983241")</f>
        <v>81983241</v>
      </c>
      <c r="F1666" s="9" t="s">
        <v>4586</v>
      </c>
      <c r="G1666" s="9" t="s">
        <v>4587</v>
      </c>
      <c r="H1666" s="9" t="s">
        <v>4588</v>
      </c>
      <c r="I1666" s="10">
        <v>45611</v>
      </c>
    </row>
    <row r="1667" spans="1:9" x14ac:dyDescent="0.15">
      <c r="A1667" s="9">
        <v>1666</v>
      </c>
      <c r="B1667" s="9" t="s">
        <v>9</v>
      </c>
      <c r="C1667" s="9">
        <v>1923</v>
      </c>
      <c r="D1667" s="10">
        <v>45701</v>
      </c>
      <c r="E1667" s="13" t="str">
        <f>+HYPERLINK("http://trademark.i-assist.jp/data/china/image_1923th/81983251.pdf","81983251")</f>
        <v>81983251</v>
      </c>
      <c r="F1667" s="9" t="s">
        <v>4589</v>
      </c>
      <c r="G1667" s="9" t="s">
        <v>4590</v>
      </c>
      <c r="H1667" s="9" t="s">
        <v>4591</v>
      </c>
      <c r="I1667" s="10">
        <v>45611</v>
      </c>
    </row>
    <row r="1668" spans="1:9" x14ac:dyDescent="0.15">
      <c r="A1668" s="9">
        <v>1667</v>
      </c>
      <c r="B1668" s="9" t="s">
        <v>9</v>
      </c>
      <c r="C1668" s="9">
        <v>1923</v>
      </c>
      <c r="D1668" s="10">
        <v>45701</v>
      </c>
      <c r="E1668" s="13" t="str">
        <f>+HYPERLINK("http://trademark.i-assist.jp/data/china/image_1923th/81983371.pdf","81983371")</f>
        <v>81983371</v>
      </c>
      <c r="F1668" s="11" t="s">
        <v>126</v>
      </c>
      <c r="G1668" s="11" t="s">
        <v>4592</v>
      </c>
      <c r="H1668" s="9" t="s">
        <v>4593</v>
      </c>
      <c r="I1668" s="10">
        <v>45611</v>
      </c>
    </row>
    <row r="1669" spans="1:9" x14ac:dyDescent="0.15">
      <c r="A1669" s="9">
        <v>1668</v>
      </c>
      <c r="B1669" s="9" t="s">
        <v>9</v>
      </c>
      <c r="C1669" s="9">
        <v>1923</v>
      </c>
      <c r="D1669" s="10">
        <v>45701</v>
      </c>
      <c r="E1669" s="13" t="str">
        <f>+HYPERLINK("http://trademark.i-assist.jp/data/china/image_1923th/81983450.pdf","81983450")</f>
        <v>81983450</v>
      </c>
      <c r="F1669" s="11" t="s">
        <v>4594</v>
      </c>
      <c r="G1669" s="9" t="s">
        <v>4595</v>
      </c>
      <c r="H1669" s="9" t="s">
        <v>4596</v>
      </c>
      <c r="I1669" s="10">
        <v>45611</v>
      </c>
    </row>
    <row r="1670" spans="1:9" x14ac:dyDescent="0.15">
      <c r="A1670" s="9">
        <v>1669</v>
      </c>
      <c r="B1670" s="9" t="s">
        <v>9</v>
      </c>
      <c r="C1670" s="9">
        <v>1923</v>
      </c>
      <c r="D1670" s="10">
        <v>45701</v>
      </c>
      <c r="E1670" s="13" t="str">
        <f>+HYPERLINK("http://trademark.i-assist.jp/data/china/image_1923th/81983618.pdf","81983618")</f>
        <v>81983618</v>
      </c>
      <c r="F1670" s="9" t="s">
        <v>4597</v>
      </c>
      <c r="G1670" s="9" t="s">
        <v>4598</v>
      </c>
      <c r="H1670" s="9" t="s">
        <v>4599</v>
      </c>
      <c r="I1670" s="10">
        <v>45611</v>
      </c>
    </row>
    <row r="1671" spans="1:9" x14ac:dyDescent="0.15">
      <c r="A1671" s="9">
        <v>1670</v>
      </c>
      <c r="B1671" s="9" t="s">
        <v>9</v>
      </c>
      <c r="C1671" s="9">
        <v>1923</v>
      </c>
      <c r="D1671" s="10">
        <v>45701</v>
      </c>
      <c r="E1671" s="13" t="str">
        <f>+HYPERLINK("http://trademark.i-assist.jp/data/china/image_1923th/81983627.pdf","81983627")</f>
        <v>81983627</v>
      </c>
      <c r="F1671" s="11" t="s">
        <v>4600</v>
      </c>
      <c r="G1671" s="9" t="s">
        <v>4601</v>
      </c>
      <c r="H1671" s="9" t="s">
        <v>4602</v>
      </c>
      <c r="I1671" s="10">
        <v>45611</v>
      </c>
    </row>
    <row r="1672" spans="1:9" x14ac:dyDescent="0.15">
      <c r="A1672" s="9">
        <v>1671</v>
      </c>
      <c r="B1672" s="9" t="s">
        <v>9</v>
      </c>
      <c r="C1672" s="9">
        <v>1923</v>
      </c>
      <c r="D1672" s="10">
        <v>45701</v>
      </c>
      <c r="E1672" s="13" t="str">
        <f>+HYPERLINK("http://trademark.i-assist.jp/data/china/image_1923th/81983716.pdf","81983716")</f>
        <v>81983716</v>
      </c>
      <c r="F1672" s="9" t="s">
        <v>4603</v>
      </c>
      <c r="G1672" s="9" t="s">
        <v>4604</v>
      </c>
      <c r="H1672" s="11" t="s">
        <v>4605</v>
      </c>
      <c r="I1672" s="10">
        <v>45611</v>
      </c>
    </row>
    <row r="1673" spans="1:9" x14ac:dyDescent="0.15">
      <c r="A1673" s="9">
        <v>1672</v>
      </c>
      <c r="B1673" s="9" t="s">
        <v>9</v>
      </c>
      <c r="C1673" s="9">
        <v>1923</v>
      </c>
      <c r="D1673" s="10">
        <v>45701</v>
      </c>
      <c r="E1673" s="13" t="str">
        <f>+HYPERLINK("http://trademark.i-assist.jp/data/china/image_1923th/81983903.pdf","81983903")</f>
        <v>81983903</v>
      </c>
      <c r="F1673" s="9" t="s">
        <v>4606</v>
      </c>
      <c r="G1673" s="9" t="s">
        <v>4607</v>
      </c>
      <c r="H1673" s="9" t="s">
        <v>4608</v>
      </c>
      <c r="I1673" s="10">
        <v>45611</v>
      </c>
    </row>
    <row r="1674" spans="1:9" x14ac:dyDescent="0.15">
      <c r="A1674" s="9">
        <v>1673</v>
      </c>
      <c r="B1674" s="9" t="s">
        <v>9</v>
      </c>
      <c r="C1674" s="9">
        <v>1923</v>
      </c>
      <c r="D1674" s="10">
        <v>45701</v>
      </c>
      <c r="E1674" s="13" t="str">
        <f>+HYPERLINK("http://trademark.i-assist.jp/data/china/image_1923th/81984258.pdf","81984258")</f>
        <v>81984258</v>
      </c>
      <c r="F1674" s="11" t="s">
        <v>4609</v>
      </c>
      <c r="G1674" s="9" t="s">
        <v>4610</v>
      </c>
      <c r="H1674" s="11" t="s">
        <v>4611</v>
      </c>
      <c r="I1674" s="10">
        <v>45611</v>
      </c>
    </row>
    <row r="1675" spans="1:9" x14ac:dyDescent="0.15">
      <c r="A1675" s="9">
        <v>1674</v>
      </c>
      <c r="B1675" s="9" t="s">
        <v>9</v>
      </c>
      <c r="C1675" s="9">
        <v>1923</v>
      </c>
      <c r="D1675" s="10">
        <v>45701</v>
      </c>
      <c r="E1675" s="13" t="str">
        <f>+HYPERLINK("http://trademark.i-assist.jp/data/china/image_1923th/81984266.pdf","81984266")</f>
        <v>81984266</v>
      </c>
      <c r="F1675" s="11" t="s">
        <v>126</v>
      </c>
      <c r="G1675" s="9" t="s">
        <v>4612</v>
      </c>
      <c r="H1675" s="9" t="s">
        <v>4613</v>
      </c>
      <c r="I1675" s="10">
        <v>45611</v>
      </c>
    </row>
    <row r="1676" spans="1:9" x14ac:dyDescent="0.15">
      <c r="A1676" s="9">
        <v>1675</v>
      </c>
      <c r="B1676" s="9" t="s">
        <v>9</v>
      </c>
      <c r="C1676" s="9">
        <v>1923</v>
      </c>
      <c r="D1676" s="10">
        <v>45701</v>
      </c>
      <c r="E1676" s="13" t="str">
        <f>+HYPERLINK("http://trademark.i-assist.jp/data/china/image_1923th/81984364.pdf","81984364")</f>
        <v>81984364</v>
      </c>
      <c r="F1676" s="9" t="s">
        <v>4614</v>
      </c>
      <c r="G1676" s="9" t="s">
        <v>4615</v>
      </c>
      <c r="H1676" s="9" t="s">
        <v>4616</v>
      </c>
      <c r="I1676" s="10">
        <v>45611</v>
      </c>
    </row>
    <row r="1677" spans="1:9" x14ac:dyDescent="0.15">
      <c r="A1677" s="9">
        <v>1676</v>
      </c>
      <c r="B1677" s="9" t="s">
        <v>9</v>
      </c>
      <c r="C1677" s="9">
        <v>1923</v>
      </c>
      <c r="D1677" s="10">
        <v>45701</v>
      </c>
      <c r="E1677" s="13" t="str">
        <f>+HYPERLINK("http://trademark.i-assist.jp/data/china/image_1923th/81984986.pdf","81984986")</f>
        <v>81984986</v>
      </c>
      <c r="F1677" s="11" t="s">
        <v>4617</v>
      </c>
      <c r="G1677" s="11" t="s">
        <v>4618</v>
      </c>
      <c r="H1677" s="9" t="s">
        <v>4619</v>
      </c>
      <c r="I1677" s="10">
        <v>45611</v>
      </c>
    </row>
    <row r="1678" spans="1:9" x14ac:dyDescent="0.15">
      <c r="A1678" s="9">
        <v>1677</v>
      </c>
      <c r="B1678" s="9" t="s">
        <v>9</v>
      </c>
      <c r="C1678" s="9">
        <v>1923</v>
      </c>
      <c r="D1678" s="10">
        <v>45701</v>
      </c>
      <c r="E1678" s="13" t="str">
        <f>+HYPERLINK("http://trademark.i-assist.jp/data/china/image_1923th/81985458.pdf","81985458")</f>
        <v>81985458</v>
      </c>
      <c r="F1678" s="9" t="s">
        <v>4620</v>
      </c>
      <c r="G1678" s="9" t="s">
        <v>4615</v>
      </c>
      <c r="H1678" s="9" t="s">
        <v>4621</v>
      </c>
      <c r="I1678" s="10">
        <v>45611</v>
      </c>
    </row>
    <row r="1679" spans="1:9" x14ac:dyDescent="0.15">
      <c r="A1679" s="9">
        <v>1678</v>
      </c>
      <c r="B1679" s="9" t="s">
        <v>9</v>
      </c>
      <c r="C1679" s="9">
        <v>1923</v>
      </c>
      <c r="D1679" s="10">
        <v>45701</v>
      </c>
      <c r="E1679" s="13" t="str">
        <f>+HYPERLINK("http://trademark.i-assist.jp/data/china/image_1923th/81985495.pdf","81985495")</f>
        <v>81985495</v>
      </c>
      <c r="F1679" s="9" t="s">
        <v>4622</v>
      </c>
      <c r="G1679" s="9" t="s">
        <v>4623</v>
      </c>
      <c r="H1679" s="9" t="s">
        <v>4624</v>
      </c>
      <c r="I1679" s="10">
        <v>45611</v>
      </c>
    </row>
    <row r="1680" spans="1:9" x14ac:dyDescent="0.15">
      <c r="A1680" s="9">
        <v>1679</v>
      </c>
      <c r="B1680" s="9" t="s">
        <v>9</v>
      </c>
      <c r="C1680" s="9">
        <v>1923</v>
      </c>
      <c r="D1680" s="10">
        <v>45701</v>
      </c>
      <c r="E1680" s="13" t="str">
        <f>+HYPERLINK("http://trademark.i-assist.jp/data/china/image_1923th/81985575.pdf","81985575")</f>
        <v>81985575</v>
      </c>
      <c r="F1680" s="9" t="s">
        <v>4625</v>
      </c>
      <c r="G1680" s="9" t="s">
        <v>4626</v>
      </c>
      <c r="H1680" s="9" t="s">
        <v>4627</v>
      </c>
      <c r="I1680" s="10">
        <v>45611</v>
      </c>
    </row>
    <row r="1681" spans="1:9" x14ac:dyDescent="0.15">
      <c r="A1681" s="9">
        <v>1680</v>
      </c>
      <c r="B1681" s="9" t="s">
        <v>9</v>
      </c>
      <c r="C1681" s="9">
        <v>1923</v>
      </c>
      <c r="D1681" s="10">
        <v>45701</v>
      </c>
      <c r="E1681" s="13" t="str">
        <f>+HYPERLINK("http://trademark.i-assist.jp/data/china/image_1923th/81985649.pdf","81985649")</f>
        <v>81985649</v>
      </c>
      <c r="F1681" s="9" t="s">
        <v>4628</v>
      </c>
      <c r="G1681" s="9" t="s">
        <v>4629</v>
      </c>
      <c r="H1681" s="9" t="s">
        <v>4630</v>
      </c>
      <c r="I1681" s="10">
        <v>45611</v>
      </c>
    </row>
    <row r="1682" spans="1:9" x14ac:dyDescent="0.15">
      <c r="A1682" s="9">
        <v>1681</v>
      </c>
      <c r="B1682" s="9" t="s">
        <v>9</v>
      </c>
      <c r="C1682" s="9">
        <v>1923</v>
      </c>
      <c r="D1682" s="10">
        <v>45701</v>
      </c>
      <c r="E1682" s="13" t="str">
        <f>+HYPERLINK("http://trademark.i-assist.jp/data/china/image_1923th/81985713.pdf","81985713")</f>
        <v>81985713</v>
      </c>
      <c r="F1682" s="11" t="s">
        <v>4631</v>
      </c>
      <c r="G1682" s="9" t="s">
        <v>4632</v>
      </c>
      <c r="H1682" s="9" t="s">
        <v>4633</v>
      </c>
      <c r="I1682" s="10">
        <v>45611</v>
      </c>
    </row>
    <row r="1683" spans="1:9" x14ac:dyDescent="0.15">
      <c r="A1683" s="9">
        <v>1682</v>
      </c>
      <c r="B1683" s="9" t="s">
        <v>9</v>
      </c>
      <c r="C1683" s="9">
        <v>1923</v>
      </c>
      <c r="D1683" s="10">
        <v>45701</v>
      </c>
      <c r="E1683" s="13" t="str">
        <f>+HYPERLINK("http://trademark.i-assist.jp/data/china/image_1923th/81985736.pdf","81985736")</f>
        <v>81985736</v>
      </c>
      <c r="F1683" s="9" t="s">
        <v>4634</v>
      </c>
      <c r="G1683" s="9" t="s">
        <v>4590</v>
      </c>
      <c r="H1683" s="9" t="s">
        <v>4635</v>
      </c>
      <c r="I1683" s="10">
        <v>45611</v>
      </c>
    </row>
    <row r="1684" spans="1:9" x14ac:dyDescent="0.15">
      <c r="A1684" s="9">
        <v>1683</v>
      </c>
      <c r="B1684" s="9" t="s">
        <v>9</v>
      </c>
      <c r="C1684" s="9">
        <v>1923</v>
      </c>
      <c r="D1684" s="10">
        <v>45701</v>
      </c>
      <c r="E1684" s="13" t="str">
        <f>+HYPERLINK("http://trademark.i-assist.jp/data/china/image_1923th/81985889.pdf","81985889")</f>
        <v>81985889</v>
      </c>
      <c r="F1684" s="11" t="s">
        <v>4636</v>
      </c>
      <c r="G1684" s="9" t="s">
        <v>4637</v>
      </c>
      <c r="H1684" s="9" t="s">
        <v>4638</v>
      </c>
      <c r="I1684" s="10">
        <v>45611</v>
      </c>
    </row>
    <row r="1685" spans="1:9" x14ac:dyDescent="0.15">
      <c r="A1685" s="9">
        <v>1684</v>
      </c>
      <c r="B1685" s="9" t="s">
        <v>9</v>
      </c>
      <c r="C1685" s="9">
        <v>1923</v>
      </c>
      <c r="D1685" s="10">
        <v>45701</v>
      </c>
      <c r="E1685" s="13" t="str">
        <f>+HYPERLINK("http://trademark.i-assist.jp/data/china/image_1923th/81985919.pdf","81985919")</f>
        <v>81985919</v>
      </c>
      <c r="F1685" s="9" t="s">
        <v>4639</v>
      </c>
      <c r="G1685" s="9" t="s">
        <v>4640</v>
      </c>
      <c r="H1685" s="9" t="s">
        <v>4641</v>
      </c>
      <c r="I1685" s="10">
        <v>45611</v>
      </c>
    </row>
    <row r="1686" spans="1:9" x14ac:dyDescent="0.15">
      <c r="A1686" s="9">
        <v>1685</v>
      </c>
      <c r="B1686" s="9" t="s">
        <v>9</v>
      </c>
      <c r="C1686" s="9">
        <v>1923</v>
      </c>
      <c r="D1686" s="10">
        <v>45701</v>
      </c>
      <c r="E1686" s="13" t="str">
        <f>+HYPERLINK("http://trademark.i-assist.jp/data/china/image_1923th/81986231.pdf","81986231")</f>
        <v>81986231</v>
      </c>
      <c r="F1686" s="9" t="s">
        <v>4642</v>
      </c>
      <c r="G1686" s="9" t="s">
        <v>4643</v>
      </c>
      <c r="H1686" s="9" t="s">
        <v>4644</v>
      </c>
      <c r="I1686" s="10">
        <v>45611</v>
      </c>
    </row>
    <row r="1687" spans="1:9" x14ac:dyDescent="0.15">
      <c r="A1687" s="9">
        <v>1686</v>
      </c>
      <c r="B1687" s="9" t="s">
        <v>9</v>
      </c>
      <c r="C1687" s="9">
        <v>1923</v>
      </c>
      <c r="D1687" s="10">
        <v>45701</v>
      </c>
      <c r="E1687" s="13" t="str">
        <f>+HYPERLINK("http://trademark.i-assist.jp/data/china/image_1923th/81986241.pdf","81986241")</f>
        <v>81986241</v>
      </c>
      <c r="F1687" s="11" t="s">
        <v>4645</v>
      </c>
      <c r="G1687" s="11" t="s">
        <v>4646</v>
      </c>
      <c r="H1687" s="11" t="s">
        <v>4647</v>
      </c>
      <c r="I1687" s="10">
        <v>45611</v>
      </c>
    </row>
    <row r="1688" spans="1:9" x14ac:dyDescent="0.15">
      <c r="A1688" s="9">
        <v>1687</v>
      </c>
      <c r="B1688" s="9" t="s">
        <v>9</v>
      </c>
      <c r="C1688" s="9">
        <v>1923</v>
      </c>
      <c r="D1688" s="10">
        <v>45701</v>
      </c>
      <c r="E1688" s="13" t="str">
        <f>+HYPERLINK("http://trademark.i-assist.jp/data/china/image_1923th/81986501.pdf","81986501")</f>
        <v>81986501</v>
      </c>
      <c r="F1688" s="9" t="s">
        <v>4648</v>
      </c>
      <c r="G1688" s="9" t="s">
        <v>4543</v>
      </c>
      <c r="H1688" s="9" t="s">
        <v>4649</v>
      </c>
      <c r="I1688" s="10">
        <v>45611</v>
      </c>
    </row>
    <row r="1689" spans="1:9" x14ac:dyDescent="0.15">
      <c r="A1689" s="9">
        <v>1688</v>
      </c>
      <c r="B1689" s="9" t="s">
        <v>9</v>
      </c>
      <c r="C1689" s="9">
        <v>1923</v>
      </c>
      <c r="D1689" s="10">
        <v>45701</v>
      </c>
      <c r="E1689" s="13" t="str">
        <f>+HYPERLINK("http://trademark.i-assist.jp/data/china/image_1923th/81986685.pdf","81986685")</f>
        <v>81986685</v>
      </c>
      <c r="F1689" s="11" t="s">
        <v>4650</v>
      </c>
      <c r="G1689" s="11" t="s">
        <v>4651</v>
      </c>
      <c r="H1689" s="9" t="s">
        <v>4652</v>
      </c>
      <c r="I1689" s="10">
        <v>45611</v>
      </c>
    </row>
    <row r="1690" spans="1:9" x14ac:dyDescent="0.15">
      <c r="A1690" s="9">
        <v>1689</v>
      </c>
      <c r="B1690" s="9" t="s">
        <v>9</v>
      </c>
      <c r="C1690" s="9">
        <v>1923</v>
      </c>
      <c r="D1690" s="10">
        <v>45701</v>
      </c>
      <c r="E1690" s="13" t="str">
        <f>+HYPERLINK("http://trademark.i-assist.jp/data/china/image_1923th/81986741.pdf","81986741")</f>
        <v>81986741</v>
      </c>
      <c r="F1690" s="9" t="s">
        <v>4653</v>
      </c>
      <c r="G1690" s="9" t="s">
        <v>4654</v>
      </c>
      <c r="H1690" s="9" t="s">
        <v>4655</v>
      </c>
      <c r="I1690" s="10">
        <v>45611</v>
      </c>
    </row>
    <row r="1691" spans="1:9" x14ac:dyDescent="0.15">
      <c r="A1691" s="9">
        <v>1690</v>
      </c>
      <c r="B1691" s="9" t="s">
        <v>9</v>
      </c>
      <c r="C1691" s="9">
        <v>1923</v>
      </c>
      <c r="D1691" s="10">
        <v>45701</v>
      </c>
      <c r="E1691" s="13" t="str">
        <f>+HYPERLINK("http://trademark.i-assist.jp/data/china/image_1923th/81986813.pdf","81986813")</f>
        <v>81986813</v>
      </c>
      <c r="F1691" s="11" t="s">
        <v>4656</v>
      </c>
      <c r="G1691" s="9" t="s">
        <v>4601</v>
      </c>
      <c r="H1691" s="9" t="s">
        <v>4657</v>
      </c>
      <c r="I1691" s="10">
        <v>45611</v>
      </c>
    </row>
    <row r="1692" spans="1:9" x14ac:dyDescent="0.15">
      <c r="A1692" s="9">
        <v>1691</v>
      </c>
      <c r="B1692" s="9" t="s">
        <v>9</v>
      </c>
      <c r="C1692" s="9">
        <v>1923</v>
      </c>
      <c r="D1692" s="10">
        <v>45701</v>
      </c>
      <c r="E1692" s="13" t="str">
        <f>+HYPERLINK("http://trademark.i-assist.jp/data/china/image_1923th/81986834.pdf","81986834")</f>
        <v>81986834</v>
      </c>
      <c r="F1692" s="9" t="s">
        <v>4658</v>
      </c>
      <c r="G1692" s="9" t="s">
        <v>4659</v>
      </c>
      <c r="H1692" s="9" t="s">
        <v>4660</v>
      </c>
      <c r="I1692" s="10">
        <v>45611</v>
      </c>
    </row>
    <row r="1693" spans="1:9" x14ac:dyDescent="0.15">
      <c r="A1693" s="9">
        <v>1692</v>
      </c>
      <c r="B1693" s="9" t="s">
        <v>9</v>
      </c>
      <c r="C1693" s="9">
        <v>1923</v>
      </c>
      <c r="D1693" s="10">
        <v>45701</v>
      </c>
      <c r="E1693" s="13" t="str">
        <f>+HYPERLINK("http://trademark.i-assist.jp/data/china/image_1923th/81986897.pdf","81986897")</f>
        <v>81986897</v>
      </c>
      <c r="F1693" s="9" t="s">
        <v>4661</v>
      </c>
      <c r="G1693" s="9" t="s">
        <v>4662</v>
      </c>
      <c r="H1693" s="11" t="s">
        <v>4663</v>
      </c>
      <c r="I1693" s="10">
        <v>45611</v>
      </c>
    </row>
    <row r="1694" spans="1:9" x14ac:dyDescent="0.15">
      <c r="A1694" s="9">
        <v>1693</v>
      </c>
      <c r="B1694" s="9" t="s">
        <v>9</v>
      </c>
      <c r="C1694" s="9">
        <v>1923</v>
      </c>
      <c r="D1694" s="10">
        <v>45701</v>
      </c>
      <c r="E1694" s="13" t="str">
        <f>+HYPERLINK("http://trademark.i-assist.jp/data/china/image_1923th/81986924.pdf","81986924")</f>
        <v>81986924</v>
      </c>
      <c r="F1694" s="9" t="s">
        <v>4664</v>
      </c>
      <c r="G1694" s="9" t="s">
        <v>4662</v>
      </c>
      <c r="H1694" s="9" t="s">
        <v>4665</v>
      </c>
      <c r="I1694" s="10">
        <v>45611</v>
      </c>
    </row>
    <row r="1695" spans="1:9" x14ac:dyDescent="0.15">
      <c r="A1695" s="9">
        <v>1694</v>
      </c>
      <c r="B1695" s="9" t="s">
        <v>9</v>
      </c>
      <c r="C1695" s="9">
        <v>1923</v>
      </c>
      <c r="D1695" s="10">
        <v>45701</v>
      </c>
      <c r="E1695" s="13" t="str">
        <f>+HYPERLINK("http://trademark.i-assist.jp/data/china/image_1923th/81987099.pdf","81987099")</f>
        <v>81987099</v>
      </c>
      <c r="F1695" s="9" t="s">
        <v>4666</v>
      </c>
      <c r="G1695" s="9" t="s">
        <v>4667</v>
      </c>
      <c r="H1695" s="9" t="s">
        <v>4668</v>
      </c>
      <c r="I1695" s="10">
        <v>45611</v>
      </c>
    </row>
    <row r="1696" spans="1:9" x14ac:dyDescent="0.15">
      <c r="A1696" s="9">
        <v>1695</v>
      </c>
      <c r="B1696" s="9" t="s">
        <v>9</v>
      </c>
      <c r="C1696" s="9">
        <v>1923</v>
      </c>
      <c r="D1696" s="10">
        <v>45701</v>
      </c>
      <c r="E1696" s="13" t="str">
        <f>+HYPERLINK("http://trademark.i-assist.jp/data/china/image_1923th/81987142.pdf","81987142")</f>
        <v>81987142</v>
      </c>
      <c r="F1696" s="9" t="s">
        <v>4669</v>
      </c>
      <c r="G1696" s="11" t="s">
        <v>4552</v>
      </c>
      <c r="H1696" s="11" t="s">
        <v>4670</v>
      </c>
      <c r="I1696" s="10">
        <v>45611</v>
      </c>
    </row>
    <row r="1697" spans="1:9" x14ac:dyDescent="0.15">
      <c r="A1697" s="9">
        <v>1696</v>
      </c>
      <c r="B1697" s="9" t="s">
        <v>9</v>
      </c>
      <c r="C1697" s="9">
        <v>1923</v>
      </c>
      <c r="D1697" s="10">
        <v>45701</v>
      </c>
      <c r="E1697" s="13" t="str">
        <f>+HYPERLINK("http://trademark.i-assist.jp/data/china/image_1923th/81987392.pdf","81987392")</f>
        <v>81987392</v>
      </c>
      <c r="F1697" s="9" t="s">
        <v>4671</v>
      </c>
      <c r="G1697" s="11" t="s">
        <v>4618</v>
      </c>
      <c r="H1697" s="11" t="s">
        <v>4672</v>
      </c>
      <c r="I1697" s="10">
        <v>45611</v>
      </c>
    </row>
    <row r="1698" spans="1:9" x14ac:dyDescent="0.15">
      <c r="A1698" s="9">
        <v>1697</v>
      </c>
      <c r="B1698" s="9" t="s">
        <v>9</v>
      </c>
      <c r="C1698" s="9">
        <v>1923</v>
      </c>
      <c r="D1698" s="10">
        <v>45701</v>
      </c>
      <c r="E1698" s="13" t="str">
        <f>+HYPERLINK("http://trademark.i-assist.jp/data/china/image_1923th/81987398.pdf","81987398")</f>
        <v>81987398</v>
      </c>
      <c r="F1698" s="9" t="s">
        <v>4673</v>
      </c>
      <c r="G1698" s="9" t="s">
        <v>4674</v>
      </c>
      <c r="H1698" s="9" t="s">
        <v>4675</v>
      </c>
      <c r="I1698" s="10">
        <v>45611</v>
      </c>
    </row>
    <row r="1699" spans="1:9" x14ac:dyDescent="0.15">
      <c r="A1699" s="9">
        <v>1698</v>
      </c>
      <c r="B1699" s="9" t="s">
        <v>9</v>
      </c>
      <c r="C1699" s="9">
        <v>1923</v>
      </c>
      <c r="D1699" s="10">
        <v>45701</v>
      </c>
      <c r="E1699" s="13" t="str">
        <f>+HYPERLINK("http://trademark.i-assist.jp/data/china/image_1923th/81987750.pdf","81987750")</f>
        <v>81987750</v>
      </c>
      <c r="F1699" s="11" t="s">
        <v>4676</v>
      </c>
      <c r="G1699" s="11" t="s">
        <v>4651</v>
      </c>
      <c r="H1699" s="9" t="s">
        <v>4652</v>
      </c>
      <c r="I1699" s="10">
        <v>45611</v>
      </c>
    </row>
    <row r="1700" spans="1:9" x14ac:dyDescent="0.15">
      <c r="A1700" s="9">
        <v>1699</v>
      </c>
      <c r="B1700" s="9" t="s">
        <v>9</v>
      </c>
      <c r="C1700" s="9">
        <v>1923</v>
      </c>
      <c r="D1700" s="10">
        <v>45701</v>
      </c>
      <c r="E1700" s="13" t="str">
        <f>+HYPERLINK("http://trademark.i-assist.jp/data/china/image_1923th/81987977.pdf","81987977")</f>
        <v>81987977</v>
      </c>
      <c r="F1700" s="11" t="s">
        <v>4677</v>
      </c>
      <c r="G1700" s="11" t="s">
        <v>4618</v>
      </c>
      <c r="H1700" s="9" t="s">
        <v>4678</v>
      </c>
      <c r="I1700" s="10">
        <v>45611</v>
      </c>
    </row>
    <row r="1701" spans="1:9" x14ac:dyDescent="0.15">
      <c r="A1701" s="9">
        <v>1700</v>
      </c>
      <c r="B1701" s="9" t="s">
        <v>9</v>
      </c>
      <c r="C1701" s="9">
        <v>1923</v>
      </c>
      <c r="D1701" s="10">
        <v>45701</v>
      </c>
      <c r="E1701" s="13" t="str">
        <f>+HYPERLINK("http://trademark.i-assist.jp/data/china/image_1923th/81988264.pdf","81988264")</f>
        <v>81988264</v>
      </c>
      <c r="F1701" s="9" t="s">
        <v>4679</v>
      </c>
      <c r="G1701" s="9" t="s">
        <v>4543</v>
      </c>
      <c r="H1701" s="11" t="s">
        <v>4680</v>
      </c>
      <c r="I1701" s="10">
        <v>45611</v>
      </c>
    </row>
    <row r="1702" spans="1:9" x14ac:dyDescent="0.15">
      <c r="A1702" s="9">
        <v>1701</v>
      </c>
      <c r="B1702" s="9" t="s">
        <v>9</v>
      </c>
      <c r="C1702" s="9">
        <v>1923</v>
      </c>
      <c r="D1702" s="10">
        <v>45701</v>
      </c>
      <c r="E1702" s="13" t="str">
        <f>+HYPERLINK("http://trademark.i-assist.jp/data/china/image_1923th/81988731.pdf","81988731")</f>
        <v>81988731</v>
      </c>
      <c r="F1702" s="11" t="s">
        <v>4681</v>
      </c>
      <c r="G1702" s="11" t="s">
        <v>4682</v>
      </c>
      <c r="H1702" s="9" t="s">
        <v>4683</v>
      </c>
      <c r="I1702" s="10">
        <v>45611</v>
      </c>
    </row>
    <row r="1703" spans="1:9" x14ac:dyDescent="0.15">
      <c r="A1703" s="9">
        <v>1702</v>
      </c>
      <c r="B1703" s="9" t="s">
        <v>9</v>
      </c>
      <c r="C1703" s="9">
        <v>1923</v>
      </c>
      <c r="D1703" s="10">
        <v>45701</v>
      </c>
      <c r="E1703" s="13" t="str">
        <f>+HYPERLINK("http://trademark.i-assist.jp/data/china/image_1923th/81988895.pdf","81988895")</f>
        <v>81988895</v>
      </c>
      <c r="F1703" s="11" t="s">
        <v>4684</v>
      </c>
      <c r="G1703" s="9" t="s">
        <v>4685</v>
      </c>
      <c r="H1703" s="11" t="s">
        <v>4686</v>
      </c>
      <c r="I1703" s="10">
        <v>45611</v>
      </c>
    </row>
    <row r="1704" spans="1:9" x14ac:dyDescent="0.15">
      <c r="A1704" s="9">
        <v>1703</v>
      </c>
      <c r="B1704" s="9" t="s">
        <v>9</v>
      </c>
      <c r="C1704" s="9">
        <v>1923</v>
      </c>
      <c r="D1704" s="10">
        <v>45701</v>
      </c>
      <c r="E1704" s="13" t="str">
        <f>+HYPERLINK("http://trademark.i-assist.jp/data/china/image_1923th/81989165.pdf","81989165")</f>
        <v>81989165</v>
      </c>
      <c r="F1704" s="11" t="s">
        <v>4687</v>
      </c>
      <c r="G1704" s="9" t="s">
        <v>4688</v>
      </c>
      <c r="H1704" s="9" t="s">
        <v>4689</v>
      </c>
      <c r="I1704" s="10">
        <v>45611</v>
      </c>
    </row>
    <row r="1705" spans="1:9" x14ac:dyDescent="0.15">
      <c r="A1705" s="9">
        <v>1704</v>
      </c>
      <c r="B1705" s="9" t="s">
        <v>9</v>
      </c>
      <c r="C1705" s="9">
        <v>1923</v>
      </c>
      <c r="D1705" s="10">
        <v>45701</v>
      </c>
      <c r="E1705" s="13" t="str">
        <f>+HYPERLINK("http://trademark.i-assist.jp/data/china/image_1923th/81989349.pdf","81989349")</f>
        <v>81989349</v>
      </c>
      <c r="F1705" s="9" t="s">
        <v>4690</v>
      </c>
      <c r="G1705" s="9" t="s">
        <v>4691</v>
      </c>
      <c r="H1705" s="9" t="s">
        <v>4692</v>
      </c>
      <c r="I1705" s="10">
        <v>45611</v>
      </c>
    </row>
    <row r="1706" spans="1:9" x14ac:dyDescent="0.15">
      <c r="A1706" s="9">
        <v>1705</v>
      </c>
      <c r="B1706" s="9" t="s">
        <v>9</v>
      </c>
      <c r="C1706" s="9">
        <v>1923</v>
      </c>
      <c r="D1706" s="10">
        <v>45701</v>
      </c>
      <c r="E1706" s="13" t="str">
        <f>+HYPERLINK("http://trademark.i-assist.jp/data/china/image_1923th/81989909.pdf","81989909")</f>
        <v>81989909</v>
      </c>
      <c r="F1706" s="9" t="s">
        <v>4693</v>
      </c>
      <c r="G1706" s="9" t="s">
        <v>3705</v>
      </c>
      <c r="H1706" s="9" t="s">
        <v>4694</v>
      </c>
      <c r="I1706" s="10">
        <v>45611</v>
      </c>
    </row>
    <row r="1707" spans="1:9" x14ac:dyDescent="0.15">
      <c r="A1707" s="9">
        <v>1706</v>
      </c>
      <c r="B1707" s="9" t="s">
        <v>9</v>
      </c>
      <c r="C1707" s="9">
        <v>1923</v>
      </c>
      <c r="D1707" s="10">
        <v>45701</v>
      </c>
      <c r="E1707" s="13" t="str">
        <f>+HYPERLINK("http://trademark.i-assist.jp/data/china/image_1923th/81990218.pdf","81990218")</f>
        <v>81990218</v>
      </c>
      <c r="F1707" s="9" t="s">
        <v>4695</v>
      </c>
      <c r="G1707" s="9" t="s">
        <v>4696</v>
      </c>
      <c r="H1707" s="9" t="s">
        <v>4697</v>
      </c>
      <c r="I1707" s="10">
        <v>45611</v>
      </c>
    </row>
    <row r="1708" spans="1:9" x14ac:dyDescent="0.15">
      <c r="A1708" s="9">
        <v>1707</v>
      </c>
      <c r="B1708" s="9" t="s">
        <v>9</v>
      </c>
      <c r="C1708" s="9">
        <v>1923</v>
      </c>
      <c r="D1708" s="10">
        <v>45701</v>
      </c>
      <c r="E1708" s="13" t="str">
        <f>+HYPERLINK("http://trademark.i-assist.jp/data/china/image_1923th/81990449.pdf","81990449")</f>
        <v>81990449</v>
      </c>
      <c r="F1708" s="9" t="s">
        <v>4698</v>
      </c>
      <c r="G1708" s="11" t="s">
        <v>4552</v>
      </c>
      <c r="H1708" s="9" t="s">
        <v>4699</v>
      </c>
      <c r="I1708" s="10">
        <v>45611</v>
      </c>
    </row>
    <row r="1709" spans="1:9" x14ac:dyDescent="0.15">
      <c r="A1709" s="9">
        <v>1708</v>
      </c>
      <c r="B1709" s="9" t="s">
        <v>9</v>
      </c>
      <c r="C1709" s="9">
        <v>1923</v>
      </c>
      <c r="D1709" s="10">
        <v>45701</v>
      </c>
      <c r="E1709" s="13" t="str">
        <f>+HYPERLINK("http://trademark.i-assist.jp/data/china/image_1923th/81990680.pdf","81990680")</f>
        <v>81990680</v>
      </c>
      <c r="F1709" s="9" t="s">
        <v>4700</v>
      </c>
      <c r="G1709" s="9" t="s">
        <v>4701</v>
      </c>
      <c r="H1709" s="9" t="s">
        <v>4702</v>
      </c>
      <c r="I1709" s="10">
        <v>45611</v>
      </c>
    </row>
    <row r="1710" spans="1:9" x14ac:dyDescent="0.15">
      <c r="A1710" s="9">
        <v>1709</v>
      </c>
      <c r="B1710" s="9" t="s">
        <v>9</v>
      </c>
      <c r="C1710" s="9">
        <v>1923</v>
      </c>
      <c r="D1710" s="10">
        <v>45701</v>
      </c>
      <c r="E1710" s="13" t="str">
        <f>+HYPERLINK("http://trademark.i-assist.jp/data/china/image_1923th/81990710.pdf","81990710")</f>
        <v>81990710</v>
      </c>
      <c r="F1710" s="9" t="s">
        <v>4703</v>
      </c>
      <c r="G1710" s="9" t="s">
        <v>4704</v>
      </c>
      <c r="H1710" s="9" t="s">
        <v>4705</v>
      </c>
      <c r="I1710" s="10">
        <v>45611</v>
      </c>
    </row>
    <row r="1711" spans="1:9" x14ac:dyDescent="0.15">
      <c r="A1711" s="9">
        <v>1710</v>
      </c>
      <c r="B1711" s="9" t="s">
        <v>9</v>
      </c>
      <c r="C1711" s="9">
        <v>1923</v>
      </c>
      <c r="D1711" s="10">
        <v>45701</v>
      </c>
      <c r="E1711" s="13" t="str">
        <f>+HYPERLINK("http://trademark.i-assist.jp/data/china/image_1923th/81990783.pdf","81990783")</f>
        <v>81990783</v>
      </c>
      <c r="F1711" s="9" t="s">
        <v>4706</v>
      </c>
      <c r="G1711" s="9" t="s">
        <v>4707</v>
      </c>
      <c r="H1711" s="9" t="s">
        <v>4708</v>
      </c>
      <c r="I1711" s="10">
        <v>45611</v>
      </c>
    </row>
    <row r="1712" spans="1:9" x14ac:dyDescent="0.15">
      <c r="A1712" s="9">
        <v>1711</v>
      </c>
      <c r="B1712" s="9" t="s">
        <v>9</v>
      </c>
      <c r="C1712" s="9">
        <v>1923</v>
      </c>
      <c r="D1712" s="10">
        <v>45701</v>
      </c>
      <c r="E1712" s="13" t="str">
        <f>+HYPERLINK("http://trademark.i-assist.jp/data/china/image_1923th/81990889.pdf","81990889")</f>
        <v>81990889</v>
      </c>
      <c r="F1712" s="9" t="s">
        <v>4709</v>
      </c>
      <c r="G1712" s="9" t="s">
        <v>4710</v>
      </c>
      <c r="H1712" s="9" t="s">
        <v>4711</v>
      </c>
      <c r="I1712" s="10">
        <v>45611</v>
      </c>
    </row>
    <row r="1713" spans="1:9" x14ac:dyDescent="0.15">
      <c r="A1713" s="9">
        <v>1712</v>
      </c>
      <c r="B1713" s="9" t="s">
        <v>9</v>
      </c>
      <c r="C1713" s="9">
        <v>1923</v>
      </c>
      <c r="D1713" s="10">
        <v>45701</v>
      </c>
      <c r="E1713" s="13" t="str">
        <f>+HYPERLINK("http://trademark.i-assist.jp/data/china/image_1923th/81990994.pdf","81990994")</f>
        <v>81990994</v>
      </c>
      <c r="F1713" s="9" t="s">
        <v>4712</v>
      </c>
      <c r="G1713" s="9" t="s">
        <v>4713</v>
      </c>
      <c r="H1713" s="9" t="s">
        <v>4714</v>
      </c>
      <c r="I1713" s="10">
        <v>45611</v>
      </c>
    </row>
    <row r="1714" spans="1:9" x14ac:dyDescent="0.15">
      <c r="A1714" s="9">
        <v>1713</v>
      </c>
      <c r="B1714" s="9" t="s">
        <v>9</v>
      </c>
      <c r="C1714" s="9">
        <v>1923</v>
      </c>
      <c r="D1714" s="10">
        <v>45701</v>
      </c>
      <c r="E1714" s="13" t="str">
        <f>+HYPERLINK("http://trademark.i-assist.jp/data/china/image_1923th/81991141.pdf","81991141")</f>
        <v>81991141</v>
      </c>
      <c r="F1714" s="11" t="s">
        <v>4715</v>
      </c>
      <c r="G1714" s="11" t="s">
        <v>4716</v>
      </c>
      <c r="H1714" s="9" t="s">
        <v>4717</v>
      </c>
      <c r="I1714" s="10">
        <v>45611</v>
      </c>
    </row>
    <row r="1715" spans="1:9" x14ac:dyDescent="0.15">
      <c r="A1715" s="9">
        <v>1714</v>
      </c>
      <c r="B1715" s="9" t="s">
        <v>9</v>
      </c>
      <c r="C1715" s="9">
        <v>1923</v>
      </c>
      <c r="D1715" s="10">
        <v>45701</v>
      </c>
      <c r="E1715" s="13" t="str">
        <f>+HYPERLINK("http://trademark.i-assist.jp/data/china/image_1923th/81991548.pdf","81991548")</f>
        <v>81991548</v>
      </c>
      <c r="F1715" s="11" t="s">
        <v>4718</v>
      </c>
      <c r="G1715" s="9" t="s">
        <v>4719</v>
      </c>
      <c r="H1715" s="9" t="s">
        <v>4720</v>
      </c>
      <c r="I1715" s="10">
        <v>45611</v>
      </c>
    </row>
    <row r="1716" spans="1:9" x14ac:dyDescent="0.15">
      <c r="A1716" s="9">
        <v>1715</v>
      </c>
      <c r="B1716" s="9" t="s">
        <v>9</v>
      </c>
      <c r="C1716" s="9">
        <v>1923</v>
      </c>
      <c r="D1716" s="10">
        <v>45701</v>
      </c>
      <c r="E1716" s="13" t="str">
        <f>+HYPERLINK("http://trademark.i-assist.jp/data/china/image_1923th/81991611.pdf","81991611")</f>
        <v>81991611</v>
      </c>
      <c r="F1716" s="9" t="s">
        <v>4721</v>
      </c>
      <c r="G1716" s="9" t="s">
        <v>4722</v>
      </c>
      <c r="H1716" s="11" t="s">
        <v>4723</v>
      </c>
      <c r="I1716" s="10">
        <v>45611</v>
      </c>
    </row>
    <row r="1717" spans="1:9" x14ac:dyDescent="0.15">
      <c r="A1717" s="9">
        <v>1716</v>
      </c>
      <c r="B1717" s="9" t="s">
        <v>9</v>
      </c>
      <c r="C1717" s="9">
        <v>1923</v>
      </c>
      <c r="D1717" s="10">
        <v>45701</v>
      </c>
      <c r="E1717" s="13" t="str">
        <f>+HYPERLINK("http://trademark.i-assist.jp/data/china/image_1923th/81991799.pdf","81991799")</f>
        <v>81991799</v>
      </c>
      <c r="F1717" s="9" t="s">
        <v>4724</v>
      </c>
      <c r="G1717" s="9" t="s">
        <v>4725</v>
      </c>
      <c r="H1717" s="11" t="s">
        <v>4726</v>
      </c>
      <c r="I1717" s="10">
        <v>45611</v>
      </c>
    </row>
    <row r="1718" spans="1:9" x14ac:dyDescent="0.15">
      <c r="A1718" s="9">
        <v>1717</v>
      </c>
      <c r="B1718" s="9" t="s">
        <v>9</v>
      </c>
      <c r="C1718" s="9">
        <v>1923</v>
      </c>
      <c r="D1718" s="10">
        <v>45701</v>
      </c>
      <c r="E1718" s="13" t="str">
        <f>+HYPERLINK("http://trademark.i-assist.jp/data/china/image_1923th/81992165.pdf","81992165")</f>
        <v>81992165</v>
      </c>
      <c r="F1718" s="9" t="s">
        <v>4727</v>
      </c>
      <c r="G1718" s="9" t="s">
        <v>4728</v>
      </c>
      <c r="H1718" s="9" t="s">
        <v>4729</v>
      </c>
      <c r="I1718" s="10">
        <v>45611</v>
      </c>
    </row>
    <row r="1719" spans="1:9" x14ac:dyDescent="0.15">
      <c r="A1719" s="9">
        <v>1718</v>
      </c>
      <c r="B1719" s="9" t="s">
        <v>9</v>
      </c>
      <c r="C1719" s="9">
        <v>1923</v>
      </c>
      <c r="D1719" s="10">
        <v>45701</v>
      </c>
      <c r="E1719" s="13" t="str">
        <f>+HYPERLINK("http://trademark.i-assist.jp/data/china/image_1923th/81992276.pdf","81992276")</f>
        <v>81992276</v>
      </c>
      <c r="F1719" s="11" t="s">
        <v>4730</v>
      </c>
      <c r="G1719" s="9" t="s">
        <v>4731</v>
      </c>
      <c r="H1719" s="9" t="s">
        <v>4732</v>
      </c>
      <c r="I1719" s="10">
        <v>45611</v>
      </c>
    </row>
    <row r="1720" spans="1:9" x14ac:dyDescent="0.15">
      <c r="A1720" s="9">
        <v>1719</v>
      </c>
      <c r="B1720" s="9" t="s">
        <v>9</v>
      </c>
      <c r="C1720" s="9">
        <v>1923</v>
      </c>
      <c r="D1720" s="10">
        <v>45701</v>
      </c>
      <c r="E1720" s="13" t="str">
        <f>+HYPERLINK("http://trademark.i-assist.jp/data/china/image_1923th/81992428.pdf","81992428")</f>
        <v>81992428</v>
      </c>
      <c r="F1720" s="9" t="s">
        <v>4733</v>
      </c>
      <c r="G1720" s="9" t="s">
        <v>4734</v>
      </c>
      <c r="H1720" s="9" t="s">
        <v>4735</v>
      </c>
      <c r="I1720" s="10">
        <v>45611</v>
      </c>
    </row>
    <row r="1721" spans="1:9" x14ac:dyDescent="0.15">
      <c r="A1721" s="9">
        <v>1720</v>
      </c>
      <c r="B1721" s="9" t="s">
        <v>9</v>
      </c>
      <c r="C1721" s="9">
        <v>1923</v>
      </c>
      <c r="D1721" s="10">
        <v>45701</v>
      </c>
      <c r="E1721" s="13" t="str">
        <f>+HYPERLINK("http://trademark.i-assist.jp/data/china/image_1923th/81992648.pdf","81992648")</f>
        <v>81992648</v>
      </c>
      <c r="F1721" s="11" t="s">
        <v>4736</v>
      </c>
      <c r="G1721" s="9" t="s">
        <v>4737</v>
      </c>
      <c r="H1721" s="11" t="s">
        <v>4738</v>
      </c>
      <c r="I1721" s="10">
        <v>45611</v>
      </c>
    </row>
    <row r="1722" spans="1:9" x14ac:dyDescent="0.15">
      <c r="A1722" s="9">
        <v>1721</v>
      </c>
      <c r="B1722" s="9" t="s">
        <v>9</v>
      </c>
      <c r="C1722" s="9">
        <v>1923</v>
      </c>
      <c r="D1722" s="10">
        <v>45701</v>
      </c>
      <c r="E1722" s="13" t="str">
        <f>+HYPERLINK("http://trademark.i-assist.jp/data/china/image_1923th/81992680.pdf","81992680")</f>
        <v>81992680</v>
      </c>
      <c r="F1722" s="9" t="s">
        <v>4739</v>
      </c>
      <c r="G1722" s="9" t="s">
        <v>4740</v>
      </c>
      <c r="H1722" s="9" t="s">
        <v>4741</v>
      </c>
      <c r="I1722" s="10">
        <v>45611</v>
      </c>
    </row>
    <row r="1723" spans="1:9" x14ac:dyDescent="0.15">
      <c r="A1723" s="9">
        <v>1722</v>
      </c>
      <c r="B1723" s="9" t="s">
        <v>9</v>
      </c>
      <c r="C1723" s="9">
        <v>1923</v>
      </c>
      <c r="D1723" s="10">
        <v>45701</v>
      </c>
      <c r="E1723" s="13" t="str">
        <f>+HYPERLINK("http://trademark.i-assist.jp/data/china/image_1923th/81992804.pdf","81992804")</f>
        <v>81992804</v>
      </c>
      <c r="F1723" s="11" t="s">
        <v>4742</v>
      </c>
      <c r="G1723" s="9" t="s">
        <v>4743</v>
      </c>
      <c r="H1723" s="9" t="s">
        <v>4744</v>
      </c>
      <c r="I1723" s="10">
        <v>45611</v>
      </c>
    </row>
    <row r="1724" spans="1:9" x14ac:dyDescent="0.15">
      <c r="A1724" s="9">
        <v>1723</v>
      </c>
      <c r="B1724" s="9" t="s">
        <v>9</v>
      </c>
      <c r="C1724" s="9">
        <v>1923</v>
      </c>
      <c r="D1724" s="10">
        <v>45701</v>
      </c>
      <c r="E1724" s="13" t="str">
        <f>+HYPERLINK("http://trademark.i-assist.jp/data/china/image_1923th/81992807.pdf","81992807")</f>
        <v>81992807</v>
      </c>
      <c r="F1724" s="9" t="s">
        <v>4745</v>
      </c>
      <c r="G1724" s="9" t="s">
        <v>4746</v>
      </c>
      <c r="H1724" s="11" t="s">
        <v>4747</v>
      </c>
      <c r="I1724" s="10">
        <v>45611</v>
      </c>
    </row>
    <row r="1725" spans="1:9" x14ac:dyDescent="0.15">
      <c r="A1725" s="9">
        <v>1724</v>
      </c>
      <c r="B1725" s="9" t="s">
        <v>9</v>
      </c>
      <c r="C1725" s="9">
        <v>1923</v>
      </c>
      <c r="D1725" s="10">
        <v>45701</v>
      </c>
      <c r="E1725" s="13" t="str">
        <f>+HYPERLINK("http://trademark.i-assist.jp/data/china/image_1923th/81993044.pdf","81993044")</f>
        <v>81993044</v>
      </c>
      <c r="F1725" s="11" t="s">
        <v>4748</v>
      </c>
      <c r="G1725" s="11" t="s">
        <v>4749</v>
      </c>
      <c r="H1725" s="9" t="s">
        <v>4750</v>
      </c>
      <c r="I1725" s="10">
        <v>45611</v>
      </c>
    </row>
    <row r="1726" spans="1:9" x14ac:dyDescent="0.15">
      <c r="A1726" s="9">
        <v>1725</v>
      </c>
      <c r="B1726" s="9" t="s">
        <v>9</v>
      </c>
      <c r="C1726" s="9">
        <v>1923</v>
      </c>
      <c r="D1726" s="10">
        <v>45701</v>
      </c>
      <c r="E1726" s="13" t="str">
        <f>+HYPERLINK("http://trademark.i-assist.jp/data/china/image_1923th/81993248.pdf","81993248")</f>
        <v>81993248</v>
      </c>
      <c r="F1726" s="9" t="s">
        <v>4751</v>
      </c>
      <c r="G1726" s="11" t="s">
        <v>4752</v>
      </c>
      <c r="H1726" s="11" t="s">
        <v>4753</v>
      </c>
      <c r="I1726" s="10">
        <v>45611</v>
      </c>
    </row>
    <row r="1727" spans="1:9" x14ac:dyDescent="0.15">
      <c r="A1727" s="9">
        <v>1726</v>
      </c>
      <c r="B1727" s="9" t="s">
        <v>9</v>
      </c>
      <c r="C1727" s="9">
        <v>1923</v>
      </c>
      <c r="D1727" s="10">
        <v>45701</v>
      </c>
      <c r="E1727" s="13" t="str">
        <f>+HYPERLINK("http://trademark.i-assist.jp/data/china/image_1923th/81993323.pdf","81993323")</f>
        <v>81993323</v>
      </c>
      <c r="F1727" s="9" t="s">
        <v>4754</v>
      </c>
      <c r="G1727" s="9" t="s">
        <v>4755</v>
      </c>
      <c r="H1727" s="9" t="s">
        <v>4756</v>
      </c>
      <c r="I1727" s="10">
        <v>45611</v>
      </c>
    </row>
    <row r="1728" spans="1:9" x14ac:dyDescent="0.15">
      <c r="A1728" s="9">
        <v>1727</v>
      </c>
      <c r="B1728" s="9" t="s">
        <v>9</v>
      </c>
      <c r="C1728" s="9">
        <v>1923</v>
      </c>
      <c r="D1728" s="10">
        <v>45701</v>
      </c>
      <c r="E1728" s="13" t="str">
        <f>+HYPERLINK("http://trademark.i-assist.jp/data/china/image_1923th/81993556.pdf","81993556")</f>
        <v>81993556</v>
      </c>
      <c r="F1728" s="11" t="s">
        <v>126</v>
      </c>
      <c r="G1728" s="11" t="s">
        <v>4757</v>
      </c>
      <c r="H1728" s="9" t="s">
        <v>4758</v>
      </c>
      <c r="I1728" s="10">
        <v>45611</v>
      </c>
    </row>
    <row r="1729" spans="1:9" x14ac:dyDescent="0.15">
      <c r="A1729" s="9">
        <v>1728</v>
      </c>
      <c r="B1729" s="9" t="s">
        <v>9</v>
      </c>
      <c r="C1729" s="9">
        <v>1923</v>
      </c>
      <c r="D1729" s="10">
        <v>45701</v>
      </c>
      <c r="E1729" s="13" t="str">
        <f>+HYPERLINK("http://trademark.i-assist.jp/data/china/image_1923th/81993727.pdf","81993727")</f>
        <v>81993727</v>
      </c>
      <c r="F1729" s="11" t="s">
        <v>4759</v>
      </c>
      <c r="G1729" s="9" t="s">
        <v>4601</v>
      </c>
      <c r="H1729" s="9" t="s">
        <v>4760</v>
      </c>
      <c r="I1729" s="10">
        <v>45611</v>
      </c>
    </row>
    <row r="1730" spans="1:9" x14ac:dyDescent="0.15">
      <c r="A1730" s="9">
        <v>1729</v>
      </c>
      <c r="B1730" s="9" t="s">
        <v>9</v>
      </c>
      <c r="C1730" s="9">
        <v>1923</v>
      </c>
      <c r="D1730" s="10">
        <v>45701</v>
      </c>
      <c r="E1730" s="13" t="str">
        <f>+HYPERLINK("http://trademark.i-assist.jp/data/china/image_1923th/81993766.pdf","81993766")</f>
        <v>81993766</v>
      </c>
      <c r="F1730" s="11" t="s">
        <v>4761</v>
      </c>
      <c r="G1730" s="11" t="s">
        <v>4762</v>
      </c>
      <c r="H1730" s="9" t="s">
        <v>4763</v>
      </c>
      <c r="I1730" s="10">
        <v>45611</v>
      </c>
    </row>
    <row r="1731" spans="1:9" x14ac:dyDescent="0.15">
      <c r="A1731" s="9">
        <v>1730</v>
      </c>
      <c r="B1731" s="9" t="s">
        <v>9</v>
      </c>
      <c r="C1731" s="9">
        <v>1923</v>
      </c>
      <c r="D1731" s="10">
        <v>45701</v>
      </c>
      <c r="E1731" s="13" t="str">
        <f>+HYPERLINK("http://trademark.i-assist.jp/data/china/image_1923th/81993824.pdf","81993824")</f>
        <v>81993824</v>
      </c>
      <c r="F1731" s="9" t="s">
        <v>4764</v>
      </c>
      <c r="G1731" s="9" t="s">
        <v>4662</v>
      </c>
      <c r="H1731" s="9" t="s">
        <v>4765</v>
      </c>
      <c r="I1731" s="10">
        <v>45611</v>
      </c>
    </row>
    <row r="1732" spans="1:9" x14ac:dyDescent="0.15">
      <c r="A1732" s="9">
        <v>1731</v>
      </c>
      <c r="B1732" s="9" t="s">
        <v>9</v>
      </c>
      <c r="C1732" s="9">
        <v>1923</v>
      </c>
      <c r="D1732" s="10">
        <v>45701</v>
      </c>
      <c r="E1732" s="13" t="str">
        <f>+HYPERLINK("http://trademark.i-assist.jp/data/china/image_1923th/81993840.pdf","81993840")</f>
        <v>81993840</v>
      </c>
      <c r="F1732" s="9" t="s">
        <v>4766</v>
      </c>
      <c r="G1732" s="9" t="s">
        <v>4767</v>
      </c>
      <c r="H1732" s="11" t="s">
        <v>4768</v>
      </c>
      <c r="I1732" s="10">
        <v>45611</v>
      </c>
    </row>
    <row r="1733" spans="1:9" x14ac:dyDescent="0.15">
      <c r="A1733" s="9">
        <v>1732</v>
      </c>
      <c r="B1733" s="9" t="s">
        <v>9</v>
      </c>
      <c r="C1733" s="9">
        <v>1923</v>
      </c>
      <c r="D1733" s="10">
        <v>45701</v>
      </c>
      <c r="E1733" s="13" t="str">
        <f>+HYPERLINK("http://trademark.i-assist.jp/data/china/image_1923th/81994118.pdf","81994118")</f>
        <v>81994118</v>
      </c>
      <c r="F1733" s="9" t="s">
        <v>4769</v>
      </c>
      <c r="G1733" s="9" t="s">
        <v>4770</v>
      </c>
      <c r="H1733" s="9" t="s">
        <v>4771</v>
      </c>
      <c r="I1733" s="10">
        <v>45611</v>
      </c>
    </row>
    <row r="1734" spans="1:9" x14ac:dyDescent="0.15">
      <c r="A1734" s="9">
        <v>1733</v>
      </c>
      <c r="B1734" s="9" t="s">
        <v>9</v>
      </c>
      <c r="C1734" s="9">
        <v>1923</v>
      </c>
      <c r="D1734" s="10">
        <v>45701</v>
      </c>
      <c r="E1734" s="13" t="str">
        <f>+HYPERLINK("http://trademark.i-assist.jp/data/china/image_1923th/81994213.pdf","81994213")</f>
        <v>81994213</v>
      </c>
      <c r="F1734" s="9" t="s">
        <v>4772</v>
      </c>
      <c r="G1734" s="11" t="s">
        <v>4773</v>
      </c>
      <c r="H1734" s="9" t="s">
        <v>4774</v>
      </c>
      <c r="I1734" s="10">
        <v>45611</v>
      </c>
    </row>
    <row r="1735" spans="1:9" x14ac:dyDescent="0.15">
      <c r="A1735" s="9">
        <v>1734</v>
      </c>
      <c r="B1735" s="9" t="s">
        <v>9</v>
      </c>
      <c r="C1735" s="9">
        <v>1923</v>
      </c>
      <c r="D1735" s="10">
        <v>45701</v>
      </c>
      <c r="E1735" s="13" t="str">
        <f>+HYPERLINK("http://trademark.i-assist.jp/data/china/image_1923th/81994542.pdf","81994542")</f>
        <v>81994542</v>
      </c>
      <c r="F1735" s="11" t="s">
        <v>4775</v>
      </c>
      <c r="G1735" s="11" t="s">
        <v>4776</v>
      </c>
      <c r="H1735" s="9" t="s">
        <v>4777</v>
      </c>
      <c r="I1735" s="10">
        <v>45611</v>
      </c>
    </row>
    <row r="1736" spans="1:9" x14ac:dyDescent="0.15">
      <c r="A1736" s="9">
        <v>1735</v>
      </c>
      <c r="B1736" s="9" t="s">
        <v>9</v>
      </c>
      <c r="C1736" s="9">
        <v>1923</v>
      </c>
      <c r="D1736" s="10">
        <v>45701</v>
      </c>
      <c r="E1736" s="13" t="str">
        <f>+HYPERLINK("http://trademark.i-assist.jp/data/china/image_1923th/81994593.pdf","81994593")</f>
        <v>81994593</v>
      </c>
      <c r="F1736" s="9" t="s">
        <v>4778</v>
      </c>
      <c r="G1736" s="11" t="s">
        <v>4779</v>
      </c>
      <c r="H1736" s="9" t="s">
        <v>4780</v>
      </c>
      <c r="I1736" s="10">
        <v>45611</v>
      </c>
    </row>
    <row r="1737" spans="1:9" x14ac:dyDescent="0.15">
      <c r="A1737" s="9">
        <v>1736</v>
      </c>
      <c r="B1737" s="9" t="s">
        <v>9</v>
      </c>
      <c r="C1737" s="9">
        <v>1923</v>
      </c>
      <c r="D1737" s="10">
        <v>45701</v>
      </c>
      <c r="E1737" s="13" t="str">
        <f>+HYPERLINK("http://trademark.i-assist.jp/data/china/image_1923th/81994621.pdf","81994621")</f>
        <v>81994621</v>
      </c>
      <c r="F1737" s="9" t="s">
        <v>4781</v>
      </c>
      <c r="G1737" s="9" t="s">
        <v>4782</v>
      </c>
      <c r="H1737" s="9" t="s">
        <v>4783</v>
      </c>
      <c r="I1737" s="10">
        <v>45611</v>
      </c>
    </row>
    <row r="1738" spans="1:9" x14ac:dyDescent="0.15">
      <c r="A1738" s="9">
        <v>1737</v>
      </c>
      <c r="B1738" s="9" t="s">
        <v>9</v>
      </c>
      <c r="C1738" s="9">
        <v>1923</v>
      </c>
      <c r="D1738" s="10">
        <v>45701</v>
      </c>
      <c r="E1738" s="13" t="str">
        <f>+HYPERLINK("http://trademark.i-assist.jp/data/china/image_1923th/81994763.pdf","81994763")</f>
        <v>81994763</v>
      </c>
      <c r="F1738" s="11" t="s">
        <v>4784</v>
      </c>
      <c r="G1738" s="9" t="s">
        <v>4785</v>
      </c>
      <c r="H1738" s="9" t="s">
        <v>4786</v>
      </c>
      <c r="I1738" s="10">
        <v>45611</v>
      </c>
    </row>
    <row r="1739" spans="1:9" x14ac:dyDescent="0.15">
      <c r="A1739" s="9">
        <v>1738</v>
      </c>
      <c r="B1739" s="9" t="s">
        <v>9</v>
      </c>
      <c r="C1739" s="9">
        <v>1923</v>
      </c>
      <c r="D1739" s="10">
        <v>45701</v>
      </c>
      <c r="E1739" s="13" t="str">
        <f>+HYPERLINK("http://trademark.i-assist.jp/data/china/image_1923th/81994791.pdf","81994791")</f>
        <v>81994791</v>
      </c>
      <c r="F1739" s="9" t="s">
        <v>4787</v>
      </c>
      <c r="G1739" s="9" t="s">
        <v>4788</v>
      </c>
      <c r="H1739" s="9" t="s">
        <v>4789</v>
      </c>
      <c r="I1739" s="10">
        <v>45611</v>
      </c>
    </row>
    <row r="1740" spans="1:9" x14ac:dyDescent="0.15">
      <c r="A1740" s="9">
        <v>1739</v>
      </c>
      <c r="B1740" s="9" t="s">
        <v>9</v>
      </c>
      <c r="C1740" s="9">
        <v>1923</v>
      </c>
      <c r="D1740" s="10">
        <v>45701</v>
      </c>
      <c r="E1740" s="13" t="str">
        <f>+HYPERLINK("http://trademark.i-assist.jp/data/china/image_1923th/81994949.pdf","81994949")</f>
        <v>81994949</v>
      </c>
      <c r="F1740" s="9" t="s">
        <v>4790</v>
      </c>
      <c r="G1740" s="9" t="s">
        <v>4791</v>
      </c>
      <c r="H1740" s="9" t="s">
        <v>4792</v>
      </c>
      <c r="I1740" s="10">
        <v>45611</v>
      </c>
    </row>
    <row r="1741" spans="1:9" x14ac:dyDescent="0.15">
      <c r="A1741" s="9">
        <v>1740</v>
      </c>
      <c r="B1741" s="9" t="s">
        <v>9</v>
      </c>
      <c r="C1741" s="9">
        <v>1923</v>
      </c>
      <c r="D1741" s="10">
        <v>45701</v>
      </c>
      <c r="E1741" s="13" t="str">
        <f>+HYPERLINK("http://trademark.i-assist.jp/data/china/image_1923th/81995101.pdf","81995101")</f>
        <v>81995101</v>
      </c>
      <c r="F1741" s="9" t="s">
        <v>4793</v>
      </c>
      <c r="G1741" s="9" t="s">
        <v>4794</v>
      </c>
      <c r="H1741" s="9" t="s">
        <v>4795</v>
      </c>
      <c r="I1741" s="10">
        <v>45611</v>
      </c>
    </row>
    <row r="1742" spans="1:9" x14ac:dyDescent="0.15">
      <c r="A1742" s="9">
        <v>1741</v>
      </c>
      <c r="B1742" s="9" t="s">
        <v>9</v>
      </c>
      <c r="C1742" s="9">
        <v>1923</v>
      </c>
      <c r="D1742" s="10">
        <v>45701</v>
      </c>
      <c r="E1742" s="13" t="str">
        <f>+HYPERLINK("http://trademark.i-assist.jp/data/china/image_1923th/81995434.pdf","81995434")</f>
        <v>81995434</v>
      </c>
      <c r="F1742" s="11" t="s">
        <v>4796</v>
      </c>
      <c r="G1742" s="9" t="s">
        <v>4797</v>
      </c>
      <c r="H1742" s="9" t="s">
        <v>4798</v>
      </c>
      <c r="I1742" s="10">
        <v>45611</v>
      </c>
    </row>
    <row r="1743" spans="1:9" x14ac:dyDescent="0.15">
      <c r="A1743" s="9">
        <v>1742</v>
      </c>
      <c r="B1743" s="9" t="s">
        <v>9</v>
      </c>
      <c r="C1743" s="9">
        <v>1923</v>
      </c>
      <c r="D1743" s="10">
        <v>45701</v>
      </c>
      <c r="E1743" s="13" t="str">
        <f>+HYPERLINK("http://trademark.i-assist.jp/data/china/image_1923th/81995651.pdf","81995651")</f>
        <v>81995651</v>
      </c>
      <c r="F1743" s="9" t="s">
        <v>4799</v>
      </c>
      <c r="G1743" s="11" t="s">
        <v>4800</v>
      </c>
      <c r="H1743" s="9" t="s">
        <v>4801</v>
      </c>
      <c r="I1743" s="10">
        <v>45611</v>
      </c>
    </row>
    <row r="1744" spans="1:9" x14ac:dyDescent="0.15">
      <c r="A1744" s="9">
        <v>1743</v>
      </c>
      <c r="B1744" s="9" t="s">
        <v>9</v>
      </c>
      <c r="C1744" s="9">
        <v>1923</v>
      </c>
      <c r="D1744" s="10">
        <v>45701</v>
      </c>
      <c r="E1744" s="13" t="str">
        <f>+HYPERLINK("http://trademark.i-assist.jp/data/china/image_1923th/81995672.pdf","81995672")</f>
        <v>81995672</v>
      </c>
      <c r="F1744" s="11" t="s">
        <v>126</v>
      </c>
      <c r="G1744" s="9" t="s">
        <v>4802</v>
      </c>
      <c r="H1744" s="9" t="s">
        <v>4803</v>
      </c>
      <c r="I1744" s="10">
        <v>45611</v>
      </c>
    </row>
    <row r="1745" spans="1:9" x14ac:dyDescent="0.15">
      <c r="A1745" s="9">
        <v>1744</v>
      </c>
      <c r="B1745" s="9" t="s">
        <v>9</v>
      </c>
      <c r="C1745" s="9">
        <v>1923</v>
      </c>
      <c r="D1745" s="10">
        <v>45701</v>
      </c>
      <c r="E1745" s="13" t="str">
        <f>+HYPERLINK("http://trademark.i-assist.jp/data/china/image_1923th/81995934.pdf","81995934")</f>
        <v>81995934</v>
      </c>
      <c r="F1745" s="9" t="s">
        <v>4804</v>
      </c>
      <c r="G1745" s="9" t="s">
        <v>4805</v>
      </c>
      <c r="H1745" s="9" t="s">
        <v>4806</v>
      </c>
      <c r="I1745" s="10">
        <v>45611</v>
      </c>
    </row>
    <row r="1746" spans="1:9" x14ac:dyDescent="0.15">
      <c r="A1746" s="9">
        <v>1745</v>
      </c>
      <c r="B1746" s="9" t="s">
        <v>9</v>
      </c>
      <c r="C1746" s="9">
        <v>1923</v>
      </c>
      <c r="D1746" s="10">
        <v>45701</v>
      </c>
      <c r="E1746" s="13" t="str">
        <f>+HYPERLINK("http://trademark.i-assist.jp/data/china/image_1923th/81995984.pdf","81995984")</f>
        <v>81995984</v>
      </c>
      <c r="F1746" s="9" t="s">
        <v>4807</v>
      </c>
      <c r="G1746" s="11" t="s">
        <v>4808</v>
      </c>
      <c r="H1746" s="9" t="s">
        <v>4809</v>
      </c>
      <c r="I1746" s="10">
        <v>45611</v>
      </c>
    </row>
    <row r="1747" spans="1:9" x14ac:dyDescent="0.15">
      <c r="A1747" s="9">
        <v>1746</v>
      </c>
      <c r="B1747" s="9" t="s">
        <v>9</v>
      </c>
      <c r="C1747" s="9">
        <v>1923</v>
      </c>
      <c r="D1747" s="10">
        <v>45701</v>
      </c>
      <c r="E1747" s="13" t="str">
        <f>+HYPERLINK("http://trademark.i-assist.jp/data/china/image_1923th/81996180.pdf","81996180")</f>
        <v>81996180</v>
      </c>
      <c r="F1747" s="9" t="s">
        <v>4810</v>
      </c>
      <c r="G1747" s="9" t="s">
        <v>4811</v>
      </c>
      <c r="H1747" s="9" t="s">
        <v>4812</v>
      </c>
      <c r="I1747" s="10">
        <v>45611</v>
      </c>
    </row>
    <row r="1748" spans="1:9" x14ac:dyDescent="0.15">
      <c r="A1748" s="9">
        <v>1747</v>
      </c>
      <c r="B1748" s="9" t="s">
        <v>9</v>
      </c>
      <c r="C1748" s="9">
        <v>1923</v>
      </c>
      <c r="D1748" s="10">
        <v>45701</v>
      </c>
      <c r="E1748" s="13" t="str">
        <f>+HYPERLINK("http://trademark.i-assist.jp/data/china/image_1923th/81996301.pdf","81996301")</f>
        <v>81996301</v>
      </c>
      <c r="F1748" s="11" t="s">
        <v>4813</v>
      </c>
      <c r="G1748" s="9" t="s">
        <v>4601</v>
      </c>
      <c r="H1748" s="9" t="s">
        <v>4814</v>
      </c>
      <c r="I1748" s="10">
        <v>45611</v>
      </c>
    </row>
    <row r="1749" spans="1:9" x14ac:dyDescent="0.15">
      <c r="A1749" s="9">
        <v>1748</v>
      </c>
      <c r="B1749" s="9" t="s">
        <v>9</v>
      </c>
      <c r="C1749" s="9">
        <v>1923</v>
      </c>
      <c r="D1749" s="10">
        <v>45701</v>
      </c>
      <c r="E1749" s="13" t="str">
        <f>+HYPERLINK("http://trademark.i-assist.jp/data/china/image_1923th/81996404.pdf","81996404")</f>
        <v>81996404</v>
      </c>
      <c r="F1749" s="11" t="s">
        <v>4815</v>
      </c>
      <c r="G1749" s="9" t="s">
        <v>4816</v>
      </c>
      <c r="H1749" s="9" t="s">
        <v>4817</v>
      </c>
      <c r="I1749" s="10">
        <v>45611</v>
      </c>
    </row>
    <row r="1750" spans="1:9" x14ac:dyDescent="0.15">
      <c r="A1750" s="9">
        <v>1749</v>
      </c>
      <c r="B1750" s="9" t="s">
        <v>9</v>
      </c>
      <c r="C1750" s="9">
        <v>1923</v>
      </c>
      <c r="D1750" s="10">
        <v>45701</v>
      </c>
      <c r="E1750" s="13" t="str">
        <f>+HYPERLINK("http://trademark.i-assist.jp/data/china/image_1923th/81996649.pdf","81996649")</f>
        <v>81996649</v>
      </c>
      <c r="F1750" s="11" t="s">
        <v>126</v>
      </c>
      <c r="G1750" s="9" t="s">
        <v>4590</v>
      </c>
      <c r="H1750" s="9" t="s">
        <v>4818</v>
      </c>
      <c r="I1750" s="10">
        <v>45611</v>
      </c>
    </row>
    <row r="1751" spans="1:9" x14ac:dyDescent="0.15">
      <c r="A1751" s="9">
        <v>1750</v>
      </c>
      <c r="B1751" s="9" t="s">
        <v>9</v>
      </c>
      <c r="C1751" s="9">
        <v>1923</v>
      </c>
      <c r="D1751" s="10">
        <v>45701</v>
      </c>
      <c r="E1751" s="13" t="str">
        <f>+HYPERLINK("http://trademark.i-assist.jp/data/china/image_1923th/81996936.pdf","81996936")</f>
        <v>81996936</v>
      </c>
      <c r="F1751" s="9" t="s">
        <v>4819</v>
      </c>
      <c r="G1751" s="11" t="s">
        <v>13</v>
      </c>
      <c r="H1751" s="9" t="s">
        <v>4820</v>
      </c>
      <c r="I1751" s="10">
        <v>45611</v>
      </c>
    </row>
    <row r="1752" spans="1:9" x14ac:dyDescent="0.15">
      <c r="A1752" s="9">
        <v>1751</v>
      </c>
      <c r="B1752" s="9" t="s">
        <v>9</v>
      </c>
      <c r="C1752" s="9">
        <v>1923</v>
      </c>
      <c r="D1752" s="10">
        <v>45701</v>
      </c>
      <c r="E1752" s="13" t="str">
        <f>+HYPERLINK("http://trademark.i-assist.jp/data/china/image_1923th/81997112.pdf","81997112")</f>
        <v>81997112</v>
      </c>
      <c r="F1752" s="9" t="s">
        <v>4821</v>
      </c>
      <c r="G1752" s="9" t="s">
        <v>4822</v>
      </c>
      <c r="H1752" s="9" t="s">
        <v>4823</v>
      </c>
      <c r="I1752" s="10">
        <v>45611</v>
      </c>
    </row>
    <row r="1753" spans="1:9" x14ac:dyDescent="0.15">
      <c r="A1753" s="9">
        <v>1752</v>
      </c>
      <c r="B1753" s="9" t="s">
        <v>9</v>
      </c>
      <c r="C1753" s="9">
        <v>1923</v>
      </c>
      <c r="D1753" s="10">
        <v>45701</v>
      </c>
      <c r="E1753" s="13" t="str">
        <f>+HYPERLINK("http://trademark.i-assist.jp/data/china/image_1923th/81997271.pdf","81997271")</f>
        <v>81997271</v>
      </c>
      <c r="F1753" s="9" t="s">
        <v>4824</v>
      </c>
      <c r="G1753" s="9" t="s">
        <v>4626</v>
      </c>
      <c r="H1753" s="11" t="s">
        <v>4825</v>
      </c>
      <c r="I1753" s="10">
        <v>45611</v>
      </c>
    </row>
    <row r="1754" spans="1:9" x14ac:dyDescent="0.15">
      <c r="A1754" s="9">
        <v>1753</v>
      </c>
      <c r="B1754" s="9" t="s">
        <v>9</v>
      </c>
      <c r="C1754" s="9">
        <v>1923</v>
      </c>
      <c r="D1754" s="10">
        <v>45701</v>
      </c>
      <c r="E1754" s="13" t="str">
        <f>+HYPERLINK("http://trademark.i-assist.jp/data/china/image_1923th/81997320.pdf","81997320")</f>
        <v>81997320</v>
      </c>
      <c r="F1754" s="9" t="s">
        <v>4826</v>
      </c>
      <c r="G1754" s="9" t="s">
        <v>4827</v>
      </c>
      <c r="H1754" s="9" t="s">
        <v>4828</v>
      </c>
      <c r="I1754" s="10">
        <v>45611</v>
      </c>
    </row>
    <row r="1755" spans="1:9" x14ac:dyDescent="0.15">
      <c r="A1755" s="9">
        <v>1754</v>
      </c>
      <c r="B1755" s="9" t="s">
        <v>9</v>
      </c>
      <c r="C1755" s="9">
        <v>1923</v>
      </c>
      <c r="D1755" s="10">
        <v>45701</v>
      </c>
      <c r="E1755" s="13" t="str">
        <f>+HYPERLINK("http://trademark.i-assist.jp/data/china/image_1923th/81997339.pdf","81997339")</f>
        <v>81997339</v>
      </c>
      <c r="F1755" s="11" t="s">
        <v>4829</v>
      </c>
      <c r="G1755" s="11" t="s">
        <v>4830</v>
      </c>
      <c r="H1755" s="9" t="s">
        <v>4831</v>
      </c>
      <c r="I1755" s="10">
        <v>45611</v>
      </c>
    </row>
    <row r="1756" spans="1:9" x14ac:dyDescent="0.15">
      <c r="A1756" s="9">
        <v>1755</v>
      </c>
      <c r="B1756" s="9" t="s">
        <v>9</v>
      </c>
      <c r="C1756" s="9">
        <v>1923</v>
      </c>
      <c r="D1756" s="10">
        <v>45701</v>
      </c>
      <c r="E1756" s="13" t="str">
        <f>+HYPERLINK("http://trademark.i-assist.jp/data/china/image_1923th/81997443.pdf","81997443")</f>
        <v>81997443</v>
      </c>
      <c r="F1756" s="11" t="s">
        <v>4832</v>
      </c>
      <c r="G1756" s="9" t="s">
        <v>4833</v>
      </c>
      <c r="H1756" s="9" t="s">
        <v>4834</v>
      </c>
      <c r="I1756" s="10">
        <v>45611</v>
      </c>
    </row>
    <row r="1757" spans="1:9" x14ac:dyDescent="0.15">
      <c r="A1757" s="9">
        <v>1756</v>
      </c>
      <c r="B1757" s="9" t="s">
        <v>9</v>
      </c>
      <c r="C1757" s="9">
        <v>1923</v>
      </c>
      <c r="D1757" s="10">
        <v>45701</v>
      </c>
      <c r="E1757" s="13" t="str">
        <f>+HYPERLINK("http://trademark.i-assist.jp/data/china/image_1923th/81997508.pdf","81997508")</f>
        <v>81997508</v>
      </c>
      <c r="F1757" s="9" t="s">
        <v>4835</v>
      </c>
      <c r="G1757" s="11" t="s">
        <v>4836</v>
      </c>
      <c r="H1757" s="9" t="s">
        <v>4837</v>
      </c>
      <c r="I1757" s="10">
        <v>45611</v>
      </c>
    </row>
    <row r="1758" spans="1:9" x14ac:dyDescent="0.15">
      <c r="A1758" s="9">
        <v>1757</v>
      </c>
      <c r="B1758" s="9" t="s">
        <v>9</v>
      </c>
      <c r="C1758" s="9">
        <v>1923</v>
      </c>
      <c r="D1758" s="10">
        <v>45701</v>
      </c>
      <c r="E1758" s="13" t="str">
        <f>+HYPERLINK("http://trademark.i-assist.jp/data/china/image_1923th/81997536.pdf","81997536")</f>
        <v>81997536</v>
      </c>
      <c r="F1758" s="9" t="s">
        <v>4838</v>
      </c>
      <c r="G1758" s="9" t="s">
        <v>4839</v>
      </c>
      <c r="H1758" s="9" t="s">
        <v>4840</v>
      </c>
      <c r="I1758" s="10">
        <v>45611</v>
      </c>
    </row>
    <row r="1759" spans="1:9" x14ac:dyDescent="0.15">
      <c r="A1759" s="9">
        <v>1758</v>
      </c>
      <c r="B1759" s="9" t="s">
        <v>9</v>
      </c>
      <c r="C1759" s="9">
        <v>1923</v>
      </c>
      <c r="D1759" s="10">
        <v>45701</v>
      </c>
      <c r="E1759" s="13" t="str">
        <f>+HYPERLINK("http://trademark.i-assist.jp/data/china/image_1923th/81997595.pdf","81997595")</f>
        <v>81997595</v>
      </c>
      <c r="F1759" s="9" t="s">
        <v>4841</v>
      </c>
      <c r="G1759" s="11" t="s">
        <v>4842</v>
      </c>
      <c r="H1759" s="9" t="s">
        <v>4843</v>
      </c>
      <c r="I1759" s="10">
        <v>45611</v>
      </c>
    </row>
    <row r="1760" spans="1:9" x14ac:dyDescent="0.15">
      <c r="A1760" s="9">
        <v>1759</v>
      </c>
      <c r="B1760" s="9" t="s">
        <v>9</v>
      </c>
      <c r="C1760" s="9">
        <v>1923</v>
      </c>
      <c r="D1760" s="10">
        <v>45701</v>
      </c>
      <c r="E1760" s="13" t="str">
        <f>+HYPERLINK("http://trademark.i-assist.jp/data/china/image_1923th/81997616.pdf","81997616")</f>
        <v>81997616</v>
      </c>
      <c r="F1760" s="11" t="s">
        <v>4844</v>
      </c>
      <c r="G1760" s="9" t="s">
        <v>45</v>
      </c>
      <c r="H1760" s="9" t="s">
        <v>4845</v>
      </c>
      <c r="I1760" s="10">
        <v>45611</v>
      </c>
    </row>
    <row r="1761" spans="1:9" x14ac:dyDescent="0.15">
      <c r="A1761" s="9">
        <v>1760</v>
      </c>
      <c r="B1761" s="9" t="s">
        <v>9</v>
      </c>
      <c r="C1761" s="9">
        <v>1923</v>
      </c>
      <c r="D1761" s="10">
        <v>45701</v>
      </c>
      <c r="E1761" s="13" t="str">
        <f>+HYPERLINK("http://trademark.i-assist.jp/data/china/image_1923th/81998112.pdf","81998112")</f>
        <v>81998112</v>
      </c>
      <c r="F1761" s="9" t="s">
        <v>4846</v>
      </c>
      <c r="G1761" s="9" t="s">
        <v>4847</v>
      </c>
      <c r="H1761" s="9" t="s">
        <v>4848</v>
      </c>
      <c r="I1761" s="10">
        <v>45611</v>
      </c>
    </row>
    <row r="1762" spans="1:9" x14ac:dyDescent="0.15">
      <c r="A1762" s="9">
        <v>1761</v>
      </c>
      <c r="B1762" s="9" t="s">
        <v>9</v>
      </c>
      <c r="C1762" s="9">
        <v>1923</v>
      </c>
      <c r="D1762" s="10">
        <v>45701</v>
      </c>
      <c r="E1762" s="13" t="str">
        <f>+HYPERLINK("http://trademark.i-assist.jp/data/china/image_1923th/81998159.pdf","81998159")</f>
        <v>81998159</v>
      </c>
      <c r="F1762" s="11" t="s">
        <v>4849</v>
      </c>
      <c r="G1762" s="9" t="s">
        <v>4850</v>
      </c>
      <c r="H1762" s="11" t="s">
        <v>4851</v>
      </c>
      <c r="I1762" s="10">
        <v>45611</v>
      </c>
    </row>
    <row r="1763" spans="1:9" x14ac:dyDescent="0.15">
      <c r="A1763" s="9">
        <v>1762</v>
      </c>
      <c r="B1763" s="9" t="s">
        <v>9</v>
      </c>
      <c r="C1763" s="9">
        <v>1923</v>
      </c>
      <c r="D1763" s="10">
        <v>45701</v>
      </c>
      <c r="E1763" s="13" t="str">
        <f>+HYPERLINK("http://trademark.i-assist.jp/data/china/image_1923th/81998693.pdf","81998693")</f>
        <v>81998693</v>
      </c>
      <c r="F1763" s="11" t="s">
        <v>4852</v>
      </c>
      <c r="G1763" s="9" t="s">
        <v>4531</v>
      </c>
      <c r="H1763" s="9" t="s">
        <v>4853</v>
      </c>
      <c r="I1763" s="10">
        <v>45611</v>
      </c>
    </row>
    <row r="1764" spans="1:9" x14ac:dyDescent="0.15">
      <c r="A1764" s="9">
        <v>1763</v>
      </c>
      <c r="B1764" s="9" t="s">
        <v>9</v>
      </c>
      <c r="C1764" s="9">
        <v>1923</v>
      </c>
      <c r="D1764" s="10">
        <v>45701</v>
      </c>
      <c r="E1764" s="13" t="str">
        <f>+HYPERLINK("http://trademark.i-assist.jp/data/china/image_1923th/81998765.pdf","81998765")</f>
        <v>81998765</v>
      </c>
      <c r="F1764" s="11" t="s">
        <v>126</v>
      </c>
      <c r="G1764" s="9" t="s">
        <v>4854</v>
      </c>
      <c r="H1764" s="9" t="s">
        <v>4855</v>
      </c>
      <c r="I1764" s="10">
        <v>45611</v>
      </c>
    </row>
    <row r="1765" spans="1:9" x14ac:dyDescent="0.15">
      <c r="A1765" s="9">
        <v>1764</v>
      </c>
      <c r="B1765" s="9" t="s">
        <v>9</v>
      </c>
      <c r="C1765" s="9">
        <v>1923</v>
      </c>
      <c r="D1765" s="10">
        <v>45701</v>
      </c>
      <c r="E1765" s="13" t="str">
        <f>+HYPERLINK("http://trademark.i-assist.jp/data/china/image_1923th/81999211.pdf","81999211")</f>
        <v>81999211</v>
      </c>
      <c r="F1765" s="9" t="s">
        <v>4856</v>
      </c>
      <c r="G1765" s="9" t="s">
        <v>4857</v>
      </c>
      <c r="H1765" s="9" t="s">
        <v>4858</v>
      </c>
      <c r="I1765" s="10">
        <v>45611</v>
      </c>
    </row>
    <row r="1766" spans="1:9" x14ac:dyDescent="0.15">
      <c r="A1766" s="9">
        <v>1765</v>
      </c>
      <c r="B1766" s="9" t="s">
        <v>9</v>
      </c>
      <c r="C1766" s="9">
        <v>1923</v>
      </c>
      <c r="D1766" s="10">
        <v>45701</v>
      </c>
      <c r="E1766" s="13" t="str">
        <f>+HYPERLINK("http://trademark.i-assist.jp/data/china/image_1923th/81999340.pdf","81999340")</f>
        <v>81999340</v>
      </c>
      <c r="F1766" s="11" t="s">
        <v>4859</v>
      </c>
      <c r="G1766" s="9" t="s">
        <v>4601</v>
      </c>
      <c r="H1766" s="9" t="s">
        <v>4860</v>
      </c>
      <c r="I1766" s="10">
        <v>45611</v>
      </c>
    </row>
    <row r="1767" spans="1:9" x14ac:dyDescent="0.15">
      <c r="A1767" s="9">
        <v>1766</v>
      </c>
      <c r="B1767" s="9" t="s">
        <v>9</v>
      </c>
      <c r="C1767" s="9">
        <v>1923</v>
      </c>
      <c r="D1767" s="10">
        <v>45701</v>
      </c>
      <c r="E1767" s="13" t="str">
        <f>+HYPERLINK("http://trademark.i-assist.jp/data/china/image_1923th/81999371.pdf","81999371")</f>
        <v>81999371</v>
      </c>
      <c r="F1767" s="9" t="s">
        <v>4861</v>
      </c>
      <c r="G1767" s="9" t="s">
        <v>4543</v>
      </c>
      <c r="H1767" s="9" t="s">
        <v>4862</v>
      </c>
      <c r="I1767" s="10">
        <v>45611</v>
      </c>
    </row>
    <row r="1768" spans="1:9" x14ac:dyDescent="0.15">
      <c r="A1768" s="9">
        <v>1767</v>
      </c>
      <c r="B1768" s="9" t="s">
        <v>9</v>
      </c>
      <c r="C1768" s="9">
        <v>1923</v>
      </c>
      <c r="D1768" s="10">
        <v>45701</v>
      </c>
      <c r="E1768" s="13" t="str">
        <f>+HYPERLINK("http://trademark.i-assist.jp/data/china/image_1923th/81999411.pdf","81999411")</f>
        <v>81999411</v>
      </c>
      <c r="F1768" s="9" t="s">
        <v>4863</v>
      </c>
      <c r="G1768" s="9" t="s">
        <v>4864</v>
      </c>
      <c r="H1768" s="11" t="s">
        <v>4865</v>
      </c>
      <c r="I1768" s="10">
        <v>45611</v>
      </c>
    </row>
    <row r="1769" spans="1:9" x14ac:dyDescent="0.15">
      <c r="A1769" s="9">
        <v>1768</v>
      </c>
      <c r="B1769" s="9" t="s">
        <v>9</v>
      </c>
      <c r="C1769" s="9">
        <v>1923</v>
      </c>
      <c r="D1769" s="10">
        <v>45701</v>
      </c>
      <c r="E1769" s="13" t="str">
        <f>+HYPERLINK("http://trademark.i-assist.jp/data/china/image_1923th/82000132.pdf","82000132")</f>
        <v>82000132</v>
      </c>
      <c r="F1769" s="11" t="s">
        <v>4866</v>
      </c>
      <c r="G1769" s="9" t="s">
        <v>17</v>
      </c>
      <c r="H1769" s="9" t="s">
        <v>4867</v>
      </c>
      <c r="I1769" s="10">
        <v>45611</v>
      </c>
    </row>
    <row r="1770" spans="1:9" x14ac:dyDescent="0.15">
      <c r="A1770" s="9">
        <v>1769</v>
      </c>
      <c r="B1770" s="9" t="s">
        <v>9</v>
      </c>
      <c r="C1770" s="9">
        <v>1923</v>
      </c>
      <c r="D1770" s="10">
        <v>45701</v>
      </c>
      <c r="E1770" s="13" t="str">
        <f>+HYPERLINK("http://trademark.i-assist.jp/data/china/image_1923th/82000425.pdf","82000425")</f>
        <v>82000425</v>
      </c>
      <c r="F1770" s="9" t="s">
        <v>4868</v>
      </c>
      <c r="G1770" s="9" t="s">
        <v>4869</v>
      </c>
      <c r="H1770" s="9" t="s">
        <v>4870</v>
      </c>
      <c r="I1770" s="10">
        <v>45611</v>
      </c>
    </row>
    <row r="1771" spans="1:9" x14ac:dyDescent="0.15">
      <c r="A1771" s="9">
        <v>1770</v>
      </c>
      <c r="B1771" s="9" t="s">
        <v>9</v>
      </c>
      <c r="C1771" s="9">
        <v>1923</v>
      </c>
      <c r="D1771" s="10">
        <v>45701</v>
      </c>
      <c r="E1771" s="13" t="str">
        <f>+HYPERLINK("http://trademark.i-assist.jp/data/china/image_1923th/82001253.pdf","82001253")</f>
        <v>82001253</v>
      </c>
      <c r="F1771" s="9" t="s">
        <v>4871</v>
      </c>
      <c r="G1771" s="11" t="s">
        <v>4552</v>
      </c>
      <c r="H1771" s="9" t="s">
        <v>4872</v>
      </c>
      <c r="I1771" s="10">
        <v>45611</v>
      </c>
    </row>
    <row r="1772" spans="1:9" x14ac:dyDescent="0.15">
      <c r="A1772" s="9">
        <v>1771</v>
      </c>
      <c r="B1772" s="9" t="s">
        <v>9</v>
      </c>
      <c r="C1772" s="9">
        <v>1923</v>
      </c>
      <c r="D1772" s="10">
        <v>45701</v>
      </c>
      <c r="E1772" s="13" t="str">
        <f>+HYPERLINK("http://trademark.i-assist.jp/data/china/image_1923th/82001312.pdf","82001312")</f>
        <v>82001312</v>
      </c>
      <c r="F1772" s="11" t="s">
        <v>4873</v>
      </c>
      <c r="G1772" s="11" t="s">
        <v>4555</v>
      </c>
      <c r="H1772" s="9" t="s">
        <v>4874</v>
      </c>
      <c r="I1772" s="10">
        <v>45611</v>
      </c>
    </row>
    <row r="1773" spans="1:9" x14ac:dyDescent="0.15">
      <c r="A1773" s="9">
        <v>1772</v>
      </c>
      <c r="B1773" s="9" t="s">
        <v>9</v>
      </c>
      <c r="C1773" s="9">
        <v>1923</v>
      </c>
      <c r="D1773" s="10">
        <v>45701</v>
      </c>
      <c r="E1773" s="13" t="str">
        <f>+HYPERLINK("http://trademark.i-assist.jp/data/china/image_1923th/82001400.pdf","82001400")</f>
        <v>82001400</v>
      </c>
      <c r="F1773" s="9" t="s">
        <v>4875</v>
      </c>
      <c r="G1773" s="9" t="s">
        <v>4876</v>
      </c>
      <c r="H1773" s="9" t="s">
        <v>4877</v>
      </c>
      <c r="I1773" s="10">
        <v>45611</v>
      </c>
    </row>
    <row r="1774" spans="1:9" x14ac:dyDescent="0.15">
      <c r="A1774" s="9">
        <v>1773</v>
      </c>
      <c r="B1774" s="9" t="s">
        <v>9</v>
      </c>
      <c r="C1774" s="9">
        <v>1923</v>
      </c>
      <c r="D1774" s="10">
        <v>45701</v>
      </c>
      <c r="E1774" s="13" t="str">
        <f>+HYPERLINK("http://trademark.i-assist.jp/data/china/image_1923th/82001405.pdf","82001405")</f>
        <v>82001405</v>
      </c>
      <c r="F1774" s="11" t="s">
        <v>126</v>
      </c>
      <c r="G1774" s="11" t="s">
        <v>4800</v>
      </c>
      <c r="H1774" s="9" t="s">
        <v>4878</v>
      </c>
      <c r="I1774" s="10">
        <v>45611</v>
      </c>
    </row>
    <row r="1775" spans="1:9" x14ac:dyDescent="0.15">
      <c r="A1775" s="9">
        <v>1774</v>
      </c>
      <c r="B1775" s="9" t="s">
        <v>9</v>
      </c>
      <c r="C1775" s="9">
        <v>1923</v>
      </c>
      <c r="D1775" s="10">
        <v>45701</v>
      </c>
      <c r="E1775" s="13" t="str">
        <f>+HYPERLINK("http://trademark.i-assist.jp/data/china/image_1923th/82002337.pdf","82002337")</f>
        <v>82002337</v>
      </c>
      <c r="F1775" s="9" t="s">
        <v>4879</v>
      </c>
      <c r="G1775" s="9" t="s">
        <v>4659</v>
      </c>
      <c r="H1775" s="9" t="s">
        <v>4880</v>
      </c>
      <c r="I1775" s="10">
        <v>45611</v>
      </c>
    </row>
    <row r="1776" spans="1:9" x14ac:dyDescent="0.15">
      <c r="A1776" s="9">
        <v>1775</v>
      </c>
      <c r="B1776" s="9" t="s">
        <v>9</v>
      </c>
      <c r="C1776" s="9">
        <v>1923</v>
      </c>
      <c r="D1776" s="10">
        <v>45701</v>
      </c>
      <c r="E1776" s="13" t="str">
        <f>+HYPERLINK("http://trademark.i-assist.jp/data/china/image_1923th/82002378.pdf","82002378")</f>
        <v>82002378</v>
      </c>
      <c r="F1776" s="11" t="s">
        <v>4881</v>
      </c>
      <c r="G1776" s="9" t="s">
        <v>4882</v>
      </c>
      <c r="H1776" s="9" t="s">
        <v>4883</v>
      </c>
      <c r="I1776" s="10">
        <v>45611</v>
      </c>
    </row>
    <row r="1777" spans="1:9" x14ac:dyDescent="0.15">
      <c r="A1777" s="9">
        <v>1776</v>
      </c>
      <c r="B1777" s="9" t="s">
        <v>9</v>
      </c>
      <c r="C1777" s="9">
        <v>1923</v>
      </c>
      <c r="D1777" s="10">
        <v>45701</v>
      </c>
      <c r="E1777" s="13" t="str">
        <f>+HYPERLINK("http://trademark.i-assist.jp/data/china/image_1923th/82002433.pdf","82002433")</f>
        <v>82002433</v>
      </c>
      <c r="F1777" s="9" t="s">
        <v>4884</v>
      </c>
      <c r="G1777" s="9" t="s">
        <v>4662</v>
      </c>
      <c r="H1777" s="9" t="s">
        <v>4885</v>
      </c>
      <c r="I1777" s="10">
        <v>45611</v>
      </c>
    </row>
    <row r="1778" spans="1:9" x14ac:dyDescent="0.15">
      <c r="A1778" s="9">
        <v>1777</v>
      </c>
      <c r="B1778" s="9" t="s">
        <v>9</v>
      </c>
      <c r="C1778" s="9">
        <v>1923</v>
      </c>
      <c r="D1778" s="10">
        <v>45701</v>
      </c>
      <c r="E1778" s="13" t="str">
        <f>+HYPERLINK("http://trademark.i-assist.jp/data/china/image_1923th/82002576.pdf","82002576")</f>
        <v>82002576</v>
      </c>
      <c r="F1778" s="11" t="s">
        <v>4886</v>
      </c>
      <c r="G1778" s="11" t="s">
        <v>4887</v>
      </c>
      <c r="H1778" s="9" t="s">
        <v>4888</v>
      </c>
      <c r="I1778" s="10">
        <v>45611</v>
      </c>
    </row>
    <row r="1779" spans="1:9" x14ac:dyDescent="0.15">
      <c r="A1779" s="9">
        <v>1778</v>
      </c>
      <c r="B1779" s="9" t="s">
        <v>9</v>
      </c>
      <c r="C1779" s="9">
        <v>1923</v>
      </c>
      <c r="D1779" s="10">
        <v>45701</v>
      </c>
      <c r="E1779" s="13" t="str">
        <f>+HYPERLINK("http://trademark.i-assist.jp/data/china/image_1923th/82002671.pdf","82002671")</f>
        <v>82002671</v>
      </c>
      <c r="F1779" s="9" t="s">
        <v>4889</v>
      </c>
      <c r="G1779" s="9" t="s">
        <v>3450</v>
      </c>
      <c r="H1779" s="9" t="s">
        <v>4890</v>
      </c>
      <c r="I1779" s="10">
        <v>45611</v>
      </c>
    </row>
    <row r="1780" spans="1:9" x14ac:dyDescent="0.15">
      <c r="A1780" s="9">
        <v>1779</v>
      </c>
      <c r="B1780" s="9" t="s">
        <v>9</v>
      </c>
      <c r="C1780" s="9">
        <v>1923</v>
      </c>
      <c r="D1780" s="10">
        <v>45701</v>
      </c>
      <c r="E1780" s="13" t="str">
        <f>+HYPERLINK("http://trademark.i-assist.jp/data/china/image_1923th/82002818.pdf","82002818")</f>
        <v>82002818</v>
      </c>
      <c r="F1780" s="11" t="s">
        <v>4891</v>
      </c>
      <c r="G1780" s="11" t="s">
        <v>4749</v>
      </c>
      <c r="H1780" s="11" t="s">
        <v>4892</v>
      </c>
      <c r="I1780" s="10">
        <v>45611</v>
      </c>
    </row>
    <row r="1781" spans="1:9" x14ac:dyDescent="0.15">
      <c r="A1781" s="9">
        <v>1780</v>
      </c>
      <c r="B1781" s="9" t="s">
        <v>9</v>
      </c>
      <c r="C1781" s="9">
        <v>1923</v>
      </c>
      <c r="D1781" s="10">
        <v>45701</v>
      </c>
      <c r="E1781" s="13" t="str">
        <f>+HYPERLINK("http://trademark.i-assist.jp/data/china/image_1923th/82002825.pdf","82002825")</f>
        <v>82002825</v>
      </c>
      <c r="F1781" s="9" t="s">
        <v>4893</v>
      </c>
      <c r="G1781" s="9" t="s">
        <v>4894</v>
      </c>
      <c r="H1781" s="9" t="s">
        <v>4895</v>
      </c>
      <c r="I1781" s="10">
        <v>45611</v>
      </c>
    </row>
    <row r="1782" spans="1:9" x14ac:dyDescent="0.15">
      <c r="A1782" s="9">
        <v>1781</v>
      </c>
      <c r="B1782" s="9" t="s">
        <v>9</v>
      </c>
      <c r="C1782" s="9">
        <v>1923</v>
      </c>
      <c r="D1782" s="10">
        <v>45701</v>
      </c>
      <c r="E1782" s="13" t="str">
        <f>+HYPERLINK("http://trademark.i-assist.jp/data/china/image_1923th/82002872.pdf","82002872")</f>
        <v>82002872</v>
      </c>
      <c r="F1782" s="9" t="s">
        <v>4896</v>
      </c>
      <c r="G1782" s="9" t="s">
        <v>4897</v>
      </c>
      <c r="H1782" s="9" t="s">
        <v>4898</v>
      </c>
      <c r="I1782" s="10">
        <v>45611</v>
      </c>
    </row>
    <row r="1783" spans="1:9" x14ac:dyDescent="0.15">
      <c r="A1783" s="9">
        <v>1782</v>
      </c>
      <c r="B1783" s="9" t="s">
        <v>9</v>
      </c>
      <c r="C1783" s="9">
        <v>1923</v>
      </c>
      <c r="D1783" s="10">
        <v>45701</v>
      </c>
      <c r="E1783" s="13" t="str">
        <f>+HYPERLINK("http://trademark.i-assist.jp/data/china/image_1923th/82002878.pdf","82002878")</f>
        <v>82002878</v>
      </c>
      <c r="F1783" s="9" t="s">
        <v>4899</v>
      </c>
      <c r="G1783" s="9" t="s">
        <v>4897</v>
      </c>
      <c r="H1783" s="9" t="s">
        <v>4900</v>
      </c>
      <c r="I1783" s="10">
        <v>45611</v>
      </c>
    </row>
    <row r="1784" spans="1:9" x14ac:dyDescent="0.15">
      <c r="A1784" s="9">
        <v>1783</v>
      </c>
      <c r="B1784" s="9" t="s">
        <v>9</v>
      </c>
      <c r="C1784" s="9">
        <v>1923</v>
      </c>
      <c r="D1784" s="10">
        <v>45701</v>
      </c>
      <c r="E1784" s="13" t="str">
        <f>+HYPERLINK("http://trademark.i-assist.jp/data/china/image_1923th/82002910.pdf","82002910")</f>
        <v>82002910</v>
      </c>
      <c r="F1784" s="11" t="s">
        <v>126</v>
      </c>
      <c r="G1784" s="11" t="s">
        <v>4901</v>
      </c>
      <c r="H1784" s="9" t="s">
        <v>4902</v>
      </c>
      <c r="I1784" s="10">
        <v>45611</v>
      </c>
    </row>
    <row r="1785" spans="1:9" x14ac:dyDescent="0.15">
      <c r="A1785" s="9">
        <v>1784</v>
      </c>
      <c r="B1785" s="9" t="s">
        <v>9</v>
      </c>
      <c r="C1785" s="9">
        <v>1923</v>
      </c>
      <c r="D1785" s="10">
        <v>45701</v>
      </c>
      <c r="E1785" s="13" t="str">
        <f>+HYPERLINK("http://trademark.i-assist.jp/data/china/image_1923th/82003445.pdf","82003445")</f>
        <v>82003445</v>
      </c>
      <c r="F1785" s="11" t="s">
        <v>4903</v>
      </c>
      <c r="G1785" s="9" t="s">
        <v>4601</v>
      </c>
      <c r="H1785" s="9" t="s">
        <v>4904</v>
      </c>
      <c r="I1785" s="10">
        <v>45611</v>
      </c>
    </row>
    <row r="1786" spans="1:9" x14ac:dyDescent="0.15">
      <c r="A1786" s="9">
        <v>1785</v>
      </c>
      <c r="B1786" s="9" t="s">
        <v>9</v>
      </c>
      <c r="C1786" s="9">
        <v>1923</v>
      </c>
      <c r="D1786" s="10">
        <v>45701</v>
      </c>
      <c r="E1786" s="13" t="str">
        <f>+HYPERLINK("http://trademark.i-assist.jp/data/china/image_1923th/82003478.pdf","82003478")</f>
        <v>82003478</v>
      </c>
      <c r="F1786" s="9" t="s">
        <v>4905</v>
      </c>
      <c r="G1786" s="11" t="s">
        <v>4906</v>
      </c>
      <c r="H1786" s="11" t="s">
        <v>4907</v>
      </c>
      <c r="I1786" s="10">
        <v>45611</v>
      </c>
    </row>
    <row r="1787" spans="1:9" x14ac:dyDescent="0.15">
      <c r="A1787" s="9">
        <v>1786</v>
      </c>
      <c r="B1787" s="9" t="s">
        <v>9</v>
      </c>
      <c r="C1787" s="9">
        <v>1923</v>
      </c>
      <c r="D1787" s="10">
        <v>45701</v>
      </c>
      <c r="E1787" s="13" t="str">
        <f>+HYPERLINK("http://trademark.i-assist.jp/data/china/image_1923th/82003485.pdf","82003485")</f>
        <v>82003485</v>
      </c>
      <c r="F1787" s="9" t="s">
        <v>4908</v>
      </c>
      <c r="G1787" s="9" t="s">
        <v>4543</v>
      </c>
      <c r="H1787" s="9" t="s">
        <v>4909</v>
      </c>
      <c r="I1787" s="10">
        <v>45611</v>
      </c>
    </row>
    <row r="1788" spans="1:9" x14ac:dyDescent="0.15">
      <c r="A1788" s="9">
        <v>1787</v>
      </c>
      <c r="B1788" s="9" t="s">
        <v>9</v>
      </c>
      <c r="C1788" s="9">
        <v>1923</v>
      </c>
      <c r="D1788" s="10">
        <v>45701</v>
      </c>
      <c r="E1788" s="13" t="str">
        <f>+HYPERLINK("http://trademark.i-assist.jp/data/china/image_1923th/82003814.pdf","82003814")</f>
        <v>82003814</v>
      </c>
      <c r="F1788" s="9" t="s">
        <v>4910</v>
      </c>
      <c r="G1788" s="9" t="s">
        <v>4662</v>
      </c>
      <c r="H1788" s="11" t="s">
        <v>4911</v>
      </c>
      <c r="I1788" s="10">
        <v>45611</v>
      </c>
    </row>
    <row r="1789" spans="1:9" x14ac:dyDescent="0.15">
      <c r="A1789" s="9">
        <v>1788</v>
      </c>
      <c r="B1789" s="9" t="s">
        <v>9</v>
      </c>
      <c r="C1789" s="9">
        <v>1923</v>
      </c>
      <c r="D1789" s="10">
        <v>45701</v>
      </c>
      <c r="E1789" s="13" t="str">
        <f>+HYPERLINK("http://trademark.i-assist.jp/data/china/image_1923th/82003973.pdf","82003973")</f>
        <v>82003973</v>
      </c>
      <c r="F1789" s="11" t="s">
        <v>4912</v>
      </c>
      <c r="G1789" s="11" t="s">
        <v>4913</v>
      </c>
      <c r="H1789" s="9" t="s">
        <v>4914</v>
      </c>
      <c r="I1789" s="10">
        <v>45611</v>
      </c>
    </row>
    <row r="1790" spans="1:9" x14ac:dyDescent="0.15">
      <c r="A1790" s="9">
        <v>1789</v>
      </c>
      <c r="B1790" s="9" t="s">
        <v>9</v>
      </c>
      <c r="C1790" s="9">
        <v>1923</v>
      </c>
      <c r="D1790" s="10">
        <v>45701</v>
      </c>
      <c r="E1790" s="13" t="str">
        <f>+HYPERLINK("http://trademark.i-assist.jp/data/china/image_1923th/82004947.pdf","82004947")</f>
        <v>82004947</v>
      </c>
      <c r="F1790" s="9" t="s">
        <v>4915</v>
      </c>
      <c r="G1790" s="9" t="s">
        <v>4916</v>
      </c>
      <c r="H1790" s="9" t="s">
        <v>4917</v>
      </c>
      <c r="I1790" s="10">
        <v>45611</v>
      </c>
    </row>
    <row r="1791" spans="1:9" x14ac:dyDescent="0.15">
      <c r="A1791" s="9">
        <v>1790</v>
      </c>
      <c r="B1791" s="9" t="s">
        <v>9</v>
      </c>
      <c r="C1791" s="9">
        <v>1923</v>
      </c>
      <c r="D1791" s="10">
        <v>45701</v>
      </c>
      <c r="E1791" s="13" t="str">
        <f>+HYPERLINK("http://trademark.i-assist.jp/data/china/image_1923th/82004973.pdf","82004973")</f>
        <v>82004973</v>
      </c>
      <c r="F1791" s="9" t="s">
        <v>4918</v>
      </c>
      <c r="G1791" s="9" t="s">
        <v>4919</v>
      </c>
      <c r="H1791" s="9" t="s">
        <v>4920</v>
      </c>
      <c r="I1791" s="10">
        <v>45611</v>
      </c>
    </row>
    <row r="1792" spans="1:9" x14ac:dyDescent="0.15">
      <c r="A1792" s="9">
        <v>1791</v>
      </c>
      <c r="B1792" s="9" t="s">
        <v>9</v>
      </c>
      <c r="C1792" s="9">
        <v>1923</v>
      </c>
      <c r="D1792" s="10">
        <v>45701</v>
      </c>
      <c r="E1792" s="13" t="str">
        <f>+HYPERLINK("http://trademark.i-assist.jp/data/china/image_1923th/82005264.pdf","82005264")</f>
        <v>82005264</v>
      </c>
      <c r="F1792" s="11" t="s">
        <v>4921</v>
      </c>
      <c r="G1792" s="11" t="s">
        <v>4922</v>
      </c>
      <c r="H1792" s="9" t="s">
        <v>4923</v>
      </c>
      <c r="I1792" s="10">
        <v>45611</v>
      </c>
    </row>
    <row r="1793" spans="1:9" x14ac:dyDescent="0.15">
      <c r="A1793" s="9">
        <v>1792</v>
      </c>
      <c r="B1793" s="9" t="s">
        <v>9</v>
      </c>
      <c r="C1793" s="9">
        <v>1923</v>
      </c>
      <c r="D1793" s="10">
        <v>45701</v>
      </c>
      <c r="E1793" s="13" t="str">
        <f>+HYPERLINK("http://trademark.i-assist.jp/data/china/image_1923th/82005483.pdf","82005483")</f>
        <v>82005483</v>
      </c>
      <c r="F1793" s="9" t="s">
        <v>4924</v>
      </c>
      <c r="G1793" s="9" t="s">
        <v>4925</v>
      </c>
      <c r="H1793" s="11" t="s">
        <v>4926</v>
      </c>
      <c r="I1793" s="10">
        <v>45611</v>
      </c>
    </row>
    <row r="1794" spans="1:9" x14ac:dyDescent="0.15">
      <c r="A1794" s="9">
        <v>1793</v>
      </c>
      <c r="B1794" s="9" t="s">
        <v>9</v>
      </c>
      <c r="C1794" s="9">
        <v>1923</v>
      </c>
      <c r="D1794" s="10">
        <v>45701</v>
      </c>
      <c r="E1794" s="13" t="str">
        <f>+HYPERLINK("http://trademark.i-assist.jp/data/china/image_1923th/82005614.pdf","82005614")</f>
        <v>82005614</v>
      </c>
      <c r="F1794" s="11" t="s">
        <v>4927</v>
      </c>
      <c r="G1794" s="9" t="s">
        <v>4587</v>
      </c>
      <c r="H1794" s="9" t="s">
        <v>4928</v>
      </c>
      <c r="I1794" s="10">
        <v>45611</v>
      </c>
    </row>
    <row r="1795" spans="1:9" x14ac:dyDescent="0.15">
      <c r="A1795" s="9">
        <v>1794</v>
      </c>
      <c r="B1795" s="9" t="s">
        <v>9</v>
      </c>
      <c r="C1795" s="9">
        <v>1923</v>
      </c>
      <c r="D1795" s="10">
        <v>45701</v>
      </c>
      <c r="E1795" s="13" t="str">
        <f>+HYPERLINK("http://trademark.i-assist.jp/data/china/image_1923th/82005711.pdf","82005711")</f>
        <v>82005711</v>
      </c>
      <c r="F1795" s="9" t="s">
        <v>4929</v>
      </c>
      <c r="G1795" s="11" t="s">
        <v>4930</v>
      </c>
      <c r="H1795" s="9" t="s">
        <v>4931</v>
      </c>
      <c r="I1795" s="10">
        <v>45611</v>
      </c>
    </row>
    <row r="1796" spans="1:9" x14ac:dyDescent="0.15">
      <c r="A1796" s="9">
        <v>1795</v>
      </c>
      <c r="B1796" s="9" t="s">
        <v>9</v>
      </c>
      <c r="C1796" s="9">
        <v>1923</v>
      </c>
      <c r="D1796" s="10">
        <v>45701</v>
      </c>
      <c r="E1796" s="13" t="str">
        <f>+HYPERLINK("http://trademark.i-assist.jp/data/china/image_1923th/82005809.pdf","82005809")</f>
        <v>82005809</v>
      </c>
      <c r="F1796" s="9" t="s">
        <v>4932</v>
      </c>
      <c r="G1796" s="9" t="s">
        <v>4933</v>
      </c>
      <c r="H1796" s="9" t="s">
        <v>4934</v>
      </c>
      <c r="I1796" s="10">
        <v>45612</v>
      </c>
    </row>
    <row r="1797" spans="1:9" x14ac:dyDescent="0.15">
      <c r="A1797" s="9">
        <v>1796</v>
      </c>
      <c r="B1797" s="9" t="s">
        <v>9</v>
      </c>
      <c r="C1797" s="9">
        <v>1923</v>
      </c>
      <c r="D1797" s="10">
        <v>45701</v>
      </c>
      <c r="E1797" s="13" t="str">
        <f>+HYPERLINK("http://trademark.i-assist.jp/data/china/image_1923th/82006179.pdf","82006179")</f>
        <v>82006179</v>
      </c>
      <c r="F1797" s="9" t="s">
        <v>4935</v>
      </c>
      <c r="G1797" s="11" t="s">
        <v>4936</v>
      </c>
      <c r="H1797" s="9" t="s">
        <v>4008</v>
      </c>
      <c r="I1797" s="10">
        <v>45612</v>
      </c>
    </row>
    <row r="1798" spans="1:9" x14ac:dyDescent="0.15">
      <c r="A1798" s="9">
        <v>1797</v>
      </c>
      <c r="B1798" s="9" t="s">
        <v>9</v>
      </c>
      <c r="C1798" s="9">
        <v>1923</v>
      </c>
      <c r="D1798" s="10">
        <v>45701</v>
      </c>
      <c r="E1798" s="13" t="str">
        <f>+HYPERLINK("http://trademark.i-assist.jp/data/china/image_1923th/82007294.pdf","82007294")</f>
        <v>82007294</v>
      </c>
      <c r="F1798" s="9" t="s">
        <v>4937</v>
      </c>
      <c r="G1798" s="9" t="s">
        <v>4938</v>
      </c>
      <c r="H1798" s="9" t="s">
        <v>4939</v>
      </c>
      <c r="I1798" s="10">
        <v>45612</v>
      </c>
    </row>
    <row r="1799" spans="1:9" x14ac:dyDescent="0.15">
      <c r="A1799" s="9">
        <v>1798</v>
      </c>
      <c r="B1799" s="9" t="s">
        <v>9</v>
      </c>
      <c r="C1799" s="9">
        <v>1923</v>
      </c>
      <c r="D1799" s="10">
        <v>45701</v>
      </c>
      <c r="E1799" s="13" t="str">
        <f>+HYPERLINK("http://trademark.i-assist.jp/data/china/image_1923th/82008193.pdf","82008193")</f>
        <v>82008193</v>
      </c>
      <c r="F1799" s="9" t="s">
        <v>4940</v>
      </c>
      <c r="G1799" s="9" t="s">
        <v>4941</v>
      </c>
      <c r="H1799" s="9" t="s">
        <v>4942</v>
      </c>
      <c r="I1799" s="10">
        <v>45612</v>
      </c>
    </row>
    <row r="1800" spans="1:9" x14ac:dyDescent="0.15">
      <c r="A1800" s="9">
        <v>1799</v>
      </c>
      <c r="B1800" s="9" t="s">
        <v>9</v>
      </c>
      <c r="C1800" s="9">
        <v>1923</v>
      </c>
      <c r="D1800" s="10">
        <v>45701</v>
      </c>
      <c r="E1800" s="13" t="str">
        <f>+HYPERLINK("http://trademark.i-assist.jp/data/china/image_1923th/82009012.pdf","82009012")</f>
        <v>82009012</v>
      </c>
      <c r="F1800" s="9" t="s">
        <v>4943</v>
      </c>
      <c r="G1800" s="9" t="s">
        <v>4944</v>
      </c>
      <c r="H1800" s="9" t="s">
        <v>4945</v>
      </c>
      <c r="I1800" s="10">
        <v>45612</v>
      </c>
    </row>
    <row r="1801" spans="1:9" x14ac:dyDescent="0.15">
      <c r="A1801" s="9">
        <v>1800</v>
      </c>
      <c r="B1801" s="9" t="s">
        <v>9</v>
      </c>
      <c r="C1801" s="9">
        <v>1923</v>
      </c>
      <c r="D1801" s="10">
        <v>45701</v>
      </c>
      <c r="E1801" s="13" t="str">
        <f>+HYPERLINK("http://trademark.i-assist.jp/data/china/image_1923th/82009137.pdf","82009137")</f>
        <v>82009137</v>
      </c>
      <c r="F1801" s="11" t="s">
        <v>4946</v>
      </c>
      <c r="G1801" s="9" t="s">
        <v>4947</v>
      </c>
      <c r="H1801" s="9" t="s">
        <v>4948</v>
      </c>
      <c r="I1801" s="10">
        <v>45612</v>
      </c>
    </row>
    <row r="1802" spans="1:9" x14ac:dyDescent="0.15">
      <c r="A1802" s="9">
        <v>1801</v>
      </c>
      <c r="B1802" s="9" t="s">
        <v>9</v>
      </c>
      <c r="C1802" s="9">
        <v>1923</v>
      </c>
      <c r="D1802" s="10">
        <v>45701</v>
      </c>
      <c r="E1802" s="13" t="str">
        <f>+HYPERLINK("http://trademark.i-assist.jp/data/china/image_1923th/82009224.pdf","82009224")</f>
        <v>82009224</v>
      </c>
      <c r="F1802" s="11" t="s">
        <v>126</v>
      </c>
      <c r="G1802" s="11" t="s">
        <v>4949</v>
      </c>
      <c r="H1802" s="9" t="s">
        <v>4950</v>
      </c>
      <c r="I1802" s="10">
        <v>45612</v>
      </c>
    </row>
    <row r="1803" spans="1:9" x14ac:dyDescent="0.15">
      <c r="A1803" s="9">
        <v>1802</v>
      </c>
      <c r="B1803" s="9" t="s">
        <v>9</v>
      </c>
      <c r="C1803" s="9">
        <v>1923</v>
      </c>
      <c r="D1803" s="10">
        <v>45701</v>
      </c>
      <c r="E1803" s="13" t="str">
        <f>+HYPERLINK("http://trademark.i-assist.jp/data/china/image_1923th/82009392.pdf","82009392")</f>
        <v>82009392</v>
      </c>
      <c r="F1803" s="11" t="s">
        <v>126</v>
      </c>
      <c r="G1803" s="9" t="s">
        <v>4951</v>
      </c>
      <c r="H1803" s="9" t="s">
        <v>4952</v>
      </c>
      <c r="I1803" s="10">
        <v>45612</v>
      </c>
    </row>
    <row r="1804" spans="1:9" x14ac:dyDescent="0.15">
      <c r="A1804" s="9">
        <v>1803</v>
      </c>
      <c r="B1804" s="9" t="s">
        <v>9</v>
      </c>
      <c r="C1804" s="9">
        <v>1923</v>
      </c>
      <c r="D1804" s="10">
        <v>45701</v>
      </c>
      <c r="E1804" s="13" t="str">
        <f>+HYPERLINK("http://trademark.i-assist.jp/data/china/image_1923th/82009458.pdf","82009458")</f>
        <v>82009458</v>
      </c>
      <c r="F1804" s="11" t="s">
        <v>4953</v>
      </c>
      <c r="G1804" s="9" t="s">
        <v>4954</v>
      </c>
      <c r="H1804" s="9" t="s">
        <v>4955</v>
      </c>
      <c r="I1804" s="10">
        <v>45612</v>
      </c>
    </row>
    <row r="1805" spans="1:9" x14ac:dyDescent="0.15">
      <c r="A1805" s="9">
        <v>1804</v>
      </c>
      <c r="B1805" s="9" t="s">
        <v>9</v>
      </c>
      <c r="C1805" s="9">
        <v>1923</v>
      </c>
      <c r="D1805" s="10">
        <v>45701</v>
      </c>
      <c r="E1805" s="13" t="str">
        <f>+HYPERLINK("http://trademark.i-assist.jp/data/china/image_1923th/82009951.pdf","82009951")</f>
        <v>82009951</v>
      </c>
      <c r="F1805" s="12" t="s">
        <v>4956</v>
      </c>
      <c r="G1805" s="9" t="s">
        <v>4957</v>
      </c>
      <c r="H1805" s="9" t="s">
        <v>4958</v>
      </c>
      <c r="I1805" s="10">
        <v>45612</v>
      </c>
    </row>
    <row r="1806" spans="1:9" x14ac:dyDescent="0.15">
      <c r="A1806" s="9">
        <v>1805</v>
      </c>
      <c r="B1806" s="9" t="s">
        <v>9</v>
      </c>
      <c r="C1806" s="9">
        <v>1923</v>
      </c>
      <c r="D1806" s="10">
        <v>45701</v>
      </c>
      <c r="E1806" s="13" t="str">
        <f>+HYPERLINK("http://trademark.i-assist.jp/data/china/image_1923th/82009976.pdf","82009976")</f>
        <v>82009976</v>
      </c>
      <c r="F1806" s="11" t="s">
        <v>4959</v>
      </c>
      <c r="G1806" s="9" t="s">
        <v>4960</v>
      </c>
      <c r="H1806" s="9" t="s">
        <v>4961</v>
      </c>
      <c r="I1806" s="10">
        <v>45612</v>
      </c>
    </row>
    <row r="1807" spans="1:9" x14ac:dyDescent="0.15">
      <c r="A1807" s="9">
        <v>1806</v>
      </c>
      <c r="B1807" s="9" t="s">
        <v>9</v>
      </c>
      <c r="C1807" s="9">
        <v>1923</v>
      </c>
      <c r="D1807" s="10">
        <v>45701</v>
      </c>
      <c r="E1807" s="13" t="str">
        <f>+HYPERLINK("http://trademark.i-assist.jp/data/china/image_1923th/82010061.pdf","82010061")</f>
        <v>82010061</v>
      </c>
      <c r="F1807" s="9" t="s">
        <v>4962</v>
      </c>
      <c r="G1807" s="9" t="s">
        <v>4963</v>
      </c>
      <c r="H1807" s="9" t="s">
        <v>4964</v>
      </c>
      <c r="I1807" s="10">
        <v>45612</v>
      </c>
    </row>
    <row r="1808" spans="1:9" x14ac:dyDescent="0.15">
      <c r="A1808" s="9">
        <v>1807</v>
      </c>
      <c r="B1808" s="9" t="s">
        <v>9</v>
      </c>
      <c r="C1808" s="9">
        <v>1923</v>
      </c>
      <c r="D1808" s="10">
        <v>45701</v>
      </c>
      <c r="E1808" s="13" t="str">
        <f>+HYPERLINK("http://trademark.i-assist.jp/data/china/image_1923th/82010580.pdf","82010580")</f>
        <v>82010580</v>
      </c>
      <c r="F1808" s="9" t="s">
        <v>4965</v>
      </c>
      <c r="G1808" s="9" t="s">
        <v>4966</v>
      </c>
      <c r="H1808" s="9" t="s">
        <v>4967</v>
      </c>
      <c r="I1808" s="10">
        <v>45612</v>
      </c>
    </row>
    <row r="1809" spans="1:9" x14ac:dyDescent="0.15">
      <c r="A1809" s="9">
        <v>1808</v>
      </c>
      <c r="B1809" s="9" t="s">
        <v>9</v>
      </c>
      <c r="C1809" s="9">
        <v>1923</v>
      </c>
      <c r="D1809" s="10">
        <v>45701</v>
      </c>
      <c r="E1809" s="13" t="str">
        <f>+HYPERLINK("http://trademark.i-assist.jp/data/china/image_1923th/82010613.pdf","82010613")</f>
        <v>82010613</v>
      </c>
      <c r="F1809" s="9" t="s">
        <v>4968</v>
      </c>
      <c r="G1809" s="9" t="s">
        <v>4969</v>
      </c>
      <c r="H1809" s="11" t="s">
        <v>4970</v>
      </c>
      <c r="I1809" s="10">
        <v>45612</v>
      </c>
    </row>
    <row r="1810" spans="1:9" x14ac:dyDescent="0.15">
      <c r="A1810" s="9">
        <v>1809</v>
      </c>
      <c r="B1810" s="9" t="s">
        <v>9</v>
      </c>
      <c r="C1810" s="9">
        <v>1923</v>
      </c>
      <c r="D1810" s="10">
        <v>45701</v>
      </c>
      <c r="E1810" s="13" t="str">
        <f>+HYPERLINK("http://trademark.i-assist.jp/data/china/image_1923th/82010802.pdf","82010802")</f>
        <v>82010802</v>
      </c>
      <c r="F1810" s="9" t="s">
        <v>4971</v>
      </c>
      <c r="G1810" s="9" t="s">
        <v>4972</v>
      </c>
      <c r="H1810" s="9" t="s">
        <v>4973</v>
      </c>
      <c r="I1810" s="10">
        <v>45612</v>
      </c>
    </row>
    <row r="1811" spans="1:9" x14ac:dyDescent="0.15">
      <c r="A1811" s="9">
        <v>1810</v>
      </c>
      <c r="B1811" s="9" t="s">
        <v>9</v>
      </c>
      <c r="C1811" s="9">
        <v>1923</v>
      </c>
      <c r="D1811" s="10">
        <v>45701</v>
      </c>
      <c r="E1811" s="13" t="str">
        <f>+HYPERLINK("http://trademark.i-assist.jp/data/china/image_1923th/82010873.pdf","82010873")</f>
        <v>82010873</v>
      </c>
      <c r="F1811" s="9" t="s">
        <v>4974</v>
      </c>
      <c r="G1811" s="11" t="s">
        <v>4975</v>
      </c>
      <c r="H1811" s="9" t="s">
        <v>4976</v>
      </c>
      <c r="I1811" s="10">
        <v>45612</v>
      </c>
    </row>
    <row r="1812" spans="1:9" x14ac:dyDescent="0.15">
      <c r="A1812" s="9">
        <v>1811</v>
      </c>
      <c r="B1812" s="9" t="s">
        <v>9</v>
      </c>
      <c r="C1812" s="9">
        <v>1923</v>
      </c>
      <c r="D1812" s="10">
        <v>45701</v>
      </c>
      <c r="E1812" s="13" t="str">
        <f>+HYPERLINK("http://trademark.i-assist.jp/data/china/image_1923th/82011369.pdf","82011369")</f>
        <v>82011369</v>
      </c>
      <c r="F1812" s="9" t="s">
        <v>4977</v>
      </c>
      <c r="G1812" s="9" t="s">
        <v>51</v>
      </c>
      <c r="H1812" s="9" t="s">
        <v>4978</v>
      </c>
      <c r="I1812" s="10">
        <v>45612</v>
      </c>
    </row>
    <row r="1813" spans="1:9" x14ac:dyDescent="0.15">
      <c r="A1813" s="9">
        <v>1812</v>
      </c>
      <c r="B1813" s="9" t="s">
        <v>9</v>
      </c>
      <c r="C1813" s="9">
        <v>1923</v>
      </c>
      <c r="D1813" s="10">
        <v>45701</v>
      </c>
      <c r="E1813" s="13" t="str">
        <f>+HYPERLINK("http://trademark.i-assist.jp/data/china/image_1923th/82011447.pdf","82011447")</f>
        <v>82011447</v>
      </c>
      <c r="F1813" s="9" t="s">
        <v>4979</v>
      </c>
      <c r="G1813" s="9" t="s">
        <v>4980</v>
      </c>
      <c r="H1813" s="9" t="s">
        <v>4981</v>
      </c>
      <c r="I1813" s="10">
        <v>45612</v>
      </c>
    </row>
    <row r="1814" spans="1:9" x14ac:dyDescent="0.15">
      <c r="A1814" s="9">
        <v>1813</v>
      </c>
      <c r="B1814" s="9" t="s">
        <v>9</v>
      </c>
      <c r="C1814" s="9">
        <v>1923</v>
      </c>
      <c r="D1814" s="10">
        <v>45701</v>
      </c>
      <c r="E1814" s="13" t="str">
        <f>+HYPERLINK("http://trademark.i-assist.jp/data/china/image_1923th/82011507.pdf","82011507")</f>
        <v>82011507</v>
      </c>
      <c r="F1814" s="9" t="s">
        <v>4982</v>
      </c>
      <c r="G1814" s="9" t="s">
        <v>4983</v>
      </c>
      <c r="H1814" s="9" t="s">
        <v>4984</v>
      </c>
      <c r="I1814" s="10">
        <v>45613</v>
      </c>
    </row>
    <row r="1815" spans="1:9" x14ac:dyDescent="0.15">
      <c r="A1815" s="9">
        <v>1814</v>
      </c>
      <c r="B1815" s="9" t="s">
        <v>9</v>
      </c>
      <c r="C1815" s="9">
        <v>1923</v>
      </c>
      <c r="D1815" s="10">
        <v>45701</v>
      </c>
      <c r="E1815" s="13" t="str">
        <f>+HYPERLINK("http://trademark.i-assist.jp/data/china/image_1923th/82011684.pdf","82011684")</f>
        <v>82011684</v>
      </c>
      <c r="F1815" s="9" t="s">
        <v>4985</v>
      </c>
      <c r="G1815" s="9" t="s">
        <v>4986</v>
      </c>
      <c r="H1815" s="9" t="s">
        <v>4987</v>
      </c>
      <c r="I1815" s="10">
        <v>45613</v>
      </c>
    </row>
    <row r="1816" spans="1:9" x14ac:dyDescent="0.15">
      <c r="A1816" s="9">
        <v>1815</v>
      </c>
      <c r="B1816" s="9" t="s">
        <v>9</v>
      </c>
      <c r="C1816" s="9">
        <v>1923</v>
      </c>
      <c r="D1816" s="10">
        <v>45701</v>
      </c>
      <c r="E1816" s="13" t="str">
        <f>+HYPERLINK("http://trademark.i-assist.jp/data/china/image_1923th/82011977.pdf","82011977")</f>
        <v>82011977</v>
      </c>
      <c r="F1816" s="9" t="s">
        <v>4988</v>
      </c>
      <c r="G1816" s="11" t="s">
        <v>4989</v>
      </c>
      <c r="H1816" s="9" t="s">
        <v>4990</v>
      </c>
      <c r="I1816" s="10">
        <v>45613</v>
      </c>
    </row>
    <row r="1817" spans="1:9" x14ac:dyDescent="0.15">
      <c r="A1817" s="9">
        <v>1816</v>
      </c>
      <c r="B1817" s="9" t="s">
        <v>9</v>
      </c>
      <c r="C1817" s="9">
        <v>1923</v>
      </c>
      <c r="D1817" s="10">
        <v>45701</v>
      </c>
      <c r="E1817" s="13" t="str">
        <f>+HYPERLINK("http://trademark.i-assist.jp/data/china/image_1923th/82012315.pdf","82012315")</f>
        <v>82012315</v>
      </c>
      <c r="F1817" s="11" t="s">
        <v>4991</v>
      </c>
      <c r="G1817" s="9" t="s">
        <v>4992</v>
      </c>
      <c r="H1817" s="9" t="s">
        <v>4993</v>
      </c>
      <c r="I1817" s="10">
        <v>45613</v>
      </c>
    </row>
    <row r="1818" spans="1:9" x14ac:dyDescent="0.15">
      <c r="A1818" s="9">
        <v>1817</v>
      </c>
      <c r="B1818" s="9" t="s">
        <v>9</v>
      </c>
      <c r="C1818" s="9">
        <v>1923</v>
      </c>
      <c r="D1818" s="10">
        <v>45701</v>
      </c>
      <c r="E1818" s="13" t="str">
        <f>+HYPERLINK("http://trademark.i-assist.jp/data/china/image_1923th/82012359.pdf","82012359")</f>
        <v>82012359</v>
      </c>
      <c r="F1818" s="11" t="s">
        <v>4994</v>
      </c>
      <c r="G1818" s="9" t="s">
        <v>1856</v>
      </c>
      <c r="H1818" s="9" t="s">
        <v>4995</v>
      </c>
      <c r="I1818" s="10">
        <v>45613</v>
      </c>
    </row>
    <row r="1819" spans="1:9" x14ac:dyDescent="0.15">
      <c r="A1819" s="9">
        <v>1818</v>
      </c>
      <c r="B1819" s="9" t="s">
        <v>9</v>
      </c>
      <c r="C1819" s="9">
        <v>1923</v>
      </c>
      <c r="D1819" s="10">
        <v>45701</v>
      </c>
      <c r="E1819" s="13" t="str">
        <f>+HYPERLINK("http://trademark.i-assist.jp/data/china/image_1923th/82012779.pdf","82012779")</f>
        <v>82012779</v>
      </c>
      <c r="F1819" s="9" t="s">
        <v>4996</v>
      </c>
      <c r="G1819" s="11" t="s">
        <v>4997</v>
      </c>
      <c r="H1819" s="9" t="s">
        <v>4998</v>
      </c>
      <c r="I1819" s="10">
        <v>45613</v>
      </c>
    </row>
    <row r="1820" spans="1:9" x14ac:dyDescent="0.15">
      <c r="A1820" s="9">
        <v>1819</v>
      </c>
      <c r="B1820" s="9" t="s">
        <v>9</v>
      </c>
      <c r="C1820" s="9">
        <v>1923</v>
      </c>
      <c r="D1820" s="10">
        <v>45701</v>
      </c>
      <c r="E1820" s="13" t="str">
        <f>+HYPERLINK("http://trademark.i-assist.jp/data/china/image_1923th/82013149.pdf","82013149")</f>
        <v>82013149</v>
      </c>
      <c r="F1820" s="9" t="s">
        <v>4999</v>
      </c>
      <c r="G1820" s="9" t="s">
        <v>5000</v>
      </c>
      <c r="H1820" s="9" t="s">
        <v>5001</v>
      </c>
      <c r="I1820" s="10">
        <v>45613</v>
      </c>
    </row>
    <row r="1821" spans="1:9" x14ac:dyDescent="0.15">
      <c r="A1821" s="9">
        <v>1820</v>
      </c>
      <c r="B1821" s="9" t="s">
        <v>9</v>
      </c>
      <c r="C1821" s="9">
        <v>1923</v>
      </c>
      <c r="D1821" s="10">
        <v>45701</v>
      </c>
      <c r="E1821" s="13" t="str">
        <f>+HYPERLINK("http://trademark.i-assist.jp/data/china/image_1923th/82013235.pdf","82013235")</f>
        <v>82013235</v>
      </c>
      <c r="F1821" s="9" t="s">
        <v>4999</v>
      </c>
      <c r="G1821" s="9" t="s">
        <v>5000</v>
      </c>
      <c r="H1821" s="9" t="s">
        <v>5002</v>
      </c>
      <c r="I1821" s="10">
        <v>45613</v>
      </c>
    </row>
    <row r="1822" spans="1:9" x14ac:dyDescent="0.15">
      <c r="A1822" s="9">
        <v>1821</v>
      </c>
      <c r="B1822" s="9" t="s">
        <v>9</v>
      </c>
      <c r="C1822" s="9">
        <v>1923</v>
      </c>
      <c r="D1822" s="10">
        <v>45701</v>
      </c>
      <c r="E1822" s="13" t="str">
        <f>+HYPERLINK("http://trademark.i-assist.jp/data/china/image_1923th/82013793.pdf","82013793")</f>
        <v>82013793</v>
      </c>
      <c r="F1822" s="9" t="s">
        <v>5003</v>
      </c>
      <c r="G1822" s="9" t="s">
        <v>5004</v>
      </c>
      <c r="H1822" s="9" t="s">
        <v>5005</v>
      </c>
      <c r="I1822" s="10">
        <v>45613</v>
      </c>
    </row>
    <row r="1823" spans="1:9" x14ac:dyDescent="0.15">
      <c r="A1823" s="9">
        <v>1822</v>
      </c>
      <c r="B1823" s="9" t="s">
        <v>9</v>
      </c>
      <c r="C1823" s="9">
        <v>1923</v>
      </c>
      <c r="D1823" s="10">
        <v>45701</v>
      </c>
      <c r="E1823" s="13" t="str">
        <f>+HYPERLINK("http://trademark.i-assist.jp/data/china/image_1923th/82013810.pdf","82013810")</f>
        <v>82013810</v>
      </c>
      <c r="F1823" s="9" t="s">
        <v>5006</v>
      </c>
      <c r="G1823" s="11" t="s">
        <v>5007</v>
      </c>
      <c r="H1823" s="9" t="s">
        <v>5008</v>
      </c>
      <c r="I1823" s="10">
        <v>45613</v>
      </c>
    </row>
    <row r="1824" spans="1:9" x14ac:dyDescent="0.15">
      <c r="A1824" s="9">
        <v>1823</v>
      </c>
      <c r="B1824" s="9" t="s">
        <v>9</v>
      </c>
      <c r="C1824" s="9">
        <v>1923</v>
      </c>
      <c r="D1824" s="10">
        <v>45701</v>
      </c>
      <c r="E1824" s="13" t="str">
        <f>+HYPERLINK("http://trademark.i-assist.jp/data/china/image_1923th/82014033.pdf","82014033")</f>
        <v>82014033</v>
      </c>
      <c r="F1824" s="9" t="s">
        <v>5009</v>
      </c>
      <c r="G1824" s="9" t="s">
        <v>5010</v>
      </c>
      <c r="H1824" s="9" t="s">
        <v>5011</v>
      </c>
      <c r="I1824" s="10">
        <v>45613</v>
      </c>
    </row>
    <row r="1825" spans="1:9" x14ac:dyDescent="0.15">
      <c r="A1825" s="9">
        <v>1824</v>
      </c>
      <c r="B1825" s="9" t="s">
        <v>9</v>
      </c>
      <c r="C1825" s="9">
        <v>1923</v>
      </c>
      <c r="D1825" s="10">
        <v>45701</v>
      </c>
      <c r="E1825" s="13" t="str">
        <f>+HYPERLINK("http://trademark.i-assist.jp/data/china/image_1923th/82014499.pdf","82014499")</f>
        <v>82014499</v>
      </c>
      <c r="F1825" s="9" t="s">
        <v>5012</v>
      </c>
      <c r="G1825" s="9" t="s">
        <v>5013</v>
      </c>
      <c r="H1825" s="9" t="s">
        <v>5014</v>
      </c>
      <c r="I1825" s="10">
        <v>45614</v>
      </c>
    </row>
    <row r="1826" spans="1:9" x14ac:dyDescent="0.15">
      <c r="A1826" s="9">
        <v>1825</v>
      </c>
      <c r="B1826" s="9" t="s">
        <v>9</v>
      </c>
      <c r="C1826" s="9">
        <v>1923</v>
      </c>
      <c r="D1826" s="10">
        <v>45701</v>
      </c>
      <c r="E1826" s="13" t="str">
        <f>+HYPERLINK("http://trademark.i-assist.jp/data/china/image_1923th/82014544.pdf","82014544")</f>
        <v>82014544</v>
      </c>
      <c r="F1826" s="11" t="s">
        <v>5015</v>
      </c>
      <c r="G1826" s="11" t="s">
        <v>5016</v>
      </c>
      <c r="H1826" s="11" t="s">
        <v>5017</v>
      </c>
      <c r="I1826" s="10">
        <v>45614</v>
      </c>
    </row>
    <row r="1827" spans="1:9" x14ac:dyDescent="0.15">
      <c r="A1827" s="9">
        <v>1826</v>
      </c>
      <c r="B1827" s="9" t="s">
        <v>9</v>
      </c>
      <c r="C1827" s="9">
        <v>1923</v>
      </c>
      <c r="D1827" s="10">
        <v>45701</v>
      </c>
      <c r="E1827" s="13" t="str">
        <f>+HYPERLINK("http://trademark.i-assist.jp/data/china/image_1923th/82015052.pdf","82015052")</f>
        <v>82015052</v>
      </c>
      <c r="F1827" s="9" t="s">
        <v>5018</v>
      </c>
      <c r="G1827" s="11" t="s">
        <v>5019</v>
      </c>
      <c r="H1827" s="9" t="s">
        <v>5020</v>
      </c>
      <c r="I1827" s="10">
        <v>45614</v>
      </c>
    </row>
    <row r="1828" spans="1:9" x14ac:dyDescent="0.15">
      <c r="A1828" s="9">
        <v>1827</v>
      </c>
      <c r="B1828" s="9" t="s">
        <v>9</v>
      </c>
      <c r="C1828" s="9">
        <v>1923</v>
      </c>
      <c r="D1828" s="10">
        <v>45701</v>
      </c>
      <c r="E1828" s="13" t="str">
        <f>+HYPERLINK("http://trademark.i-assist.jp/data/china/image_1923th/82015103.pdf","82015103")</f>
        <v>82015103</v>
      </c>
      <c r="F1828" s="11" t="s">
        <v>5021</v>
      </c>
      <c r="G1828" s="9" t="s">
        <v>5022</v>
      </c>
      <c r="H1828" s="9" t="s">
        <v>5023</v>
      </c>
      <c r="I1828" s="10">
        <v>45614</v>
      </c>
    </row>
    <row r="1829" spans="1:9" x14ac:dyDescent="0.15">
      <c r="A1829" s="9">
        <v>1828</v>
      </c>
      <c r="B1829" s="9" t="s">
        <v>9</v>
      </c>
      <c r="C1829" s="9">
        <v>1923</v>
      </c>
      <c r="D1829" s="10">
        <v>45701</v>
      </c>
      <c r="E1829" s="13" t="str">
        <f>+HYPERLINK("http://trademark.i-assist.jp/data/china/image_1923th/82015275.pdf","82015275")</f>
        <v>82015275</v>
      </c>
      <c r="F1829" s="9" t="s">
        <v>5024</v>
      </c>
      <c r="G1829" s="11" t="s">
        <v>5025</v>
      </c>
      <c r="H1829" s="9" t="s">
        <v>5026</v>
      </c>
      <c r="I1829" s="10">
        <v>45614</v>
      </c>
    </row>
    <row r="1830" spans="1:9" x14ac:dyDescent="0.15">
      <c r="A1830" s="9">
        <v>1829</v>
      </c>
      <c r="B1830" s="9" t="s">
        <v>9</v>
      </c>
      <c r="C1830" s="9">
        <v>1923</v>
      </c>
      <c r="D1830" s="10">
        <v>45701</v>
      </c>
      <c r="E1830" s="13" t="str">
        <f>+HYPERLINK("http://trademark.i-assist.jp/data/china/image_1923th/82015369.pdf","82015369")</f>
        <v>82015369</v>
      </c>
      <c r="F1830" s="11" t="s">
        <v>5027</v>
      </c>
      <c r="G1830" s="11" t="s">
        <v>5028</v>
      </c>
      <c r="H1830" s="9" t="s">
        <v>5029</v>
      </c>
      <c r="I1830" s="10">
        <v>45614</v>
      </c>
    </row>
    <row r="1831" spans="1:9" x14ac:dyDescent="0.15">
      <c r="A1831" s="9">
        <v>1830</v>
      </c>
      <c r="B1831" s="9" t="s">
        <v>9</v>
      </c>
      <c r="C1831" s="9">
        <v>1923</v>
      </c>
      <c r="D1831" s="10">
        <v>45701</v>
      </c>
      <c r="E1831" s="13" t="str">
        <f>+HYPERLINK("http://trademark.i-assist.jp/data/china/image_1923th/82016197.pdf","82016197")</f>
        <v>82016197</v>
      </c>
      <c r="F1831" s="9" t="s">
        <v>5030</v>
      </c>
      <c r="G1831" s="9" t="s">
        <v>5031</v>
      </c>
      <c r="H1831" s="9" t="s">
        <v>5032</v>
      </c>
      <c r="I1831" s="10">
        <v>45614</v>
      </c>
    </row>
    <row r="1832" spans="1:9" x14ac:dyDescent="0.15">
      <c r="A1832" s="9">
        <v>1831</v>
      </c>
      <c r="B1832" s="9" t="s">
        <v>9</v>
      </c>
      <c r="C1832" s="9">
        <v>1923</v>
      </c>
      <c r="D1832" s="10">
        <v>45701</v>
      </c>
      <c r="E1832" s="13" t="str">
        <f>+HYPERLINK("http://trademark.i-assist.jp/data/china/image_1923th/82016390.pdf","82016390")</f>
        <v>82016390</v>
      </c>
      <c r="F1832" s="11" t="s">
        <v>126</v>
      </c>
      <c r="G1832" s="11" t="s">
        <v>5033</v>
      </c>
      <c r="H1832" s="9" t="s">
        <v>5034</v>
      </c>
      <c r="I1832" s="10">
        <v>45614</v>
      </c>
    </row>
    <row r="1833" spans="1:9" x14ac:dyDescent="0.15">
      <c r="A1833" s="9">
        <v>1832</v>
      </c>
      <c r="B1833" s="9" t="s">
        <v>9</v>
      </c>
      <c r="C1833" s="9">
        <v>1923</v>
      </c>
      <c r="D1833" s="10">
        <v>45701</v>
      </c>
      <c r="E1833" s="13" t="str">
        <f>+HYPERLINK("http://trademark.i-assist.jp/data/china/image_1923th/82016764.pdf","82016764")</f>
        <v>82016764</v>
      </c>
      <c r="F1833" s="9" t="s">
        <v>5035</v>
      </c>
      <c r="G1833" s="9" t="s">
        <v>5036</v>
      </c>
      <c r="H1833" s="9" t="s">
        <v>5037</v>
      </c>
      <c r="I1833" s="10">
        <v>45614</v>
      </c>
    </row>
    <row r="1834" spans="1:9" x14ac:dyDescent="0.15">
      <c r="A1834" s="9">
        <v>1833</v>
      </c>
      <c r="B1834" s="9" t="s">
        <v>9</v>
      </c>
      <c r="C1834" s="9">
        <v>1923</v>
      </c>
      <c r="D1834" s="10">
        <v>45701</v>
      </c>
      <c r="E1834" s="13" t="str">
        <f>+HYPERLINK("http://trademark.i-assist.jp/data/china/image_1923th/82017037.pdf","82017037")</f>
        <v>82017037</v>
      </c>
      <c r="F1834" s="11" t="s">
        <v>5038</v>
      </c>
      <c r="G1834" s="9" t="s">
        <v>5039</v>
      </c>
      <c r="H1834" s="9" t="s">
        <v>5040</v>
      </c>
      <c r="I1834" s="10">
        <v>45614</v>
      </c>
    </row>
    <row r="1835" spans="1:9" x14ac:dyDescent="0.15">
      <c r="A1835" s="9">
        <v>1834</v>
      </c>
      <c r="B1835" s="9" t="s">
        <v>9</v>
      </c>
      <c r="C1835" s="9">
        <v>1923</v>
      </c>
      <c r="D1835" s="10">
        <v>45701</v>
      </c>
      <c r="E1835" s="13" t="str">
        <f>+HYPERLINK("http://trademark.i-assist.jp/data/china/image_1923th/82017239.pdf","82017239")</f>
        <v>82017239</v>
      </c>
      <c r="F1835" s="11" t="s">
        <v>5041</v>
      </c>
      <c r="G1835" s="11" t="s">
        <v>5041</v>
      </c>
      <c r="H1835" s="9" t="s">
        <v>5042</v>
      </c>
      <c r="I1835" s="10">
        <v>45614</v>
      </c>
    </row>
    <row r="1836" spans="1:9" x14ac:dyDescent="0.15">
      <c r="A1836" s="9">
        <v>1835</v>
      </c>
      <c r="B1836" s="9" t="s">
        <v>9</v>
      </c>
      <c r="C1836" s="9">
        <v>1923</v>
      </c>
      <c r="D1836" s="10">
        <v>45701</v>
      </c>
      <c r="E1836" s="13" t="str">
        <f>+HYPERLINK("http://trademark.i-assist.jp/data/china/image_1923th/82017275.pdf","82017275")</f>
        <v>82017275</v>
      </c>
      <c r="F1836" s="11" t="s">
        <v>5043</v>
      </c>
      <c r="G1836" s="11" t="s">
        <v>5044</v>
      </c>
      <c r="H1836" s="9" t="s">
        <v>5045</v>
      </c>
      <c r="I1836" s="10">
        <v>45614</v>
      </c>
    </row>
    <row r="1837" spans="1:9" x14ac:dyDescent="0.15">
      <c r="A1837" s="9">
        <v>1836</v>
      </c>
      <c r="B1837" s="9" t="s">
        <v>9</v>
      </c>
      <c r="C1837" s="9">
        <v>1923</v>
      </c>
      <c r="D1837" s="10">
        <v>45701</v>
      </c>
      <c r="E1837" s="13" t="str">
        <f>+HYPERLINK("http://trademark.i-assist.jp/data/china/image_1923th/82017376.pdf","82017376")</f>
        <v>82017376</v>
      </c>
      <c r="F1837" s="9" t="s">
        <v>5046</v>
      </c>
      <c r="G1837" s="9" t="s">
        <v>5047</v>
      </c>
      <c r="H1837" s="9" t="s">
        <v>5048</v>
      </c>
      <c r="I1837" s="10">
        <v>45614</v>
      </c>
    </row>
    <row r="1838" spans="1:9" x14ac:dyDescent="0.15">
      <c r="A1838" s="9">
        <v>1837</v>
      </c>
      <c r="B1838" s="9" t="s">
        <v>9</v>
      </c>
      <c r="C1838" s="9">
        <v>1923</v>
      </c>
      <c r="D1838" s="10">
        <v>45701</v>
      </c>
      <c r="E1838" s="13" t="str">
        <f>+HYPERLINK("http://trademark.i-assist.jp/data/china/image_1923th/82017382.pdf","82017382")</f>
        <v>82017382</v>
      </c>
      <c r="F1838" s="9" t="s">
        <v>5049</v>
      </c>
      <c r="G1838" s="9" t="s">
        <v>5022</v>
      </c>
      <c r="H1838" s="9" t="s">
        <v>5050</v>
      </c>
      <c r="I1838" s="10">
        <v>45614</v>
      </c>
    </row>
    <row r="1839" spans="1:9" x14ac:dyDescent="0.15">
      <c r="A1839" s="9">
        <v>1838</v>
      </c>
      <c r="B1839" s="9" t="s">
        <v>9</v>
      </c>
      <c r="C1839" s="9">
        <v>1923</v>
      </c>
      <c r="D1839" s="10">
        <v>45701</v>
      </c>
      <c r="E1839" s="13" t="str">
        <f>+HYPERLINK("http://trademark.i-assist.jp/data/china/image_1923th/82017571.pdf","82017571")</f>
        <v>82017571</v>
      </c>
      <c r="F1839" s="11" t="s">
        <v>5051</v>
      </c>
      <c r="G1839" s="11" t="s">
        <v>5052</v>
      </c>
      <c r="H1839" s="9" t="s">
        <v>5053</v>
      </c>
      <c r="I1839" s="10">
        <v>45614</v>
      </c>
    </row>
    <row r="1840" spans="1:9" x14ac:dyDescent="0.15">
      <c r="A1840" s="9">
        <v>1839</v>
      </c>
      <c r="B1840" s="9" t="s">
        <v>9</v>
      </c>
      <c r="C1840" s="9">
        <v>1923</v>
      </c>
      <c r="D1840" s="10">
        <v>45701</v>
      </c>
      <c r="E1840" s="13" t="str">
        <f>+HYPERLINK("http://trademark.i-assist.jp/data/china/image_1923th/82017740.pdf","82017740")</f>
        <v>82017740</v>
      </c>
      <c r="F1840" s="9" t="s">
        <v>5054</v>
      </c>
      <c r="G1840" s="9" t="s">
        <v>5055</v>
      </c>
      <c r="H1840" s="9" t="s">
        <v>5056</v>
      </c>
      <c r="I1840" s="10">
        <v>45614</v>
      </c>
    </row>
    <row r="1841" spans="1:9" x14ac:dyDescent="0.15">
      <c r="A1841" s="9">
        <v>1840</v>
      </c>
      <c r="B1841" s="9" t="s">
        <v>9</v>
      </c>
      <c r="C1841" s="9">
        <v>1923</v>
      </c>
      <c r="D1841" s="10">
        <v>45701</v>
      </c>
      <c r="E1841" s="13" t="str">
        <f>+HYPERLINK("http://trademark.i-assist.jp/data/china/image_1923th/82017872.pdf","82017872")</f>
        <v>82017872</v>
      </c>
      <c r="F1841" s="11" t="s">
        <v>126</v>
      </c>
      <c r="G1841" s="12" t="s">
        <v>5057</v>
      </c>
      <c r="H1841" s="9" t="s">
        <v>5058</v>
      </c>
      <c r="I1841" s="10">
        <v>45614</v>
      </c>
    </row>
    <row r="1842" spans="1:9" x14ac:dyDescent="0.15">
      <c r="A1842" s="9">
        <v>1841</v>
      </c>
      <c r="B1842" s="9" t="s">
        <v>9</v>
      </c>
      <c r="C1842" s="9">
        <v>1923</v>
      </c>
      <c r="D1842" s="10">
        <v>45701</v>
      </c>
      <c r="E1842" s="13" t="str">
        <f>+HYPERLINK("http://trademark.i-assist.jp/data/china/image_1923th/82018261.pdf","82018261")</f>
        <v>82018261</v>
      </c>
      <c r="F1842" s="9" t="s">
        <v>5059</v>
      </c>
      <c r="G1842" s="9" t="s">
        <v>5060</v>
      </c>
      <c r="H1842" s="9" t="s">
        <v>5061</v>
      </c>
      <c r="I1842" s="10">
        <v>45614</v>
      </c>
    </row>
    <row r="1843" spans="1:9" x14ac:dyDescent="0.15">
      <c r="A1843" s="9">
        <v>1842</v>
      </c>
      <c r="B1843" s="9" t="s">
        <v>9</v>
      </c>
      <c r="C1843" s="9">
        <v>1923</v>
      </c>
      <c r="D1843" s="10">
        <v>45701</v>
      </c>
      <c r="E1843" s="13" t="str">
        <f>+HYPERLINK("http://trademark.i-assist.jp/data/china/image_1923th/82018881.pdf","82018881")</f>
        <v>82018881</v>
      </c>
      <c r="F1843" s="11" t="s">
        <v>5062</v>
      </c>
      <c r="G1843" s="11" t="s">
        <v>5063</v>
      </c>
      <c r="H1843" s="9" t="s">
        <v>5064</v>
      </c>
      <c r="I1843" s="10">
        <v>45614</v>
      </c>
    </row>
    <row r="1844" spans="1:9" x14ac:dyDescent="0.15">
      <c r="A1844" s="9">
        <v>1843</v>
      </c>
      <c r="B1844" s="9" t="s">
        <v>9</v>
      </c>
      <c r="C1844" s="9">
        <v>1923</v>
      </c>
      <c r="D1844" s="10">
        <v>45701</v>
      </c>
      <c r="E1844" s="13" t="str">
        <f>+HYPERLINK("http://trademark.i-assist.jp/data/china/image_1923th/82019296.pdf","82019296")</f>
        <v>82019296</v>
      </c>
      <c r="F1844" s="11" t="s">
        <v>5065</v>
      </c>
      <c r="G1844" s="9" t="s">
        <v>5066</v>
      </c>
      <c r="H1844" s="9" t="s">
        <v>5067</v>
      </c>
      <c r="I1844" s="10">
        <v>45614</v>
      </c>
    </row>
    <row r="1845" spans="1:9" x14ac:dyDescent="0.15">
      <c r="A1845" s="9">
        <v>1844</v>
      </c>
      <c r="B1845" s="9" t="s">
        <v>9</v>
      </c>
      <c r="C1845" s="9">
        <v>1923</v>
      </c>
      <c r="D1845" s="10">
        <v>45701</v>
      </c>
      <c r="E1845" s="13" t="str">
        <f>+HYPERLINK("http://trademark.i-assist.jp/data/china/image_1923th/82019363.pdf","82019363")</f>
        <v>82019363</v>
      </c>
      <c r="F1845" s="9" t="s">
        <v>5068</v>
      </c>
      <c r="G1845" s="9" t="s">
        <v>5069</v>
      </c>
      <c r="H1845" s="9" t="s">
        <v>5070</v>
      </c>
      <c r="I1845" s="10">
        <v>45614</v>
      </c>
    </row>
    <row r="1846" spans="1:9" x14ac:dyDescent="0.15">
      <c r="A1846" s="9">
        <v>1845</v>
      </c>
      <c r="B1846" s="9" t="s">
        <v>9</v>
      </c>
      <c r="C1846" s="9">
        <v>1923</v>
      </c>
      <c r="D1846" s="10">
        <v>45701</v>
      </c>
      <c r="E1846" s="13" t="str">
        <f>+HYPERLINK("http://trademark.i-assist.jp/data/china/image_1923th/82019389.pdf","82019389")</f>
        <v>82019389</v>
      </c>
      <c r="F1846" s="11" t="s">
        <v>5071</v>
      </c>
      <c r="G1846" s="11" t="s">
        <v>5072</v>
      </c>
      <c r="H1846" s="9" t="s">
        <v>5073</v>
      </c>
      <c r="I1846" s="10">
        <v>45614</v>
      </c>
    </row>
    <row r="1847" spans="1:9" x14ac:dyDescent="0.15">
      <c r="A1847" s="9">
        <v>1846</v>
      </c>
      <c r="B1847" s="9" t="s">
        <v>9</v>
      </c>
      <c r="C1847" s="9">
        <v>1923</v>
      </c>
      <c r="D1847" s="10">
        <v>45701</v>
      </c>
      <c r="E1847" s="13" t="str">
        <f>+HYPERLINK("http://trademark.i-assist.jp/data/china/image_1923th/82019723.pdf","82019723")</f>
        <v>82019723</v>
      </c>
      <c r="F1847" s="9" t="s">
        <v>5074</v>
      </c>
      <c r="G1847" s="9" t="s">
        <v>5075</v>
      </c>
      <c r="H1847" s="9" t="s">
        <v>5076</v>
      </c>
      <c r="I1847" s="10">
        <v>45614</v>
      </c>
    </row>
    <row r="1848" spans="1:9" x14ac:dyDescent="0.15">
      <c r="A1848" s="9">
        <v>1847</v>
      </c>
      <c r="B1848" s="9" t="s">
        <v>9</v>
      </c>
      <c r="C1848" s="9">
        <v>1923</v>
      </c>
      <c r="D1848" s="10">
        <v>45701</v>
      </c>
      <c r="E1848" s="13" t="str">
        <f>+HYPERLINK("http://trademark.i-assist.jp/data/china/image_1923th/82020013.pdf","82020013")</f>
        <v>82020013</v>
      </c>
      <c r="F1848" s="9" t="s">
        <v>5077</v>
      </c>
      <c r="G1848" s="11" t="s">
        <v>5078</v>
      </c>
      <c r="H1848" s="9" t="s">
        <v>5079</v>
      </c>
      <c r="I1848" s="10">
        <v>45614</v>
      </c>
    </row>
    <row r="1849" spans="1:9" x14ac:dyDescent="0.15">
      <c r="A1849" s="9">
        <v>1848</v>
      </c>
      <c r="B1849" s="9" t="s">
        <v>9</v>
      </c>
      <c r="C1849" s="9">
        <v>1923</v>
      </c>
      <c r="D1849" s="10">
        <v>45701</v>
      </c>
      <c r="E1849" s="13" t="str">
        <f>+HYPERLINK("http://trademark.i-assist.jp/data/china/image_1923th/82020261.pdf","82020261")</f>
        <v>82020261</v>
      </c>
      <c r="F1849" s="9" t="s">
        <v>5080</v>
      </c>
      <c r="G1849" s="9" t="s">
        <v>5081</v>
      </c>
      <c r="H1849" s="9" t="s">
        <v>5082</v>
      </c>
      <c r="I1849" s="10">
        <v>45614</v>
      </c>
    </row>
    <row r="1850" spans="1:9" x14ac:dyDescent="0.15">
      <c r="A1850" s="9">
        <v>1849</v>
      </c>
      <c r="B1850" s="9" t="s">
        <v>9</v>
      </c>
      <c r="C1850" s="9">
        <v>1923</v>
      </c>
      <c r="D1850" s="10">
        <v>45701</v>
      </c>
      <c r="E1850" s="13" t="str">
        <f>+HYPERLINK("http://trademark.i-assist.jp/data/china/image_1923th/82020813.pdf","82020813")</f>
        <v>82020813</v>
      </c>
      <c r="F1850" s="11" t="s">
        <v>5083</v>
      </c>
      <c r="G1850" s="9" t="s">
        <v>22</v>
      </c>
      <c r="H1850" s="11" t="s">
        <v>5084</v>
      </c>
      <c r="I1850" s="10">
        <v>45614</v>
      </c>
    </row>
    <row r="1851" spans="1:9" x14ac:dyDescent="0.15">
      <c r="A1851" s="9">
        <v>1850</v>
      </c>
      <c r="B1851" s="9" t="s">
        <v>9</v>
      </c>
      <c r="C1851" s="9">
        <v>1923</v>
      </c>
      <c r="D1851" s="10">
        <v>45701</v>
      </c>
      <c r="E1851" s="13" t="str">
        <f>+HYPERLINK("http://trademark.i-assist.jp/data/china/image_1923th/82020853.pdf","82020853")</f>
        <v>82020853</v>
      </c>
      <c r="F1851" s="9" t="s">
        <v>5085</v>
      </c>
      <c r="G1851" s="9" t="s">
        <v>5086</v>
      </c>
      <c r="H1851" s="11" t="s">
        <v>5087</v>
      </c>
      <c r="I1851" s="10">
        <v>45614</v>
      </c>
    </row>
    <row r="1852" spans="1:9" x14ac:dyDescent="0.15">
      <c r="A1852" s="9">
        <v>1851</v>
      </c>
      <c r="B1852" s="9" t="s">
        <v>9</v>
      </c>
      <c r="C1852" s="9">
        <v>1923</v>
      </c>
      <c r="D1852" s="10">
        <v>45701</v>
      </c>
      <c r="E1852" s="13" t="str">
        <f>+HYPERLINK("http://trademark.i-assist.jp/data/china/image_1923th/82021186.pdf","82021186")</f>
        <v>82021186</v>
      </c>
      <c r="F1852" s="9" t="s">
        <v>5088</v>
      </c>
      <c r="G1852" s="9" t="s">
        <v>5022</v>
      </c>
      <c r="H1852" s="9" t="s">
        <v>5089</v>
      </c>
      <c r="I1852" s="10">
        <v>45614</v>
      </c>
    </row>
    <row r="1853" spans="1:9" x14ac:dyDescent="0.15">
      <c r="A1853" s="9">
        <v>1852</v>
      </c>
      <c r="B1853" s="9" t="s">
        <v>9</v>
      </c>
      <c r="C1853" s="9">
        <v>1923</v>
      </c>
      <c r="D1853" s="10">
        <v>45701</v>
      </c>
      <c r="E1853" s="13" t="str">
        <f>+HYPERLINK("http://trademark.i-assist.jp/data/china/image_1923th/82021644.pdf","82021644")</f>
        <v>82021644</v>
      </c>
      <c r="F1853" s="9" t="s">
        <v>5090</v>
      </c>
      <c r="G1853" s="11" t="s">
        <v>5091</v>
      </c>
      <c r="H1853" s="11" t="s">
        <v>5092</v>
      </c>
      <c r="I1853" s="10">
        <v>45614</v>
      </c>
    </row>
    <row r="1854" spans="1:9" x14ac:dyDescent="0.15">
      <c r="A1854" s="9">
        <v>1853</v>
      </c>
      <c r="B1854" s="9" t="s">
        <v>9</v>
      </c>
      <c r="C1854" s="9">
        <v>1923</v>
      </c>
      <c r="D1854" s="10">
        <v>45701</v>
      </c>
      <c r="E1854" s="13" t="str">
        <f>+HYPERLINK("http://trademark.i-assist.jp/data/china/image_1923th/82021681.pdf","82021681")</f>
        <v>82021681</v>
      </c>
      <c r="F1854" s="9" t="s">
        <v>5093</v>
      </c>
      <c r="G1854" s="11" t="s">
        <v>5094</v>
      </c>
      <c r="H1854" s="9" t="s">
        <v>5095</v>
      </c>
      <c r="I1854" s="10">
        <v>45614</v>
      </c>
    </row>
    <row r="1855" spans="1:9" x14ac:dyDescent="0.15">
      <c r="A1855" s="9">
        <v>1854</v>
      </c>
      <c r="B1855" s="9" t="s">
        <v>9</v>
      </c>
      <c r="C1855" s="9">
        <v>1923</v>
      </c>
      <c r="D1855" s="10">
        <v>45701</v>
      </c>
      <c r="E1855" s="13" t="str">
        <f>+HYPERLINK("http://trademark.i-assist.jp/data/china/image_1923th/82022038.pdf","82022038")</f>
        <v>82022038</v>
      </c>
      <c r="F1855" s="9" t="s">
        <v>5096</v>
      </c>
      <c r="G1855" s="11" t="s">
        <v>5097</v>
      </c>
      <c r="H1855" s="9" t="s">
        <v>5098</v>
      </c>
      <c r="I1855" s="10">
        <v>45614</v>
      </c>
    </row>
    <row r="1856" spans="1:9" x14ac:dyDescent="0.15">
      <c r="A1856" s="9">
        <v>1855</v>
      </c>
      <c r="B1856" s="9" t="s">
        <v>9</v>
      </c>
      <c r="C1856" s="9">
        <v>1923</v>
      </c>
      <c r="D1856" s="10">
        <v>45701</v>
      </c>
      <c r="E1856" s="13" t="str">
        <f>+HYPERLINK("http://trademark.i-assist.jp/data/china/image_1923th/82022297.pdf","82022297")</f>
        <v>82022297</v>
      </c>
      <c r="F1856" s="9" t="s">
        <v>5099</v>
      </c>
      <c r="G1856" s="9" t="s">
        <v>5100</v>
      </c>
      <c r="H1856" s="9" t="s">
        <v>5101</v>
      </c>
      <c r="I1856" s="10">
        <v>45614</v>
      </c>
    </row>
    <row r="1857" spans="1:9" x14ac:dyDescent="0.15">
      <c r="A1857" s="9">
        <v>1856</v>
      </c>
      <c r="B1857" s="9" t="s">
        <v>9</v>
      </c>
      <c r="C1857" s="9">
        <v>1923</v>
      </c>
      <c r="D1857" s="10">
        <v>45701</v>
      </c>
      <c r="E1857" s="13" t="str">
        <f>+HYPERLINK("http://trademark.i-assist.jp/data/china/image_1923th/82022541.pdf","82022541")</f>
        <v>82022541</v>
      </c>
      <c r="F1857" s="9" t="s">
        <v>5102</v>
      </c>
      <c r="G1857" s="9" t="s">
        <v>5103</v>
      </c>
      <c r="H1857" s="9" t="s">
        <v>5104</v>
      </c>
      <c r="I1857" s="10">
        <v>45614</v>
      </c>
    </row>
    <row r="1858" spans="1:9" x14ac:dyDescent="0.15">
      <c r="A1858" s="9">
        <v>1857</v>
      </c>
      <c r="B1858" s="9" t="s">
        <v>9</v>
      </c>
      <c r="C1858" s="9">
        <v>1923</v>
      </c>
      <c r="D1858" s="10">
        <v>45701</v>
      </c>
      <c r="E1858" s="13" t="str">
        <f>+HYPERLINK("http://trademark.i-assist.jp/data/china/image_1923th/82022803.pdf","82022803")</f>
        <v>82022803</v>
      </c>
      <c r="F1858" s="9" t="s">
        <v>5105</v>
      </c>
      <c r="G1858" s="9" t="s">
        <v>5106</v>
      </c>
      <c r="H1858" s="9" t="s">
        <v>5107</v>
      </c>
      <c r="I1858" s="10">
        <v>45614</v>
      </c>
    </row>
    <row r="1859" spans="1:9" x14ac:dyDescent="0.15">
      <c r="A1859" s="9">
        <v>1858</v>
      </c>
      <c r="B1859" s="9" t="s">
        <v>9</v>
      </c>
      <c r="C1859" s="9">
        <v>1923</v>
      </c>
      <c r="D1859" s="10">
        <v>45701</v>
      </c>
      <c r="E1859" s="13" t="str">
        <f>+HYPERLINK("http://trademark.i-assist.jp/data/china/image_1923th/82022830.pdf","82022830")</f>
        <v>82022830</v>
      </c>
      <c r="F1859" s="11" t="s">
        <v>5108</v>
      </c>
      <c r="G1859" s="9" t="s">
        <v>5109</v>
      </c>
      <c r="H1859" s="11" t="s">
        <v>5110</v>
      </c>
      <c r="I1859" s="10">
        <v>45614</v>
      </c>
    </row>
    <row r="1860" spans="1:9" x14ac:dyDescent="0.15">
      <c r="A1860" s="9">
        <v>1859</v>
      </c>
      <c r="B1860" s="9" t="s">
        <v>9</v>
      </c>
      <c r="C1860" s="9">
        <v>1923</v>
      </c>
      <c r="D1860" s="10">
        <v>45701</v>
      </c>
      <c r="E1860" s="13" t="str">
        <f>+HYPERLINK("http://trademark.i-assist.jp/data/china/image_1923th/82022848.pdf","82022848")</f>
        <v>82022848</v>
      </c>
      <c r="F1860" s="9" t="s">
        <v>5111</v>
      </c>
      <c r="G1860" s="11" t="s">
        <v>2071</v>
      </c>
      <c r="H1860" s="9" t="s">
        <v>5112</v>
      </c>
      <c r="I1860" s="10">
        <v>45614</v>
      </c>
    </row>
    <row r="1861" spans="1:9" x14ac:dyDescent="0.15">
      <c r="A1861" s="9">
        <v>1860</v>
      </c>
      <c r="B1861" s="9" t="s">
        <v>9</v>
      </c>
      <c r="C1861" s="9">
        <v>1923</v>
      </c>
      <c r="D1861" s="10">
        <v>45701</v>
      </c>
      <c r="E1861" s="13" t="str">
        <f>+HYPERLINK("http://trademark.i-assist.jp/data/china/image_1923th/82023360.pdf","82023360")</f>
        <v>82023360</v>
      </c>
      <c r="F1861" s="9" t="s">
        <v>5113</v>
      </c>
      <c r="G1861" s="11" t="s">
        <v>5114</v>
      </c>
      <c r="H1861" s="9" t="s">
        <v>5115</v>
      </c>
      <c r="I1861" s="10">
        <v>45614</v>
      </c>
    </row>
    <row r="1862" spans="1:9" x14ac:dyDescent="0.15">
      <c r="A1862" s="9">
        <v>1861</v>
      </c>
      <c r="B1862" s="9" t="s">
        <v>9</v>
      </c>
      <c r="C1862" s="9">
        <v>1923</v>
      </c>
      <c r="D1862" s="10">
        <v>45701</v>
      </c>
      <c r="E1862" s="13" t="str">
        <f>+HYPERLINK("http://trademark.i-assist.jp/data/china/image_1923th/82023646.pdf","82023646")</f>
        <v>82023646</v>
      </c>
      <c r="F1862" s="9" t="s">
        <v>5116</v>
      </c>
      <c r="G1862" s="9" t="s">
        <v>5117</v>
      </c>
      <c r="H1862" s="9" t="s">
        <v>5118</v>
      </c>
      <c r="I1862" s="10">
        <v>45614</v>
      </c>
    </row>
    <row r="1863" spans="1:9" x14ac:dyDescent="0.15">
      <c r="A1863" s="9">
        <v>1862</v>
      </c>
      <c r="B1863" s="9" t="s">
        <v>9</v>
      </c>
      <c r="C1863" s="9">
        <v>1923</v>
      </c>
      <c r="D1863" s="10">
        <v>45701</v>
      </c>
      <c r="E1863" s="13" t="str">
        <f>+HYPERLINK("http://trademark.i-assist.jp/data/china/image_1923th/82023681.pdf","82023681")</f>
        <v>82023681</v>
      </c>
      <c r="F1863" s="9" t="s">
        <v>5119</v>
      </c>
      <c r="G1863" s="9" t="s">
        <v>5120</v>
      </c>
      <c r="H1863" s="9" t="s">
        <v>5121</v>
      </c>
      <c r="I1863" s="10">
        <v>45614</v>
      </c>
    </row>
    <row r="1864" spans="1:9" x14ac:dyDescent="0.15">
      <c r="A1864" s="9">
        <v>1863</v>
      </c>
      <c r="B1864" s="9" t="s">
        <v>9</v>
      </c>
      <c r="C1864" s="9">
        <v>1923</v>
      </c>
      <c r="D1864" s="10">
        <v>45701</v>
      </c>
      <c r="E1864" s="13" t="str">
        <f>+HYPERLINK("http://trademark.i-assist.jp/data/china/image_1923th/82023780.pdf","82023780")</f>
        <v>82023780</v>
      </c>
      <c r="F1864" s="9" t="s">
        <v>5122</v>
      </c>
      <c r="G1864" s="11" t="s">
        <v>5123</v>
      </c>
      <c r="H1864" s="9" t="s">
        <v>5124</v>
      </c>
      <c r="I1864" s="10">
        <v>45614</v>
      </c>
    </row>
    <row r="1865" spans="1:9" x14ac:dyDescent="0.15">
      <c r="A1865" s="9">
        <v>1864</v>
      </c>
      <c r="B1865" s="9" t="s">
        <v>9</v>
      </c>
      <c r="C1865" s="9">
        <v>1923</v>
      </c>
      <c r="D1865" s="10">
        <v>45701</v>
      </c>
      <c r="E1865" s="13" t="str">
        <f>+HYPERLINK("http://trademark.i-assist.jp/data/china/image_1923th/82023949.pdf","82023949")</f>
        <v>82023949</v>
      </c>
      <c r="F1865" s="9" t="s">
        <v>5125</v>
      </c>
      <c r="G1865" s="9" t="s">
        <v>5126</v>
      </c>
      <c r="H1865" s="9" t="s">
        <v>5127</v>
      </c>
      <c r="I1865" s="10">
        <v>45614</v>
      </c>
    </row>
    <row r="1866" spans="1:9" x14ac:dyDescent="0.15">
      <c r="A1866" s="9">
        <v>1865</v>
      </c>
      <c r="B1866" s="9" t="s">
        <v>9</v>
      </c>
      <c r="C1866" s="9">
        <v>1923</v>
      </c>
      <c r="D1866" s="10">
        <v>45701</v>
      </c>
      <c r="E1866" s="13" t="str">
        <f>+HYPERLINK("http://trademark.i-assist.jp/data/china/image_1923th/82024147.pdf","82024147")</f>
        <v>82024147</v>
      </c>
      <c r="F1866" s="9" t="s">
        <v>5128</v>
      </c>
      <c r="G1866" s="11" t="s">
        <v>5129</v>
      </c>
      <c r="H1866" s="9" t="s">
        <v>5130</v>
      </c>
      <c r="I1866" s="10">
        <v>45614</v>
      </c>
    </row>
    <row r="1867" spans="1:9" x14ac:dyDescent="0.15">
      <c r="A1867" s="9">
        <v>1866</v>
      </c>
      <c r="B1867" s="9" t="s">
        <v>9</v>
      </c>
      <c r="C1867" s="9">
        <v>1923</v>
      </c>
      <c r="D1867" s="10">
        <v>45701</v>
      </c>
      <c r="E1867" s="13" t="str">
        <f>+HYPERLINK("http://trademark.i-assist.jp/data/china/image_1923th/82024364.pdf","82024364")</f>
        <v>82024364</v>
      </c>
      <c r="F1867" s="9" t="s">
        <v>5131</v>
      </c>
      <c r="G1867" s="9" t="s">
        <v>5132</v>
      </c>
      <c r="H1867" s="9" t="s">
        <v>5133</v>
      </c>
      <c r="I1867" s="10">
        <v>45614</v>
      </c>
    </row>
    <row r="1868" spans="1:9" x14ac:dyDescent="0.15">
      <c r="A1868" s="9">
        <v>1867</v>
      </c>
      <c r="B1868" s="9" t="s">
        <v>9</v>
      </c>
      <c r="C1868" s="9">
        <v>1923</v>
      </c>
      <c r="D1868" s="10">
        <v>45701</v>
      </c>
      <c r="E1868" s="13" t="str">
        <f>+HYPERLINK("http://trademark.i-assist.jp/data/china/image_1923th/82024675.pdf","82024675")</f>
        <v>82024675</v>
      </c>
      <c r="F1868" s="9" t="s">
        <v>5134</v>
      </c>
      <c r="G1868" s="9" t="s">
        <v>5135</v>
      </c>
      <c r="H1868" s="9" t="s">
        <v>5136</v>
      </c>
      <c r="I1868" s="10">
        <v>45614</v>
      </c>
    </row>
    <row r="1869" spans="1:9" x14ac:dyDescent="0.15">
      <c r="A1869" s="9">
        <v>1868</v>
      </c>
      <c r="B1869" s="9" t="s">
        <v>9</v>
      </c>
      <c r="C1869" s="9">
        <v>1923</v>
      </c>
      <c r="D1869" s="10">
        <v>45701</v>
      </c>
      <c r="E1869" s="13" t="str">
        <f>+HYPERLINK("http://trademark.i-assist.jp/data/china/image_1923th/82024761.pdf","82024761")</f>
        <v>82024761</v>
      </c>
      <c r="F1869" s="9" t="s">
        <v>5137</v>
      </c>
      <c r="G1869" s="9" t="s">
        <v>5138</v>
      </c>
      <c r="H1869" s="9" t="s">
        <v>5139</v>
      </c>
      <c r="I1869" s="10">
        <v>45614</v>
      </c>
    </row>
    <row r="1870" spans="1:9" x14ac:dyDescent="0.15">
      <c r="A1870" s="9">
        <v>1869</v>
      </c>
      <c r="B1870" s="9" t="s">
        <v>9</v>
      </c>
      <c r="C1870" s="9">
        <v>1923</v>
      </c>
      <c r="D1870" s="10">
        <v>45701</v>
      </c>
      <c r="E1870" s="13" t="str">
        <f>+HYPERLINK("http://trademark.i-assist.jp/data/china/image_1923th/82024859.pdf","82024859")</f>
        <v>82024859</v>
      </c>
      <c r="F1870" s="9" t="s">
        <v>5140</v>
      </c>
      <c r="G1870" s="9" t="s">
        <v>5141</v>
      </c>
      <c r="H1870" s="9" t="s">
        <v>5142</v>
      </c>
      <c r="I1870" s="10">
        <v>45614</v>
      </c>
    </row>
    <row r="1871" spans="1:9" x14ac:dyDescent="0.15">
      <c r="A1871" s="9">
        <v>1870</v>
      </c>
      <c r="B1871" s="9" t="s">
        <v>9</v>
      </c>
      <c r="C1871" s="9">
        <v>1923</v>
      </c>
      <c r="D1871" s="10">
        <v>45701</v>
      </c>
      <c r="E1871" s="13" t="str">
        <f>+HYPERLINK("http://trademark.i-assist.jp/data/china/image_1923th/82025187.pdf","82025187")</f>
        <v>82025187</v>
      </c>
      <c r="F1871" s="11" t="s">
        <v>5143</v>
      </c>
      <c r="G1871" s="9" t="s">
        <v>209</v>
      </c>
      <c r="H1871" s="9" t="s">
        <v>5144</v>
      </c>
      <c r="I1871" s="10">
        <v>45614</v>
      </c>
    </row>
    <row r="1872" spans="1:9" x14ac:dyDescent="0.15">
      <c r="A1872" s="9">
        <v>1871</v>
      </c>
      <c r="B1872" s="9" t="s">
        <v>9</v>
      </c>
      <c r="C1872" s="9">
        <v>1923</v>
      </c>
      <c r="D1872" s="10">
        <v>45701</v>
      </c>
      <c r="E1872" s="13" t="str">
        <f>+HYPERLINK("http://trademark.i-assist.jp/data/china/image_1923th/82025701.pdf","82025701")</f>
        <v>82025701</v>
      </c>
      <c r="F1872" s="9" t="s">
        <v>5145</v>
      </c>
      <c r="G1872" s="9" t="s">
        <v>5146</v>
      </c>
      <c r="H1872" s="9" t="s">
        <v>5147</v>
      </c>
      <c r="I1872" s="10">
        <v>45614</v>
      </c>
    </row>
    <row r="1873" spans="1:9" x14ac:dyDescent="0.15">
      <c r="A1873" s="9">
        <v>1872</v>
      </c>
      <c r="B1873" s="9" t="s">
        <v>9</v>
      </c>
      <c r="C1873" s="9">
        <v>1923</v>
      </c>
      <c r="D1873" s="10">
        <v>45701</v>
      </c>
      <c r="E1873" s="13" t="str">
        <f>+HYPERLINK("http://trademark.i-assist.jp/data/china/image_1923th/82025786.pdf","82025786")</f>
        <v>82025786</v>
      </c>
      <c r="F1873" s="9" t="s">
        <v>5148</v>
      </c>
      <c r="G1873" s="9" t="s">
        <v>5149</v>
      </c>
      <c r="H1873" s="9" t="s">
        <v>5150</v>
      </c>
      <c r="I1873" s="10">
        <v>45614</v>
      </c>
    </row>
    <row r="1874" spans="1:9" x14ac:dyDescent="0.15">
      <c r="A1874" s="9">
        <v>1873</v>
      </c>
      <c r="B1874" s="9" t="s">
        <v>9</v>
      </c>
      <c r="C1874" s="9">
        <v>1923</v>
      </c>
      <c r="D1874" s="10">
        <v>45701</v>
      </c>
      <c r="E1874" s="13" t="str">
        <f>+HYPERLINK("http://trademark.i-assist.jp/data/china/image_1923th/82025830.pdf","82025830")</f>
        <v>82025830</v>
      </c>
      <c r="F1874" s="9" t="s">
        <v>5151</v>
      </c>
      <c r="G1874" s="9" t="s">
        <v>5152</v>
      </c>
      <c r="H1874" s="9" t="s">
        <v>5153</v>
      </c>
      <c r="I1874" s="10">
        <v>45614</v>
      </c>
    </row>
    <row r="1875" spans="1:9" x14ac:dyDescent="0.15">
      <c r="A1875" s="9">
        <v>1874</v>
      </c>
      <c r="B1875" s="9" t="s">
        <v>9</v>
      </c>
      <c r="C1875" s="9">
        <v>1923</v>
      </c>
      <c r="D1875" s="10">
        <v>45701</v>
      </c>
      <c r="E1875" s="13" t="str">
        <f>+HYPERLINK("http://trademark.i-assist.jp/data/china/image_1923th/82025895.pdf","82025895")</f>
        <v>82025895</v>
      </c>
      <c r="F1875" s="9" t="s">
        <v>5154</v>
      </c>
      <c r="G1875" s="9" t="s">
        <v>5132</v>
      </c>
      <c r="H1875" s="9" t="s">
        <v>5155</v>
      </c>
      <c r="I1875" s="10">
        <v>45614</v>
      </c>
    </row>
    <row r="1876" spans="1:9" x14ac:dyDescent="0.15">
      <c r="A1876" s="9">
        <v>1875</v>
      </c>
      <c r="B1876" s="9" t="s">
        <v>9</v>
      </c>
      <c r="C1876" s="9">
        <v>1923</v>
      </c>
      <c r="D1876" s="10">
        <v>45701</v>
      </c>
      <c r="E1876" s="13" t="str">
        <f>+HYPERLINK("http://trademark.i-assist.jp/data/china/image_1923th/82025909.pdf","82025909")</f>
        <v>82025909</v>
      </c>
      <c r="F1876" s="9" t="s">
        <v>5156</v>
      </c>
      <c r="G1876" s="9" t="s">
        <v>5132</v>
      </c>
      <c r="H1876" s="9" t="s">
        <v>5157</v>
      </c>
      <c r="I1876" s="10">
        <v>45614</v>
      </c>
    </row>
    <row r="1877" spans="1:9" x14ac:dyDescent="0.15">
      <c r="A1877" s="9">
        <v>1876</v>
      </c>
      <c r="B1877" s="9" t="s">
        <v>9</v>
      </c>
      <c r="C1877" s="9">
        <v>1923</v>
      </c>
      <c r="D1877" s="10">
        <v>45701</v>
      </c>
      <c r="E1877" s="13" t="str">
        <f>+HYPERLINK("http://trademark.i-assist.jp/data/china/image_1923th/82026232.pdf","82026232")</f>
        <v>82026232</v>
      </c>
      <c r="F1877" s="9" t="s">
        <v>5158</v>
      </c>
      <c r="G1877" s="9" t="s">
        <v>5159</v>
      </c>
      <c r="H1877" s="9" t="s">
        <v>5160</v>
      </c>
      <c r="I1877" s="10">
        <v>45614</v>
      </c>
    </row>
    <row r="1878" spans="1:9" x14ac:dyDescent="0.15">
      <c r="A1878" s="9">
        <v>1877</v>
      </c>
      <c r="B1878" s="9" t="s">
        <v>9</v>
      </c>
      <c r="C1878" s="9">
        <v>1923</v>
      </c>
      <c r="D1878" s="10">
        <v>45701</v>
      </c>
      <c r="E1878" s="13" t="str">
        <f>+HYPERLINK("http://trademark.i-assist.jp/data/china/image_1923th/82026519.pdf","82026519")</f>
        <v>82026519</v>
      </c>
      <c r="F1878" s="9" t="s">
        <v>5161</v>
      </c>
      <c r="G1878" s="9" t="s">
        <v>5120</v>
      </c>
      <c r="H1878" s="9" t="s">
        <v>5162</v>
      </c>
      <c r="I1878" s="10">
        <v>45614</v>
      </c>
    </row>
    <row r="1879" spans="1:9" x14ac:dyDescent="0.15">
      <c r="A1879" s="9">
        <v>1878</v>
      </c>
      <c r="B1879" s="9" t="s">
        <v>9</v>
      </c>
      <c r="C1879" s="9">
        <v>1923</v>
      </c>
      <c r="D1879" s="10">
        <v>45701</v>
      </c>
      <c r="E1879" s="13" t="str">
        <f>+HYPERLINK("http://trademark.i-assist.jp/data/china/image_1923th/82026553.pdf","82026553")</f>
        <v>82026553</v>
      </c>
      <c r="F1879" s="9" t="s">
        <v>5163</v>
      </c>
      <c r="G1879" s="11" t="s">
        <v>5164</v>
      </c>
      <c r="H1879" s="9" t="s">
        <v>5165</v>
      </c>
      <c r="I1879" s="10">
        <v>45614</v>
      </c>
    </row>
    <row r="1880" spans="1:9" x14ac:dyDescent="0.15">
      <c r="A1880" s="9">
        <v>1879</v>
      </c>
      <c r="B1880" s="9" t="s">
        <v>9</v>
      </c>
      <c r="C1880" s="9">
        <v>1923</v>
      </c>
      <c r="D1880" s="10">
        <v>45701</v>
      </c>
      <c r="E1880" s="13" t="str">
        <f>+HYPERLINK("http://trademark.i-assist.jp/data/china/image_1923th/82026957.pdf","82026957")</f>
        <v>82026957</v>
      </c>
      <c r="F1880" s="9" t="s">
        <v>5166</v>
      </c>
      <c r="G1880" s="9" t="s">
        <v>4607</v>
      </c>
      <c r="H1880" s="9" t="s">
        <v>5167</v>
      </c>
      <c r="I1880" s="10">
        <v>45614</v>
      </c>
    </row>
    <row r="1881" spans="1:9" x14ac:dyDescent="0.15">
      <c r="A1881" s="9">
        <v>1880</v>
      </c>
      <c r="B1881" s="9" t="s">
        <v>9</v>
      </c>
      <c r="C1881" s="9">
        <v>1923</v>
      </c>
      <c r="D1881" s="10">
        <v>45701</v>
      </c>
      <c r="E1881" s="13" t="str">
        <f>+HYPERLINK("http://trademark.i-assist.jp/data/china/image_1923th/82026997.pdf","82026997")</f>
        <v>82026997</v>
      </c>
      <c r="F1881" s="9" t="s">
        <v>5168</v>
      </c>
      <c r="G1881" s="11" t="s">
        <v>5169</v>
      </c>
      <c r="H1881" s="9" t="s">
        <v>5170</v>
      </c>
      <c r="I1881" s="10">
        <v>45614</v>
      </c>
    </row>
    <row r="1882" spans="1:9" x14ac:dyDescent="0.15">
      <c r="A1882" s="9">
        <v>1881</v>
      </c>
      <c r="B1882" s="9" t="s">
        <v>9</v>
      </c>
      <c r="C1882" s="9">
        <v>1923</v>
      </c>
      <c r="D1882" s="10">
        <v>45701</v>
      </c>
      <c r="E1882" s="13" t="str">
        <f>+HYPERLINK("http://trademark.i-assist.jp/data/china/image_1923th/82027090.pdf","82027090")</f>
        <v>82027090</v>
      </c>
      <c r="F1882" s="9" t="s">
        <v>5171</v>
      </c>
      <c r="G1882" s="9" t="s">
        <v>301</v>
      </c>
      <c r="H1882" s="11" t="s">
        <v>5172</v>
      </c>
      <c r="I1882" s="10">
        <v>45614</v>
      </c>
    </row>
    <row r="1883" spans="1:9" x14ac:dyDescent="0.15">
      <c r="A1883" s="9">
        <v>1882</v>
      </c>
      <c r="B1883" s="9" t="s">
        <v>9</v>
      </c>
      <c r="C1883" s="9">
        <v>1923</v>
      </c>
      <c r="D1883" s="10">
        <v>45701</v>
      </c>
      <c r="E1883" s="13" t="str">
        <f>+HYPERLINK("http://trademark.i-assist.jp/data/china/image_1923th/82027337.pdf","82027337")</f>
        <v>82027337</v>
      </c>
      <c r="F1883" s="9" t="s">
        <v>5173</v>
      </c>
      <c r="G1883" s="9" t="s">
        <v>5174</v>
      </c>
      <c r="H1883" s="9" t="s">
        <v>5175</v>
      </c>
      <c r="I1883" s="10">
        <v>45614</v>
      </c>
    </row>
    <row r="1884" spans="1:9" x14ac:dyDescent="0.15">
      <c r="A1884" s="9">
        <v>1883</v>
      </c>
      <c r="B1884" s="9" t="s">
        <v>9</v>
      </c>
      <c r="C1884" s="9">
        <v>1923</v>
      </c>
      <c r="D1884" s="10">
        <v>45701</v>
      </c>
      <c r="E1884" s="13" t="str">
        <f>+HYPERLINK("http://trademark.i-assist.jp/data/china/image_1923th/82027586.pdf","82027586")</f>
        <v>82027586</v>
      </c>
      <c r="F1884" s="9" t="s">
        <v>5176</v>
      </c>
      <c r="G1884" s="11" t="s">
        <v>5177</v>
      </c>
      <c r="H1884" s="9" t="s">
        <v>5178</v>
      </c>
      <c r="I1884" s="10">
        <v>45614</v>
      </c>
    </row>
    <row r="1885" spans="1:9" x14ac:dyDescent="0.15">
      <c r="A1885" s="9">
        <v>1884</v>
      </c>
      <c r="B1885" s="9" t="s">
        <v>9</v>
      </c>
      <c r="C1885" s="9">
        <v>1923</v>
      </c>
      <c r="D1885" s="10">
        <v>45701</v>
      </c>
      <c r="E1885" s="13" t="str">
        <f>+HYPERLINK("http://trademark.i-assist.jp/data/china/image_1923th/82027629.pdf","82027629")</f>
        <v>82027629</v>
      </c>
      <c r="F1885" s="9" t="s">
        <v>5179</v>
      </c>
      <c r="G1885" s="11" t="s">
        <v>5180</v>
      </c>
      <c r="H1885" s="9" t="s">
        <v>5181</v>
      </c>
      <c r="I1885" s="10">
        <v>45614</v>
      </c>
    </row>
    <row r="1886" spans="1:9" x14ac:dyDescent="0.15">
      <c r="A1886" s="9">
        <v>1885</v>
      </c>
      <c r="B1886" s="9" t="s">
        <v>9</v>
      </c>
      <c r="C1886" s="9">
        <v>1923</v>
      </c>
      <c r="D1886" s="10">
        <v>45701</v>
      </c>
      <c r="E1886" s="13" t="str">
        <f>+HYPERLINK("http://trademark.i-assist.jp/data/china/image_1923th/82027635.pdf","82027635")</f>
        <v>82027635</v>
      </c>
      <c r="F1886" s="11" t="s">
        <v>5182</v>
      </c>
      <c r="G1886" s="9" t="s">
        <v>5183</v>
      </c>
      <c r="H1886" s="9" t="s">
        <v>5184</v>
      </c>
      <c r="I1886" s="10">
        <v>45614</v>
      </c>
    </row>
    <row r="1887" spans="1:9" x14ac:dyDescent="0.15">
      <c r="A1887" s="9">
        <v>1886</v>
      </c>
      <c r="B1887" s="9" t="s">
        <v>9</v>
      </c>
      <c r="C1887" s="9">
        <v>1923</v>
      </c>
      <c r="D1887" s="10">
        <v>45701</v>
      </c>
      <c r="E1887" s="13" t="str">
        <f>+HYPERLINK("http://trademark.i-assist.jp/data/china/image_1923th/82027669.pdf","82027669")</f>
        <v>82027669</v>
      </c>
      <c r="F1887" s="9" t="s">
        <v>5185</v>
      </c>
      <c r="G1887" s="9" t="s">
        <v>5186</v>
      </c>
      <c r="H1887" s="9" t="s">
        <v>5187</v>
      </c>
      <c r="I1887" s="10">
        <v>45614</v>
      </c>
    </row>
    <row r="1888" spans="1:9" x14ac:dyDescent="0.15">
      <c r="A1888" s="9">
        <v>1887</v>
      </c>
      <c r="B1888" s="9" t="s">
        <v>9</v>
      </c>
      <c r="C1888" s="9">
        <v>1923</v>
      </c>
      <c r="D1888" s="10">
        <v>45701</v>
      </c>
      <c r="E1888" s="13" t="str">
        <f>+HYPERLINK("http://trademark.i-assist.jp/data/china/image_1923th/82027792.pdf","82027792")</f>
        <v>82027792</v>
      </c>
      <c r="F1888" s="9" t="s">
        <v>5188</v>
      </c>
      <c r="G1888" s="9" t="s">
        <v>5189</v>
      </c>
      <c r="H1888" s="9" t="s">
        <v>5190</v>
      </c>
      <c r="I1888" s="10">
        <v>45614</v>
      </c>
    </row>
    <row r="1889" spans="1:9" x14ac:dyDescent="0.15">
      <c r="A1889" s="9">
        <v>1888</v>
      </c>
      <c r="B1889" s="9" t="s">
        <v>9</v>
      </c>
      <c r="C1889" s="9">
        <v>1923</v>
      </c>
      <c r="D1889" s="10">
        <v>45701</v>
      </c>
      <c r="E1889" s="13" t="str">
        <f>+HYPERLINK("http://trademark.i-assist.jp/data/china/image_1923th/82027868.pdf","82027868")</f>
        <v>82027868</v>
      </c>
      <c r="F1889" s="9" t="s">
        <v>5191</v>
      </c>
      <c r="G1889" s="9" t="s">
        <v>35</v>
      </c>
      <c r="H1889" s="9" t="s">
        <v>5192</v>
      </c>
      <c r="I1889" s="10">
        <v>45614</v>
      </c>
    </row>
    <row r="1890" spans="1:9" x14ac:dyDescent="0.15">
      <c r="A1890" s="9">
        <v>1889</v>
      </c>
      <c r="B1890" s="9" t="s">
        <v>9</v>
      </c>
      <c r="C1890" s="9">
        <v>1923</v>
      </c>
      <c r="D1890" s="10">
        <v>45701</v>
      </c>
      <c r="E1890" s="13" t="str">
        <f>+HYPERLINK("http://trademark.i-assist.jp/data/china/image_1923th/82027892.pdf","82027892")</f>
        <v>82027892</v>
      </c>
      <c r="F1890" s="9" t="s">
        <v>5193</v>
      </c>
      <c r="G1890" s="9" t="s">
        <v>5194</v>
      </c>
      <c r="H1890" s="9" t="s">
        <v>5195</v>
      </c>
      <c r="I1890" s="10">
        <v>45614</v>
      </c>
    </row>
    <row r="1891" spans="1:9" x14ac:dyDescent="0.15">
      <c r="A1891" s="9">
        <v>1890</v>
      </c>
      <c r="B1891" s="9" t="s">
        <v>9</v>
      </c>
      <c r="C1891" s="9">
        <v>1923</v>
      </c>
      <c r="D1891" s="10">
        <v>45701</v>
      </c>
      <c r="E1891" s="13" t="str">
        <f>+HYPERLINK("http://trademark.i-assist.jp/data/china/image_1923th/82027907.pdf","82027907")</f>
        <v>82027907</v>
      </c>
      <c r="F1891" s="11" t="s">
        <v>5196</v>
      </c>
      <c r="G1891" s="11" t="s">
        <v>5016</v>
      </c>
      <c r="H1891" s="9" t="s">
        <v>5197</v>
      </c>
      <c r="I1891" s="10">
        <v>45614</v>
      </c>
    </row>
    <row r="1892" spans="1:9" x14ac:dyDescent="0.15">
      <c r="A1892" s="9">
        <v>1891</v>
      </c>
      <c r="B1892" s="9" t="s">
        <v>9</v>
      </c>
      <c r="C1892" s="9">
        <v>1923</v>
      </c>
      <c r="D1892" s="10">
        <v>45701</v>
      </c>
      <c r="E1892" s="13" t="str">
        <f>+HYPERLINK("http://trademark.i-assist.jp/data/china/image_1923th/82027913.pdf","82027913")</f>
        <v>82027913</v>
      </c>
      <c r="F1892" s="11" t="s">
        <v>5198</v>
      </c>
      <c r="G1892" s="11" t="s">
        <v>5016</v>
      </c>
      <c r="H1892" s="9" t="s">
        <v>5199</v>
      </c>
      <c r="I1892" s="10">
        <v>45614</v>
      </c>
    </row>
    <row r="1893" spans="1:9" x14ac:dyDescent="0.15">
      <c r="A1893" s="9">
        <v>1892</v>
      </c>
      <c r="B1893" s="9" t="s">
        <v>9</v>
      </c>
      <c r="C1893" s="9">
        <v>1923</v>
      </c>
      <c r="D1893" s="10">
        <v>45701</v>
      </c>
      <c r="E1893" s="13" t="str">
        <f>+HYPERLINK("http://trademark.i-assist.jp/data/china/image_1923th/82028416.pdf","82028416")</f>
        <v>82028416</v>
      </c>
      <c r="F1893" s="9" t="s">
        <v>5200</v>
      </c>
      <c r="G1893" s="9" t="s">
        <v>5201</v>
      </c>
      <c r="H1893" s="9" t="s">
        <v>5202</v>
      </c>
      <c r="I1893" s="10">
        <v>45614</v>
      </c>
    </row>
    <row r="1894" spans="1:9" x14ac:dyDescent="0.15">
      <c r="A1894" s="9">
        <v>1893</v>
      </c>
      <c r="B1894" s="9" t="s">
        <v>9</v>
      </c>
      <c r="C1894" s="9">
        <v>1923</v>
      </c>
      <c r="D1894" s="10">
        <v>45701</v>
      </c>
      <c r="E1894" s="13" t="str">
        <f>+HYPERLINK("http://trademark.i-assist.jp/data/china/image_1923th/82028573.pdf","82028573")</f>
        <v>82028573</v>
      </c>
      <c r="F1894" s="11" t="s">
        <v>5203</v>
      </c>
      <c r="G1894" s="9" t="s">
        <v>5204</v>
      </c>
      <c r="H1894" s="9" t="s">
        <v>5205</v>
      </c>
      <c r="I1894" s="10">
        <v>45614</v>
      </c>
    </row>
    <row r="1895" spans="1:9" x14ac:dyDescent="0.15">
      <c r="A1895" s="9">
        <v>1894</v>
      </c>
      <c r="B1895" s="9" t="s">
        <v>9</v>
      </c>
      <c r="C1895" s="9">
        <v>1923</v>
      </c>
      <c r="D1895" s="10">
        <v>45701</v>
      </c>
      <c r="E1895" s="13" t="str">
        <f>+HYPERLINK("http://trademark.i-assist.jp/data/china/image_1923th/82028888.pdf","82028888")</f>
        <v>82028888</v>
      </c>
      <c r="F1895" s="9" t="s">
        <v>5206</v>
      </c>
      <c r="G1895" s="9" t="s">
        <v>5207</v>
      </c>
      <c r="H1895" s="11" t="s">
        <v>5208</v>
      </c>
      <c r="I1895" s="10">
        <v>45614</v>
      </c>
    </row>
    <row r="1896" spans="1:9" x14ac:dyDescent="0.15">
      <c r="A1896" s="9">
        <v>1895</v>
      </c>
      <c r="B1896" s="9" t="s">
        <v>9</v>
      </c>
      <c r="C1896" s="9">
        <v>1923</v>
      </c>
      <c r="D1896" s="10">
        <v>45701</v>
      </c>
      <c r="E1896" s="13" t="str">
        <f>+HYPERLINK("http://trademark.i-assist.jp/data/china/image_1923th/82028970.pdf","82028970")</f>
        <v>82028970</v>
      </c>
      <c r="F1896" s="9" t="s">
        <v>5209</v>
      </c>
      <c r="G1896" s="11" t="s">
        <v>5210</v>
      </c>
      <c r="H1896" s="9" t="s">
        <v>5211</v>
      </c>
      <c r="I1896" s="10">
        <v>45614</v>
      </c>
    </row>
    <row r="1897" spans="1:9" x14ac:dyDescent="0.15">
      <c r="A1897" s="9">
        <v>1896</v>
      </c>
      <c r="B1897" s="9" t="s">
        <v>9</v>
      </c>
      <c r="C1897" s="9">
        <v>1923</v>
      </c>
      <c r="D1897" s="10">
        <v>45701</v>
      </c>
      <c r="E1897" s="13" t="str">
        <f>+HYPERLINK("http://trademark.i-assist.jp/data/china/image_1923th/82029040.pdf","82029040")</f>
        <v>82029040</v>
      </c>
      <c r="F1897" s="9" t="s">
        <v>5212</v>
      </c>
      <c r="G1897" s="11" t="s">
        <v>5213</v>
      </c>
      <c r="H1897" s="9" t="s">
        <v>5214</v>
      </c>
      <c r="I1897" s="10">
        <v>45614</v>
      </c>
    </row>
    <row r="1898" spans="1:9" x14ac:dyDescent="0.15">
      <c r="A1898" s="9">
        <v>1897</v>
      </c>
      <c r="B1898" s="9" t="s">
        <v>9</v>
      </c>
      <c r="C1898" s="9">
        <v>1923</v>
      </c>
      <c r="D1898" s="10">
        <v>45701</v>
      </c>
      <c r="E1898" s="13" t="str">
        <f>+HYPERLINK("http://trademark.i-assist.jp/data/china/image_1923th/82029657.pdf","82029657")</f>
        <v>82029657</v>
      </c>
      <c r="F1898" s="11" t="s">
        <v>5215</v>
      </c>
      <c r="G1898" s="11" t="s">
        <v>5216</v>
      </c>
      <c r="H1898" s="9" t="s">
        <v>5217</v>
      </c>
      <c r="I1898" s="10">
        <v>45614</v>
      </c>
    </row>
    <row r="1899" spans="1:9" x14ac:dyDescent="0.15">
      <c r="A1899" s="9">
        <v>1898</v>
      </c>
      <c r="B1899" s="9" t="s">
        <v>9</v>
      </c>
      <c r="C1899" s="9">
        <v>1923</v>
      </c>
      <c r="D1899" s="10">
        <v>45701</v>
      </c>
      <c r="E1899" s="13" t="str">
        <f>+HYPERLINK("http://trademark.i-assist.jp/data/china/image_1923th/82029706.pdf","82029706")</f>
        <v>82029706</v>
      </c>
      <c r="F1899" s="9" t="s">
        <v>5218</v>
      </c>
      <c r="G1899" s="9" t="s">
        <v>5219</v>
      </c>
      <c r="H1899" s="9" t="s">
        <v>5220</v>
      </c>
      <c r="I1899" s="10">
        <v>45614</v>
      </c>
    </row>
    <row r="1900" spans="1:9" x14ac:dyDescent="0.15">
      <c r="A1900" s="9">
        <v>1899</v>
      </c>
      <c r="B1900" s="9" t="s">
        <v>9</v>
      </c>
      <c r="C1900" s="9">
        <v>1923</v>
      </c>
      <c r="D1900" s="10">
        <v>45701</v>
      </c>
      <c r="E1900" s="13" t="str">
        <f>+HYPERLINK("http://trademark.i-assist.jp/data/china/image_1923th/82029935.pdf","82029935")</f>
        <v>82029935</v>
      </c>
      <c r="F1900" s="11" t="s">
        <v>126</v>
      </c>
      <c r="G1900" s="9" t="s">
        <v>5075</v>
      </c>
      <c r="H1900" s="9" t="s">
        <v>5221</v>
      </c>
      <c r="I1900" s="10">
        <v>45614</v>
      </c>
    </row>
    <row r="1901" spans="1:9" x14ac:dyDescent="0.15">
      <c r="A1901" s="9">
        <v>1900</v>
      </c>
      <c r="B1901" s="9" t="s">
        <v>9</v>
      </c>
      <c r="C1901" s="9">
        <v>1923</v>
      </c>
      <c r="D1901" s="10">
        <v>45701</v>
      </c>
      <c r="E1901" s="13" t="str">
        <f>+HYPERLINK("http://trademark.i-assist.jp/data/china/image_1923th/82030141.pdf","82030141")</f>
        <v>82030141</v>
      </c>
      <c r="F1901" s="9" t="s">
        <v>5222</v>
      </c>
      <c r="G1901" s="9" t="s">
        <v>5223</v>
      </c>
      <c r="H1901" s="9" t="s">
        <v>5224</v>
      </c>
      <c r="I1901" s="10">
        <v>45614</v>
      </c>
    </row>
    <row r="1902" spans="1:9" x14ac:dyDescent="0.15">
      <c r="A1902" s="9">
        <v>1901</v>
      </c>
      <c r="B1902" s="9" t="s">
        <v>9</v>
      </c>
      <c r="C1902" s="9">
        <v>1923</v>
      </c>
      <c r="D1902" s="10">
        <v>45701</v>
      </c>
      <c r="E1902" s="13" t="str">
        <f>+HYPERLINK("http://trademark.i-assist.jp/data/china/image_1923th/82030486.pdf","82030486")</f>
        <v>82030486</v>
      </c>
      <c r="F1902" s="9" t="s">
        <v>5225</v>
      </c>
      <c r="G1902" s="9" t="s">
        <v>3742</v>
      </c>
      <c r="H1902" s="11" t="s">
        <v>5226</v>
      </c>
      <c r="I1902" s="10">
        <v>45614</v>
      </c>
    </row>
    <row r="1903" spans="1:9" x14ac:dyDescent="0.15">
      <c r="A1903" s="9">
        <v>1902</v>
      </c>
      <c r="B1903" s="9" t="s">
        <v>9</v>
      </c>
      <c r="C1903" s="9">
        <v>1923</v>
      </c>
      <c r="D1903" s="10">
        <v>45701</v>
      </c>
      <c r="E1903" s="13" t="str">
        <f>+HYPERLINK("http://trademark.i-assist.jp/data/china/image_1923th/82030591.pdf","82030591")</f>
        <v>82030591</v>
      </c>
      <c r="F1903" s="9" t="s">
        <v>5227</v>
      </c>
      <c r="G1903" s="9" t="s">
        <v>5228</v>
      </c>
      <c r="H1903" s="9" t="s">
        <v>5229</v>
      </c>
      <c r="I1903" s="10">
        <v>45614</v>
      </c>
    </row>
    <row r="1904" spans="1:9" x14ac:dyDescent="0.15">
      <c r="A1904" s="9">
        <v>1903</v>
      </c>
      <c r="B1904" s="9" t="s">
        <v>9</v>
      </c>
      <c r="C1904" s="9">
        <v>1923</v>
      </c>
      <c r="D1904" s="10">
        <v>45701</v>
      </c>
      <c r="E1904" s="13" t="str">
        <f>+HYPERLINK("http://trademark.i-assist.jp/data/china/image_1923th/82030743.pdf","82030743")</f>
        <v>82030743</v>
      </c>
      <c r="F1904" s="9" t="s">
        <v>5230</v>
      </c>
      <c r="G1904" s="11" t="s">
        <v>5231</v>
      </c>
      <c r="H1904" s="9" t="s">
        <v>5232</v>
      </c>
      <c r="I1904" s="10">
        <v>45614</v>
      </c>
    </row>
    <row r="1905" spans="1:9" x14ac:dyDescent="0.15">
      <c r="A1905" s="9">
        <v>1904</v>
      </c>
      <c r="B1905" s="9" t="s">
        <v>9</v>
      </c>
      <c r="C1905" s="9">
        <v>1923</v>
      </c>
      <c r="D1905" s="10">
        <v>45701</v>
      </c>
      <c r="E1905" s="13" t="str">
        <f>+HYPERLINK("http://trademark.i-assist.jp/data/china/image_1923th/82030860.pdf","82030860")</f>
        <v>82030860</v>
      </c>
      <c r="F1905" s="9" t="s">
        <v>5233</v>
      </c>
      <c r="G1905" s="9" t="s">
        <v>5234</v>
      </c>
      <c r="H1905" s="9" t="s">
        <v>5235</v>
      </c>
      <c r="I1905" s="10">
        <v>45614</v>
      </c>
    </row>
    <row r="1906" spans="1:9" x14ac:dyDescent="0.15">
      <c r="A1906" s="9">
        <v>1905</v>
      </c>
      <c r="B1906" s="9" t="s">
        <v>9</v>
      </c>
      <c r="C1906" s="9">
        <v>1923</v>
      </c>
      <c r="D1906" s="10">
        <v>45701</v>
      </c>
      <c r="E1906" s="13" t="str">
        <f>+HYPERLINK("http://trademark.i-assist.jp/data/china/image_1923th/82031203.pdf","82031203")</f>
        <v>82031203</v>
      </c>
      <c r="F1906" s="9" t="s">
        <v>5236</v>
      </c>
      <c r="G1906" s="9" t="s">
        <v>14</v>
      </c>
      <c r="H1906" s="9" t="s">
        <v>5237</v>
      </c>
      <c r="I1906" s="10">
        <v>45614</v>
      </c>
    </row>
    <row r="1907" spans="1:9" x14ac:dyDescent="0.15">
      <c r="A1907" s="9">
        <v>1906</v>
      </c>
      <c r="B1907" s="9" t="s">
        <v>9</v>
      </c>
      <c r="C1907" s="9">
        <v>1923</v>
      </c>
      <c r="D1907" s="10">
        <v>45701</v>
      </c>
      <c r="E1907" s="13" t="str">
        <f>+HYPERLINK("http://trademark.i-assist.jp/data/china/image_1923th/82031436.pdf","82031436")</f>
        <v>82031436</v>
      </c>
      <c r="F1907" s="9" t="s">
        <v>5238</v>
      </c>
      <c r="G1907" s="9" t="s">
        <v>5239</v>
      </c>
      <c r="H1907" s="9" t="s">
        <v>5240</v>
      </c>
      <c r="I1907" s="10">
        <v>45614</v>
      </c>
    </row>
    <row r="1908" spans="1:9" x14ac:dyDescent="0.15">
      <c r="A1908" s="9">
        <v>1907</v>
      </c>
      <c r="B1908" s="9" t="s">
        <v>9</v>
      </c>
      <c r="C1908" s="9">
        <v>1923</v>
      </c>
      <c r="D1908" s="10">
        <v>45701</v>
      </c>
      <c r="E1908" s="13" t="str">
        <f>+HYPERLINK("http://trademark.i-assist.jp/data/china/image_1923th/82031459.pdf","82031459")</f>
        <v>82031459</v>
      </c>
      <c r="F1908" s="9" t="s">
        <v>5241</v>
      </c>
      <c r="G1908" s="9" t="s">
        <v>5242</v>
      </c>
      <c r="H1908" s="9" t="s">
        <v>5243</v>
      </c>
      <c r="I1908" s="10">
        <v>45614</v>
      </c>
    </row>
    <row r="1909" spans="1:9" x14ac:dyDescent="0.15">
      <c r="A1909" s="9">
        <v>1908</v>
      </c>
      <c r="B1909" s="9" t="s">
        <v>9</v>
      </c>
      <c r="C1909" s="9">
        <v>1923</v>
      </c>
      <c r="D1909" s="10">
        <v>45701</v>
      </c>
      <c r="E1909" s="13" t="str">
        <f>+HYPERLINK("http://trademark.i-assist.jp/data/china/image_1923th/82031640.pdf","82031640")</f>
        <v>82031640</v>
      </c>
      <c r="F1909" s="9" t="s">
        <v>5244</v>
      </c>
      <c r="G1909" s="9" t="s">
        <v>5245</v>
      </c>
      <c r="H1909" s="9" t="s">
        <v>5246</v>
      </c>
      <c r="I1909" s="10">
        <v>45614</v>
      </c>
    </row>
    <row r="1910" spans="1:9" x14ac:dyDescent="0.15">
      <c r="A1910" s="9">
        <v>1909</v>
      </c>
      <c r="B1910" s="9" t="s">
        <v>9</v>
      </c>
      <c r="C1910" s="9">
        <v>1923</v>
      </c>
      <c r="D1910" s="10">
        <v>45701</v>
      </c>
      <c r="E1910" s="13" t="str">
        <f>+HYPERLINK("http://trademark.i-assist.jp/data/china/image_1923th/82031823.pdf","82031823")</f>
        <v>82031823</v>
      </c>
      <c r="F1910" s="11" t="s">
        <v>5247</v>
      </c>
      <c r="G1910" s="9" t="s">
        <v>5248</v>
      </c>
      <c r="H1910" s="9" t="s">
        <v>5249</v>
      </c>
      <c r="I1910" s="10">
        <v>45614</v>
      </c>
    </row>
    <row r="1911" spans="1:9" x14ac:dyDescent="0.15">
      <c r="A1911" s="9">
        <v>1910</v>
      </c>
      <c r="B1911" s="9" t="s">
        <v>9</v>
      </c>
      <c r="C1911" s="9">
        <v>1923</v>
      </c>
      <c r="D1911" s="10">
        <v>45701</v>
      </c>
      <c r="E1911" s="13" t="str">
        <f>+HYPERLINK("http://trademark.i-assist.jp/data/china/image_1923th/82031866.pdf","82031866")</f>
        <v>82031866</v>
      </c>
      <c r="F1911" s="11" t="s">
        <v>126</v>
      </c>
      <c r="G1911" s="11" t="s">
        <v>5250</v>
      </c>
      <c r="H1911" s="9" t="s">
        <v>5251</v>
      </c>
      <c r="I1911" s="10">
        <v>45614</v>
      </c>
    </row>
    <row r="1912" spans="1:9" x14ac:dyDescent="0.15">
      <c r="A1912" s="9">
        <v>1911</v>
      </c>
      <c r="B1912" s="9" t="s">
        <v>9</v>
      </c>
      <c r="C1912" s="9">
        <v>1923</v>
      </c>
      <c r="D1912" s="10">
        <v>45701</v>
      </c>
      <c r="E1912" s="13" t="str">
        <f>+HYPERLINK("http://trademark.i-assist.jp/data/china/image_1923th/82032194.pdf","82032194")</f>
        <v>82032194</v>
      </c>
      <c r="F1912" s="9" t="s">
        <v>5252</v>
      </c>
      <c r="G1912" s="9" t="s">
        <v>5253</v>
      </c>
      <c r="H1912" s="9" t="s">
        <v>5254</v>
      </c>
      <c r="I1912" s="10">
        <v>45614</v>
      </c>
    </row>
    <row r="1913" spans="1:9" x14ac:dyDescent="0.15">
      <c r="A1913" s="9">
        <v>1912</v>
      </c>
      <c r="B1913" s="9" t="s">
        <v>9</v>
      </c>
      <c r="C1913" s="9">
        <v>1923</v>
      </c>
      <c r="D1913" s="10">
        <v>45701</v>
      </c>
      <c r="E1913" s="13" t="str">
        <f>+HYPERLINK("http://trademark.i-assist.jp/data/china/image_1923th/82032200.pdf","82032200")</f>
        <v>82032200</v>
      </c>
      <c r="F1913" s="9" t="s">
        <v>5255</v>
      </c>
      <c r="G1913" s="11" t="s">
        <v>1202</v>
      </c>
      <c r="H1913" s="9" t="s">
        <v>5256</v>
      </c>
      <c r="I1913" s="10">
        <v>45614</v>
      </c>
    </row>
    <row r="1914" spans="1:9" x14ac:dyDescent="0.15">
      <c r="A1914" s="9">
        <v>1913</v>
      </c>
      <c r="B1914" s="9" t="s">
        <v>9</v>
      </c>
      <c r="C1914" s="9">
        <v>1923</v>
      </c>
      <c r="D1914" s="10">
        <v>45701</v>
      </c>
      <c r="E1914" s="13" t="str">
        <f>+HYPERLINK("http://trademark.i-assist.jp/data/china/image_1923th/82032881.pdf","82032881")</f>
        <v>82032881</v>
      </c>
      <c r="F1914" s="9" t="s">
        <v>5257</v>
      </c>
      <c r="G1914" s="9" t="s">
        <v>5138</v>
      </c>
      <c r="H1914" s="11" t="s">
        <v>5258</v>
      </c>
      <c r="I1914" s="10">
        <v>45614</v>
      </c>
    </row>
    <row r="1915" spans="1:9" x14ac:dyDescent="0.15">
      <c r="A1915" s="9">
        <v>1914</v>
      </c>
      <c r="B1915" s="9" t="s">
        <v>9</v>
      </c>
      <c r="C1915" s="9">
        <v>1923</v>
      </c>
      <c r="D1915" s="10">
        <v>45701</v>
      </c>
      <c r="E1915" s="13" t="str">
        <f>+HYPERLINK("http://trademark.i-assist.jp/data/china/image_1923th/82033509.pdf","82033509")</f>
        <v>82033509</v>
      </c>
      <c r="F1915" s="12" t="s">
        <v>5259</v>
      </c>
      <c r="G1915" s="9" t="s">
        <v>4348</v>
      </c>
      <c r="H1915" s="9" t="s">
        <v>5260</v>
      </c>
      <c r="I1915" s="10">
        <v>45614</v>
      </c>
    </row>
    <row r="1916" spans="1:9" x14ac:dyDescent="0.15">
      <c r="A1916" s="9">
        <v>1915</v>
      </c>
      <c r="B1916" s="9" t="s">
        <v>9</v>
      </c>
      <c r="C1916" s="9">
        <v>1923</v>
      </c>
      <c r="D1916" s="10">
        <v>45701</v>
      </c>
      <c r="E1916" s="13" t="str">
        <f>+HYPERLINK("http://trademark.i-assist.jp/data/china/image_1923th/82034172.pdf","82034172")</f>
        <v>82034172</v>
      </c>
      <c r="F1916" s="9" t="s">
        <v>5261</v>
      </c>
      <c r="G1916" s="9" t="s">
        <v>5120</v>
      </c>
      <c r="H1916" s="9" t="s">
        <v>5262</v>
      </c>
      <c r="I1916" s="10">
        <v>45614</v>
      </c>
    </row>
    <row r="1917" spans="1:9" x14ac:dyDescent="0.15">
      <c r="A1917" s="9">
        <v>1916</v>
      </c>
      <c r="B1917" s="9" t="s">
        <v>9</v>
      </c>
      <c r="C1917" s="9">
        <v>1923</v>
      </c>
      <c r="D1917" s="10">
        <v>45701</v>
      </c>
      <c r="E1917" s="13" t="str">
        <f>+HYPERLINK("http://trademark.i-assist.jp/data/china/image_1923th/82034251.pdf","82034251")</f>
        <v>82034251</v>
      </c>
      <c r="F1917" s="9" t="s">
        <v>5263</v>
      </c>
      <c r="G1917" s="9" t="s">
        <v>5264</v>
      </c>
      <c r="H1917" s="9" t="s">
        <v>5265</v>
      </c>
      <c r="I1917" s="10">
        <v>45614</v>
      </c>
    </row>
    <row r="1918" spans="1:9" x14ac:dyDescent="0.15">
      <c r="A1918" s="9">
        <v>1917</v>
      </c>
      <c r="B1918" s="9" t="s">
        <v>9</v>
      </c>
      <c r="C1918" s="9">
        <v>1923</v>
      </c>
      <c r="D1918" s="10">
        <v>45701</v>
      </c>
      <c r="E1918" s="13" t="str">
        <f>+HYPERLINK("http://trademark.i-assist.jp/data/china/image_1923th/82034273.pdf","82034273")</f>
        <v>82034273</v>
      </c>
      <c r="F1918" s="9" t="s">
        <v>5266</v>
      </c>
      <c r="G1918" s="9" t="s">
        <v>5267</v>
      </c>
      <c r="H1918" s="9" t="s">
        <v>5268</v>
      </c>
      <c r="I1918" s="10">
        <v>45614</v>
      </c>
    </row>
    <row r="1919" spans="1:9" x14ac:dyDescent="0.15">
      <c r="A1919" s="9">
        <v>1918</v>
      </c>
      <c r="B1919" s="9" t="s">
        <v>9</v>
      </c>
      <c r="C1919" s="9">
        <v>1923</v>
      </c>
      <c r="D1919" s="10">
        <v>45701</v>
      </c>
      <c r="E1919" s="13" t="str">
        <f>+HYPERLINK("http://trademark.i-assist.jp/data/china/image_1923th/82034343.pdf","82034343")</f>
        <v>82034343</v>
      </c>
      <c r="F1919" s="9" t="s">
        <v>5269</v>
      </c>
      <c r="G1919" s="11" t="s">
        <v>5072</v>
      </c>
      <c r="H1919" s="9" t="s">
        <v>5270</v>
      </c>
      <c r="I1919" s="10">
        <v>45614</v>
      </c>
    </row>
    <row r="1920" spans="1:9" x14ac:dyDescent="0.15">
      <c r="A1920" s="9">
        <v>1919</v>
      </c>
      <c r="B1920" s="9" t="s">
        <v>9</v>
      </c>
      <c r="C1920" s="9">
        <v>1923</v>
      </c>
      <c r="D1920" s="10">
        <v>45701</v>
      </c>
      <c r="E1920" s="13" t="str">
        <f>+HYPERLINK("http://trademark.i-assist.jp/data/china/image_1923th/82034568.pdf","82034568")</f>
        <v>82034568</v>
      </c>
      <c r="F1920" s="9" t="s">
        <v>5271</v>
      </c>
      <c r="G1920" s="11" t="s">
        <v>5272</v>
      </c>
      <c r="H1920" s="9" t="s">
        <v>5273</v>
      </c>
      <c r="I1920" s="10">
        <v>45614</v>
      </c>
    </row>
    <row r="1921" spans="1:9" x14ac:dyDescent="0.15">
      <c r="A1921" s="9">
        <v>1920</v>
      </c>
      <c r="B1921" s="9" t="s">
        <v>9</v>
      </c>
      <c r="C1921" s="9">
        <v>1923</v>
      </c>
      <c r="D1921" s="10">
        <v>45701</v>
      </c>
      <c r="E1921" s="13" t="str">
        <f>+HYPERLINK("http://trademark.i-assist.jp/data/china/image_1923th/82035951.pdf","82035951")</f>
        <v>82035951</v>
      </c>
      <c r="F1921" s="9" t="s">
        <v>5274</v>
      </c>
      <c r="G1921" s="9" t="s">
        <v>5275</v>
      </c>
      <c r="H1921" s="9" t="s">
        <v>5276</v>
      </c>
      <c r="I1921" s="10">
        <v>45614</v>
      </c>
    </row>
    <row r="1922" spans="1:9" x14ac:dyDescent="0.15">
      <c r="A1922" s="9">
        <v>1921</v>
      </c>
      <c r="B1922" s="9" t="s">
        <v>9</v>
      </c>
      <c r="C1922" s="9">
        <v>1923</v>
      </c>
      <c r="D1922" s="10">
        <v>45701</v>
      </c>
      <c r="E1922" s="13" t="str">
        <f>+HYPERLINK("http://trademark.i-assist.jp/data/china/image_1923th/82036323.pdf","82036323")</f>
        <v>82036323</v>
      </c>
      <c r="F1922" s="9" t="s">
        <v>5277</v>
      </c>
      <c r="G1922" s="11" t="s">
        <v>5278</v>
      </c>
      <c r="H1922" s="9" t="s">
        <v>5279</v>
      </c>
      <c r="I1922" s="10">
        <v>45614</v>
      </c>
    </row>
    <row r="1923" spans="1:9" x14ac:dyDescent="0.15">
      <c r="A1923" s="9">
        <v>1922</v>
      </c>
      <c r="B1923" s="9" t="s">
        <v>9</v>
      </c>
      <c r="C1923" s="9">
        <v>1923</v>
      </c>
      <c r="D1923" s="10">
        <v>45701</v>
      </c>
      <c r="E1923" s="13" t="str">
        <f>+HYPERLINK("http://trademark.i-assist.jp/data/china/image_1923th/82036453.pdf","82036453")</f>
        <v>82036453</v>
      </c>
      <c r="F1923" s="11" t="s">
        <v>5280</v>
      </c>
      <c r="G1923" s="9" t="s">
        <v>1210</v>
      </c>
      <c r="H1923" s="9" t="s">
        <v>5281</v>
      </c>
      <c r="I1923" s="10">
        <v>45614</v>
      </c>
    </row>
    <row r="1924" spans="1:9" x14ac:dyDescent="0.15">
      <c r="A1924" s="9">
        <v>1923</v>
      </c>
      <c r="B1924" s="9" t="s">
        <v>9</v>
      </c>
      <c r="C1924" s="9">
        <v>1923</v>
      </c>
      <c r="D1924" s="10">
        <v>45701</v>
      </c>
      <c r="E1924" s="13" t="str">
        <f>+HYPERLINK("http://trademark.i-assist.jp/data/china/image_1923th/82036781.pdf","82036781")</f>
        <v>82036781</v>
      </c>
      <c r="F1924" s="9" t="s">
        <v>5282</v>
      </c>
      <c r="G1924" s="9" t="s">
        <v>5283</v>
      </c>
      <c r="H1924" s="11" t="s">
        <v>5284</v>
      </c>
      <c r="I1924" s="10">
        <v>45614</v>
      </c>
    </row>
    <row r="1925" spans="1:9" x14ac:dyDescent="0.15">
      <c r="A1925" s="9">
        <v>1924</v>
      </c>
      <c r="B1925" s="9" t="s">
        <v>9</v>
      </c>
      <c r="C1925" s="9">
        <v>1923</v>
      </c>
      <c r="D1925" s="10">
        <v>45701</v>
      </c>
      <c r="E1925" s="13" t="str">
        <f>+HYPERLINK("http://trademark.i-assist.jp/data/china/image_1923th/82036850.pdf","82036850")</f>
        <v>82036850</v>
      </c>
      <c r="F1925" s="9" t="s">
        <v>5285</v>
      </c>
      <c r="G1925" s="9" t="s">
        <v>5234</v>
      </c>
      <c r="H1925" s="9" t="s">
        <v>5286</v>
      </c>
      <c r="I1925" s="10">
        <v>45614</v>
      </c>
    </row>
    <row r="1926" spans="1:9" x14ac:dyDescent="0.15">
      <c r="A1926" s="9">
        <v>1925</v>
      </c>
      <c r="B1926" s="9" t="s">
        <v>9</v>
      </c>
      <c r="C1926" s="9">
        <v>1923</v>
      </c>
      <c r="D1926" s="10">
        <v>45701</v>
      </c>
      <c r="E1926" s="13" t="str">
        <f>+HYPERLINK("http://trademark.i-assist.jp/data/china/image_1923th/82036910.pdf","82036910")</f>
        <v>82036910</v>
      </c>
      <c r="F1926" s="9" t="s">
        <v>5287</v>
      </c>
      <c r="G1926" s="9" t="s">
        <v>5288</v>
      </c>
      <c r="H1926" s="9" t="s">
        <v>5289</v>
      </c>
      <c r="I1926" s="10">
        <v>45614</v>
      </c>
    </row>
    <row r="1927" spans="1:9" x14ac:dyDescent="0.15">
      <c r="A1927" s="9">
        <v>1926</v>
      </c>
      <c r="B1927" s="9" t="s">
        <v>9</v>
      </c>
      <c r="C1927" s="9">
        <v>1923</v>
      </c>
      <c r="D1927" s="10">
        <v>45701</v>
      </c>
      <c r="E1927" s="13" t="str">
        <f>+HYPERLINK("http://trademark.i-assist.jp/data/china/image_1923th/82037266.pdf","82037266")</f>
        <v>82037266</v>
      </c>
      <c r="F1927" s="9" t="s">
        <v>5290</v>
      </c>
      <c r="G1927" s="9" t="s">
        <v>5291</v>
      </c>
      <c r="H1927" s="11" t="s">
        <v>5292</v>
      </c>
      <c r="I1927" s="10">
        <v>45614</v>
      </c>
    </row>
    <row r="1928" spans="1:9" x14ac:dyDescent="0.15">
      <c r="A1928" s="9">
        <v>1927</v>
      </c>
      <c r="B1928" s="9" t="s">
        <v>9</v>
      </c>
      <c r="C1928" s="9">
        <v>1923</v>
      </c>
      <c r="D1928" s="10">
        <v>45701</v>
      </c>
      <c r="E1928" s="13" t="str">
        <f>+HYPERLINK("http://trademark.i-assist.jp/data/china/image_1923th/82037326.pdf","82037326")</f>
        <v>82037326</v>
      </c>
      <c r="F1928" s="9" t="s">
        <v>5293</v>
      </c>
      <c r="G1928" s="9" t="s">
        <v>5294</v>
      </c>
      <c r="H1928" s="11" t="s">
        <v>5295</v>
      </c>
      <c r="I1928" s="10">
        <v>45614</v>
      </c>
    </row>
    <row r="1929" spans="1:9" x14ac:dyDescent="0.15">
      <c r="A1929" s="9">
        <v>1928</v>
      </c>
      <c r="B1929" s="9" t="s">
        <v>9</v>
      </c>
      <c r="C1929" s="9">
        <v>1923</v>
      </c>
      <c r="D1929" s="10">
        <v>45701</v>
      </c>
      <c r="E1929" s="13" t="str">
        <f>+HYPERLINK("http://trademark.i-assist.jp/data/china/image_1923th/82037381.pdf","82037381")</f>
        <v>82037381</v>
      </c>
      <c r="F1929" s="9" t="s">
        <v>5296</v>
      </c>
      <c r="G1929" s="11" t="s">
        <v>5123</v>
      </c>
      <c r="H1929" s="9" t="s">
        <v>5297</v>
      </c>
      <c r="I1929" s="10">
        <v>45614</v>
      </c>
    </row>
    <row r="1930" spans="1:9" x14ac:dyDescent="0.15">
      <c r="A1930" s="9">
        <v>1929</v>
      </c>
      <c r="B1930" s="9" t="s">
        <v>9</v>
      </c>
      <c r="C1930" s="9">
        <v>1923</v>
      </c>
      <c r="D1930" s="10">
        <v>45701</v>
      </c>
      <c r="E1930" s="13" t="str">
        <f>+HYPERLINK("http://trademark.i-assist.jp/data/china/image_1923th/82037446.pdf","82037446")</f>
        <v>82037446</v>
      </c>
      <c r="F1930" s="9" t="s">
        <v>5298</v>
      </c>
      <c r="G1930" s="9" t="s">
        <v>5299</v>
      </c>
      <c r="H1930" s="9" t="s">
        <v>5300</v>
      </c>
      <c r="I1930" s="10">
        <v>45614</v>
      </c>
    </row>
    <row r="1931" spans="1:9" x14ac:dyDescent="0.15">
      <c r="A1931" s="9">
        <v>1930</v>
      </c>
      <c r="B1931" s="9" t="s">
        <v>9</v>
      </c>
      <c r="C1931" s="9">
        <v>1923</v>
      </c>
      <c r="D1931" s="10">
        <v>45701</v>
      </c>
      <c r="E1931" s="13" t="str">
        <f>+HYPERLINK("http://trademark.i-assist.jp/data/china/image_1923th/82038072.pdf","82038072")</f>
        <v>82038072</v>
      </c>
      <c r="F1931" s="9" t="s">
        <v>5301</v>
      </c>
      <c r="G1931" s="9" t="s">
        <v>1752</v>
      </c>
      <c r="H1931" s="9" t="s">
        <v>5302</v>
      </c>
      <c r="I1931" s="10">
        <v>45614</v>
      </c>
    </row>
    <row r="1932" spans="1:9" x14ac:dyDescent="0.15">
      <c r="A1932" s="9">
        <v>1931</v>
      </c>
      <c r="B1932" s="9" t="s">
        <v>9</v>
      </c>
      <c r="C1932" s="9">
        <v>1923</v>
      </c>
      <c r="D1932" s="10">
        <v>45701</v>
      </c>
      <c r="E1932" s="13" t="str">
        <f>+HYPERLINK("http://trademark.i-assist.jp/data/china/image_1923th/82038214.pdf","82038214")</f>
        <v>82038214</v>
      </c>
      <c r="F1932" s="11" t="s">
        <v>126</v>
      </c>
      <c r="G1932" s="9" t="s">
        <v>5303</v>
      </c>
      <c r="H1932" s="9" t="s">
        <v>5304</v>
      </c>
      <c r="I1932" s="10">
        <v>45614</v>
      </c>
    </row>
    <row r="1933" spans="1:9" x14ac:dyDescent="0.15">
      <c r="A1933" s="9">
        <v>1932</v>
      </c>
      <c r="B1933" s="9" t="s">
        <v>9</v>
      </c>
      <c r="C1933" s="9">
        <v>1923</v>
      </c>
      <c r="D1933" s="10">
        <v>45701</v>
      </c>
      <c r="E1933" s="13" t="str">
        <f>+HYPERLINK("http://trademark.i-assist.jp/data/china/image_1923th/82038238.pdf","82038238")</f>
        <v>82038238</v>
      </c>
      <c r="F1933" s="11" t="s">
        <v>5305</v>
      </c>
      <c r="G1933" s="9" t="s">
        <v>5109</v>
      </c>
      <c r="H1933" s="11" t="s">
        <v>5306</v>
      </c>
      <c r="I1933" s="10">
        <v>45614</v>
      </c>
    </row>
    <row r="1934" spans="1:9" x14ac:dyDescent="0.15">
      <c r="A1934" s="9">
        <v>1933</v>
      </c>
      <c r="B1934" s="9" t="s">
        <v>9</v>
      </c>
      <c r="C1934" s="9">
        <v>1923</v>
      </c>
      <c r="D1934" s="10">
        <v>45701</v>
      </c>
      <c r="E1934" s="13" t="str">
        <f>+HYPERLINK("http://trademark.i-assist.jp/data/china/image_1923th/82038432.pdf","82038432")</f>
        <v>82038432</v>
      </c>
      <c r="F1934" s="9" t="s">
        <v>5307</v>
      </c>
      <c r="G1934" s="9" t="s">
        <v>5308</v>
      </c>
      <c r="H1934" s="9" t="s">
        <v>5309</v>
      </c>
      <c r="I1934" s="10">
        <v>45614</v>
      </c>
    </row>
    <row r="1935" spans="1:9" x14ac:dyDescent="0.15">
      <c r="A1935" s="9">
        <v>1934</v>
      </c>
      <c r="B1935" s="9" t="s">
        <v>9</v>
      </c>
      <c r="C1935" s="9">
        <v>1923</v>
      </c>
      <c r="D1935" s="10">
        <v>45701</v>
      </c>
      <c r="E1935" s="13" t="str">
        <f>+HYPERLINK("http://trademark.i-assist.jp/data/china/image_1923th/82038755.pdf","82038755")</f>
        <v>82038755</v>
      </c>
      <c r="F1935" s="9" t="s">
        <v>5310</v>
      </c>
      <c r="G1935" s="9" t="s">
        <v>5135</v>
      </c>
      <c r="H1935" s="11" t="s">
        <v>5311</v>
      </c>
      <c r="I1935" s="10">
        <v>45614</v>
      </c>
    </row>
    <row r="1936" spans="1:9" x14ac:dyDescent="0.15">
      <c r="A1936" s="9">
        <v>1935</v>
      </c>
      <c r="B1936" s="9" t="s">
        <v>9</v>
      </c>
      <c r="C1936" s="9">
        <v>1923</v>
      </c>
      <c r="D1936" s="10">
        <v>45701</v>
      </c>
      <c r="E1936" s="13" t="str">
        <f>+HYPERLINK("http://trademark.i-assist.jp/data/china/image_1923th/82038833.pdf","82038833")</f>
        <v>82038833</v>
      </c>
      <c r="F1936" s="9" t="s">
        <v>5312</v>
      </c>
      <c r="G1936" s="11" t="s">
        <v>5091</v>
      </c>
      <c r="H1936" s="9" t="s">
        <v>5313</v>
      </c>
      <c r="I1936" s="10">
        <v>45614</v>
      </c>
    </row>
    <row r="1937" spans="1:9" x14ac:dyDescent="0.15">
      <c r="A1937" s="9">
        <v>1936</v>
      </c>
      <c r="B1937" s="9" t="s">
        <v>9</v>
      </c>
      <c r="C1937" s="9">
        <v>1923</v>
      </c>
      <c r="D1937" s="10">
        <v>45701</v>
      </c>
      <c r="E1937" s="13" t="str">
        <f>+HYPERLINK("http://trademark.i-assist.jp/data/china/image_1923th/82039200.pdf","82039200")</f>
        <v>82039200</v>
      </c>
      <c r="F1937" s="9" t="s">
        <v>5314</v>
      </c>
      <c r="G1937" s="9" t="s">
        <v>5315</v>
      </c>
      <c r="H1937" s="9" t="s">
        <v>5316</v>
      </c>
      <c r="I1937" s="10">
        <v>45614</v>
      </c>
    </row>
    <row r="1938" spans="1:9" x14ac:dyDescent="0.15">
      <c r="A1938" s="9">
        <v>1937</v>
      </c>
      <c r="B1938" s="9" t="s">
        <v>9</v>
      </c>
      <c r="C1938" s="9">
        <v>1923</v>
      </c>
      <c r="D1938" s="10">
        <v>45701</v>
      </c>
      <c r="E1938" s="13" t="str">
        <f>+HYPERLINK("http://trademark.i-assist.jp/data/china/image_1923th/82039340.pdf","82039340")</f>
        <v>82039340</v>
      </c>
      <c r="F1938" s="9" t="s">
        <v>5317</v>
      </c>
      <c r="G1938" s="9" t="s">
        <v>5318</v>
      </c>
      <c r="H1938" s="9" t="s">
        <v>5319</v>
      </c>
      <c r="I1938" s="10">
        <v>45614</v>
      </c>
    </row>
    <row r="1939" spans="1:9" x14ac:dyDescent="0.15">
      <c r="A1939" s="9">
        <v>1938</v>
      </c>
      <c r="B1939" s="9" t="s">
        <v>9</v>
      </c>
      <c r="C1939" s="9">
        <v>1923</v>
      </c>
      <c r="D1939" s="10">
        <v>45701</v>
      </c>
      <c r="E1939" s="13" t="str">
        <f>+HYPERLINK("http://trademark.i-assist.jp/data/china/image_1923th/82039442.pdf","82039442")</f>
        <v>82039442</v>
      </c>
      <c r="F1939" s="9" t="s">
        <v>5320</v>
      </c>
      <c r="G1939" s="9" t="s">
        <v>5321</v>
      </c>
      <c r="H1939" s="9" t="s">
        <v>5322</v>
      </c>
      <c r="I1939" s="10">
        <v>45614</v>
      </c>
    </row>
    <row r="1940" spans="1:9" x14ac:dyDescent="0.15">
      <c r="A1940" s="9">
        <v>1939</v>
      </c>
      <c r="B1940" s="9" t="s">
        <v>9</v>
      </c>
      <c r="C1940" s="9">
        <v>1923</v>
      </c>
      <c r="D1940" s="10">
        <v>45701</v>
      </c>
      <c r="E1940" s="13" t="str">
        <f>+HYPERLINK("http://trademark.i-assist.jp/data/china/image_1923th/82039460.pdf","82039460")</f>
        <v>82039460</v>
      </c>
      <c r="F1940" s="9" t="s">
        <v>5323</v>
      </c>
      <c r="G1940" s="9" t="s">
        <v>5234</v>
      </c>
      <c r="H1940" s="9" t="s">
        <v>5324</v>
      </c>
      <c r="I1940" s="10">
        <v>45614</v>
      </c>
    </row>
    <row r="1941" spans="1:9" x14ac:dyDescent="0.15">
      <c r="A1941" s="9">
        <v>1940</v>
      </c>
      <c r="B1941" s="9" t="s">
        <v>9</v>
      </c>
      <c r="C1941" s="9">
        <v>1923</v>
      </c>
      <c r="D1941" s="10">
        <v>45701</v>
      </c>
      <c r="E1941" s="13" t="str">
        <f>+HYPERLINK("http://trademark.i-assist.jp/data/china/image_1923th/82039482.pdf","82039482")</f>
        <v>82039482</v>
      </c>
      <c r="F1941" s="9" t="s">
        <v>5325</v>
      </c>
      <c r="G1941" s="9" t="s">
        <v>5326</v>
      </c>
      <c r="H1941" s="9" t="s">
        <v>5327</v>
      </c>
      <c r="I1941" s="10">
        <v>45614</v>
      </c>
    </row>
    <row r="1942" spans="1:9" x14ac:dyDescent="0.15">
      <c r="A1942" s="9">
        <v>1941</v>
      </c>
      <c r="B1942" s="9" t="s">
        <v>9</v>
      </c>
      <c r="C1942" s="9">
        <v>1923</v>
      </c>
      <c r="D1942" s="10">
        <v>45701</v>
      </c>
      <c r="E1942" s="13" t="str">
        <f>+HYPERLINK("http://trademark.i-assist.jp/data/china/image_1923th/82039636.pdf","82039636")</f>
        <v>82039636</v>
      </c>
      <c r="F1942" s="9" t="s">
        <v>5328</v>
      </c>
      <c r="G1942" s="9" t="s">
        <v>5329</v>
      </c>
      <c r="H1942" s="9" t="s">
        <v>5330</v>
      </c>
      <c r="I1942" s="10">
        <v>45614</v>
      </c>
    </row>
    <row r="1943" spans="1:9" x14ac:dyDescent="0.15">
      <c r="A1943" s="9">
        <v>1942</v>
      </c>
      <c r="B1943" s="9" t="s">
        <v>9</v>
      </c>
      <c r="C1943" s="9">
        <v>1923</v>
      </c>
      <c r="D1943" s="10">
        <v>45701</v>
      </c>
      <c r="E1943" s="13" t="str">
        <f>+HYPERLINK("http://trademark.i-assist.jp/data/china/image_1923th/82039675.pdf","82039675")</f>
        <v>82039675</v>
      </c>
      <c r="F1943" s="11" t="s">
        <v>5331</v>
      </c>
      <c r="G1943" s="11" t="s">
        <v>5332</v>
      </c>
      <c r="H1943" s="9" t="s">
        <v>5333</v>
      </c>
      <c r="I1943" s="10">
        <v>45614</v>
      </c>
    </row>
    <row r="1944" spans="1:9" x14ac:dyDescent="0.15">
      <c r="A1944" s="9">
        <v>1943</v>
      </c>
      <c r="B1944" s="9" t="s">
        <v>9</v>
      </c>
      <c r="C1944" s="9">
        <v>1923</v>
      </c>
      <c r="D1944" s="10">
        <v>45701</v>
      </c>
      <c r="E1944" s="13" t="str">
        <f>+HYPERLINK("http://trademark.i-assist.jp/data/china/image_1923th/82039815.pdf","82039815")</f>
        <v>82039815</v>
      </c>
      <c r="F1944" s="9" t="s">
        <v>5334</v>
      </c>
      <c r="G1944" s="11" t="s">
        <v>5335</v>
      </c>
      <c r="H1944" s="9" t="s">
        <v>5336</v>
      </c>
      <c r="I1944" s="10">
        <v>45614</v>
      </c>
    </row>
    <row r="1945" spans="1:9" x14ac:dyDescent="0.15">
      <c r="A1945" s="9">
        <v>1944</v>
      </c>
      <c r="B1945" s="9" t="s">
        <v>9</v>
      </c>
      <c r="C1945" s="9">
        <v>1923</v>
      </c>
      <c r="D1945" s="10">
        <v>45701</v>
      </c>
      <c r="E1945" s="13" t="str">
        <f>+HYPERLINK("http://trademark.i-assist.jp/data/china/image_1923th/82040010.pdf","82040010")</f>
        <v>82040010</v>
      </c>
      <c r="F1945" s="9" t="s">
        <v>5337</v>
      </c>
      <c r="G1945" s="9" t="s">
        <v>5338</v>
      </c>
      <c r="H1945" s="9" t="s">
        <v>5339</v>
      </c>
      <c r="I1945" s="10">
        <v>45614</v>
      </c>
    </row>
    <row r="1946" spans="1:9" x14ac:dyDescent="0.15">
      <c r="A1946" s="9">
        <v>1945</v>
      </c>
      <c r="B1946" s="9" t="s">
        <v>9</v>
      </c>
      <c r="C1946" s="9">
        <v>1923</v>
      </c>
      <c r="D1946" s="10">
        <v>45701</v>
      </c>
      <c r="E1946" s="13" t="str">
        <f>+HYPERLINK("http://trademark.i-assist.jp/data/china/image_1923th/82040218.pdf","82040218")</f>
        <v>82040218</v>
      </c>
      <c r="F1946" s="9" t="s">
        <v>5340</v>
      </c>
      <c r="G1946" s="11" t="s">
        <v>5341</v>
      </c>
      <c r="H1946" s="9" t="s">
        <v>5342</v>
      </c>
      <c r="I1946" s="10">
        <v>45615</v>
      </c>
    </row>
    <row r="1947" spans="1:9" x14ac:dyDescent="0.15">
      <c r="A1947" s="9">
        <v>1946</v>
      </c>
      <c r="B1947" s="9" t="s">
        <v>9</v>
      </c>
      <c r="C1947" s="9">
        <v>1923</v>
      </c>
      <c r="D1947" s="10">
        <v>45701</v>
      </c>
      <c r="E1947" s="13" t="str">
        <f>+HYPERLINK("http://trademark.i-assist.jp/data/china/image_1923th/82040220.pdf","82040220")</f>
        <v>82040220</v>
      </c>
      <c r="F1947" s="9" t="s">
        <v>5343</v>
      </c>
      <c r="G1947" s="11" t="s">
        <v>5341</v>
      </c>
      <c r="H1947" s="9" t="s">
        <v>5344</v>
      </c>
      <c r="I1947" s="10">
        <v>45615</v>
      </c>
    </row>
    <row r="1948" spans="1:9" x14ac:dyDescent="0.15">
      <c r="A1948" s="9">
        <v>1947</v>
      </c>
      <c r="B1948" s="9" t="s">
        <v>9</v>
      </c>
      <c r="C1948" s="9">
        <v>1923</v>
      </c>
      <c r="D1948" s="10">
        <v>45701</v>
      </c>
      <c r="E1948" s="13" t="str">
        <f>+HYPERLINK("http://trademark.i-assist.jp/data/china/image_1923th/82040319.pdf","82040319")</f>
        <v>82040319</v>
      </c>
      <c r="F1948" s="9" t="s">
        <v>5345</v>
      </c>
      <c r="G1948" s="9" t="s">
        <v>5346</v>
      </c>
      <c r="H1948" s="9" t="s">
        <v>5347</v>
      </c>
      <c r="I1948" s="10">
        <v>45615</v>
      </c>
    </row>
    <row r="1949" spans="1:9" x14ac:dyDescent="0.15">
      <c r="A1949" s="9">
        <v>1948</v>
      </c>
      <c r="B1949" s="9" t="s">
        <v>9</v>
      </c>
      <c r="C1949" s="9">
        <v>1923</v>
      </c>
      <c r="D1949" s="10">
        <v>45701</v>
      </c>
      <c r="E1949" s="13" t="str">
        <f>+HYPERLINK("http://trademark.i-assist.jp/data/china/image_1923th/82040400.pdf","82040400")</f>
        <v>82040400</v>
      </c>
      <c r="F1949" s="11" t="s">
        <v>5348</v>
      </c>
      <c r="G1949" s="9" t="s">
        <v>5349</v>
      </c>
      <c r="H1949" s="9" t="s">
        <v>5350</v>
      </c>
      <c r="I1949" s="10">
        <v>45615</v>
      </c>
    </row>
    <row r="1950" spans="1:9" x14ac:dyDescent="0.15">
      <c r="A1950" s="9">
        <v>1949</v>
      </c>
      <c r="B1950" s="9" t="s">
        <v>9</v>
      </c>
      <c r="C1950" s="9">
        <v>1923</v>
      </c>
      <c r="D1950" s="10">
        <v>45701</v>
      </c>
      <c r="E1950" s="13" t="str">
        <f>+HYPERLINK("http://trademark.i-assist.jp/data/china/image_1923th/82040406.pdf","82040406")</f>
        <v>82040406</v>
      </c>
      <c r="F1950" s="9" t="s">
        <v>5351</v>
      </c>
      <c r="G1950" s="9" t="s">
        <v>23</v>
      </c>
      <c r="H1950" s="9" t="s">
        <v>5352</v>
      </c>
      <c r="I1950" s="10">
        <v>45615</v>
      </c>
    </row>
    <row r="1951" spans="1:9" x14ac:dyDescent="0.15">
      <c r="A1951" s="9">
        <v>1950</v>
      </c>
      <c r="B1951" s="9" t="s">
        <v>9</v>
      </c>
      <c r="C1951" s="9">
        <v>1923</v>
      </c>
      <c r="D1951" s="10">
        <v>45701</v>
      </c>
      <c r="E1951" s="13" t="str">
        <f>+HYPERLINK("http://trademark.i-assist.jp/data/china/image_1923th/82040439.pdf","82040439")</f>
        <v>82040439</v>
      </c>
      <c r="F1951" s="9" t="s">
        <v>5353</v>
      </c>
      <c r="G1951" s="9" t="s">
        <v>5354</v>
      </c>
      <c r="H1951" s="9" t="s">
        <v>5355</v>
      </c>
      <c r="I1951" s="10">
        <v>45615</v>
      </c>
    </row>
    <row r="1952" spans="1:9" x14ac:dyDescent="0.15">
      <c r="A1952" s="9">
        <v>1951</v>
      </c>
      <c r="B1952" s="9" t="s">
        <v>9</v>
      </c>
      <c r="C1952" s="9">
        <v>1923</v>
      </c>
      <c r="D1952" s="10">
        <v>45701</v>
      </c>
      <c r="E1952" s="13" t="str">
        <f>+HYPERLINK("http://trademark.i-assist.jp/data/china/image_1923th/82040518.pdf","82040518")</f>
        <v>82040518</v>
      </c>
      <c r="F1952" s="11" t="s">
        <v>5356</v>
      </c>
      <c r="G1952" s="11" t="s">
        <v>5357</v>
      </c>
      <c r="H1952" s="9" t="s">
        <v>5358</v>
      </c>
      <c r="I1952" s="10">
        <v>45615</v>
      </c>
    </row>
    <row r="1953" spans="1:9" x14ac:dyDescent="0.15">
      <c r="A1953" s="9">
        <v>1952</v>
      </c>
      <c r="B1953" s="9" t="s">
        <v>9</v>
      </c>
      <c r="C1953" s="9">
        <v>1923</v>
      </c>
      <c r="D1953" s="10">
        <v>45701</v>
      </c>
      <c r="E1953" s="13" t="str">
        <f>+HYPERLINK("http://trademark.i-assist.jp/data/china/image_1923th/82040605.pdf","82040605")</f>
        <v>82040605</v>
      </c>
      <c r="F1953" s="11" t="s">
        <v>126</v>
      </c>
      <c r="G1953" s="9" t="s">
        <v>5359</v>
      </c>
      <c r="H1953" s="9" t="s">
        <v>5360</v>
      </c>
      <c r="I1953" s="10">
        <v>45615</v>
      </c>
    </row>
    <row r="1954" spans="1:9" x14ac:dyDescent="0.15">
      <c r="A1954" s="9">
        <v>1953</v>
      </c>
      <c r="B1954" s="9" t="s">
        <v>9</v>
      </c>
      <c r="C1954" s="9">
        <v>1923</v>
      </c>
      <c r="D1954" s="10">
        <v>45701</v>
      </c>
      <c r="E1954" s="13" t="str">
        <f>+HYPERLINK("http://trademark.i-assist.jp/data/china/image_1923th/82040676.pdf","82040676")</f>
        <v>82040676</v>
      </c>
      <c r="F1954" s="9" t="s">
        <v>5361</v>
      </c>
      <c r="G1954" s="11" t="s">
        <v>5362</v>
      </c>
      <c r="H1954" s="9" t="s">
        <v>5363</v>
      </c>
      <c r="I1954" s="10">
        <v>45615</v>
      </c>
    </row>
    <row r="1955" spans="1:9" x14ac:dyDescent="0.15">
      <c r="A1955" s="9">
        <v>1954</v>
      </c>
      <c r="B1955" s="9" t="s">
        <v>9</v>
      </c>
      <c r="C1955" s="9">
        <v>1923</v>
      </c>
      <c r="D1955" s="10">
        <v>45701</v>
      </c>
      <c r="E1955" s="13" t="str">
        <f>+HYPERLINK("http://trademark.i-assist.jp/data/china/image_1923th/82040847.pdf","82040847")</f>
        <v>82040847</v>
      </c>
      <c r="F1955" s="9" t="s">
        <v>5364</v>
      </c>
      <c r="G1955" s="9" t="s">
        <v>5365</v>
      </c>
      <c r="H1955" s="9" t="s">
        <v>5366</v>
      </c>
      <c r="I1955" s="10">
        <v>45615</v>
      </c>
    </row>
    <row r="1956" spans="1:9" x14ac:dyDescent="0.15">
      <c r="A1956" s="9">
        <v>1955</v>
      </c>
      <c r="B1956" s="9" t="s">
        <v>9</v>
      </c>
      <c r="C1956" s="9">
        <v>1923</v>
      </c>
      <c r="D1956" s="10">
        <v>45701</v>
      </c>
      <c r="E1956" s="13" t="str">
        <f>+HYPERLINK("http://trademark.i-assist.jp/data/china/image_1923th/82041032.pdf","82041032")</f>
        <v>82041032</v>
      </c>
      <c r="F1956" s="9" t="s">
        <v>5367</v>
      </c>
      <c r="G1956" s="11" t="s">
        <v>5368</v>
      </c>
      <c r="H1956" s="9" t="s">
        <v>5369</v>
      </c>
      <c r="I1956" s="10">
        <v>45615</v>
      </c>
    </row>
    <row r="1957" spans="1:9" x14ac:dyDescent="0.15">
      <c r="A1957" s="9">
        <v>1956</v>
      </c>
      <c r="B1957" s="9" t="s">
        <v>9</v>
      </c>
      <c r="C1957" s="9">
        <v>1923</v>
      </c>
      <c r="D1957" s="10">
        <v>45701</v>
      </c>
      <c r="E1957" s="13" t="str">
        <f>+HYPERLINK("http://trademark.i-assist.jp/data/china/image_1923th/82041226.pdf","82041226")</f>
        <v>82041226</v>
      </c>
      <c r="F1957" s="11" t="s">
        <v>5370</v>
      </c>
      <c r="G1957" s="9" t="s">
        <v>5371</v>
      </c>
      <c r="H1957" s="9" t="s">
        <v>5372</v>
      </c>
      <c r="I1957" s="10">
        <v>45615</v>
      </c>
    </row>
    <row r="1958" spans="1:9" x14ac:dyDescent="0.15">
      <c r="A1958" s="9">
        <v>1957</v>
      </c>
      <c r="B1958" s="9" t="s">
        <v>9</v>
      </c>
      <c r="C1958" s="9">
        <v>1923</v>
      </c>
      <c r="D1958" s="10">
        <v>45701</v>
      </c>
      <c r="E1958" s="13" t="str">
        <f>+HYPERLINK("http://trademark.i-assist.jp/data/china/image_1923th/82041244.pdf","82041244")</f>
        <v>82041244</v>
      </c>
      <c r="F1958" s="9" t="s">
        <v>5373</v>
      </c>
      <c r="G1958" s="9" t="s">
        <v>5374</v>
      </c>
      <c r="H1958" s="9" t="s">
        <v>5375</v>
      </c>
      <c r="I1958" s="10">
        <v>45615</v>
      </c>
    </row>
    <row r="1959" spans="1:9" x14ac:dyDescent="0.15">
      <c r="A1959" s="9">
        <v>1958</v>
      </c>
      <c r="B1959" s="9" t="s">
        <v>9</v>
      </c>
      <c r="C1959" s="9">
        <v>1923</v>
      </c>
      <c r="D1959" s="10">
        <v>45701</v>
      </c>
      <c r="E1959" s="13" t="str">
        <f>+HYPERLINK("http://trademark.i-assist.jp/data/china/image_1923th/82041325.pdf","82041325")</f>
        <v>82041325</v>
      </c>
      <c r="F1959" s="9" t="s">
        <v>5376</v>
      </c>
      <c r="G1959" s="9" t="s">
        <v>5377</v>
      </c>
      <c r="H1959" s="9" t="s">
        <v>5378</v>
      </c>
      <c r="I1959" s="10">
        <v>45615</v>
      </c>
    </row>
    <row r="1960" spans="1:9" x14ac:dyDescent="0.15">
      <c r="A1960" s="9">
        <v>1959</v>
      </c>
      <c r="B1960" s="9" t="s">
        <v>9</v>
      </c>
      <c r="C1960" s="9">
        <v>1923</v>
      </c>
      <c r="D1960" s="10">
        <v>45701</v>
      </c>
      <c r="E1960" s="13" t="str">
        <f>+HYPERLINK("http://trademark.i-assist.jp/data/china/image_1923th/82042208.pdf","82042208")</f>
        <v>82042208</v>
      </c>
      <c r="F1960" s="9" t="s">
        <v>5379</v>
      </c>
      <c r="G1960" s="9" t="s">
        <v>5380</v>
      </c>
      <c r="H1960" s="9" t="s">
        <v>5381</v>
      </c>
      <c r="I1960" s="10">
        <v>45615</v>
      </c>
    </row>
    <row r="1961" spans="1:9" x14ac:dyDescent="0.15">
      <c r="A1961" s="9">
        <v>1960</v>
      </c>
      <c r="B1961" s="9" t="s">
        <v>9</v>
      </c>
      <c r="C1961" s="9">
        <v>1923</v>
      </c>
      <c r="D1961" s="10">
        <v>45701</v>
      </c>
      <c r="E1961" s="13" t="str">
        <f>+HYPERLINK("http://trademark.i-assist.jp/data/china/image_1923th/82042269.pdf","82042269")</f>
        <v>82042269</v>
      </c>
      <c r="F1961" s="9" t="s">
        <v>5382</v>
      </c>
      <c r="G1961" s="9" t="s">
        <v>5383</v>
      </c>
      <c r="H1961" s="9" t="s">
        <v>5384</v>
      </c>
      <c r="I1961" s="10">
        <v>45615</v>
      </c>
    </row>
    <row r="1962" spans="1:9" x14ac:dyDescent="0.15">
      <c r="A1962" s="9">
        <v>1961</v>
      </c>
      <c r="B1962" s="9" t="s">
        <v>9</v>
      </c>
      <c r="C1962" s="9">
        <v>1923</v>
      </c>
      <c r="D1962" s="10">
        <v>45701</v>
      </c>
      <c r="E1962" s="13" t="str">
        <f>+HYPERLINK("http://trademark.i-assist.jp/data/china/image_1923th/82042403.pdf","82042403")</f>
        <v>82042403</v>
      </c>
      <c r="F1962" s="9" t="s">
        <v>5385</v>
      </c>
      <c r="G1962" s="11" t="s">
        <v>5386</v>
      </c>
      <c r="H1962" s="9" t="s">
        <v>5387</v>
      </c>
      <c r="I1962" s="10">
        <v>45615</v>
      </c>
    </row>
    <row r="1963" spans="1:9" x14ac:dyDescent="0.15">
      <c r="A1963" s="9">
        <v>1962</v>
      </c>
      <c r="B1963" s="9" t="s">
        <v>9</v>
      </c>
      <c r="C1963" s="9">
        <v>1923</v>
      </c>
      <c r="D1963" s="10">
        <v>45701</v>
      </c>
      <c r="E1963" s="13" t="str">
        <f>+HYPERLINK("http://trademark.i-assist.jp/data/china/image_1923th/82042615.pdf","82042615")</f>
        <v>82042615</v>
      </c>
      <c r="F1963" s="9" t="s">
        <v>5388</v>
      </c>
      <c r="G1963" s="9" t="s">
        <v>5389</v>
      </c>
      <c r="H1963" s="9" t="s">
        <v>5390</v>
      </c>
      <c r="I1963" s="10">
        <v>45615</v>
      </c>
    </row>
    <row r="1964" spans="1:9" x14ac:dyDescent="0.15">
      <c r="A1964" s="9">
        <v>1963</v>
      </c>
      <c r="B1964" s="9" t="s">
        <v>9</v>
      </c>
      <c r="C1964" s="9">
        <v>1923</v>
      </c>
      <c r="D1964" s="10">
        <v>45701</v>
      </c>
      <c r="E1964" s="13" t="str">
        <f>+HYPERLINK("http://trademark.i-assist.jp/data/china/image_1923th/82042937.pdf","82042937")</f>
        <v>82042937</v>
      </c>
      <c r="F1964" s="9" t="s">
        <v>5391</v>
      </c>
      <c r="G1964" s="9" t="s">
        <v>26</v>
      </c>
      <c r="H1964" s="9" t="s">
        <v>5392</v>
      </c>
      <c r="I1964" s="10">
        <v>45615</v>
      </c>
    </row>
    <row r="1965" spans="1:9" x14ac:dyDescent="0.15">
      <c r="A1965" s="9">
        <v>1964</v>
      </c>
      <c r="B1965" s="9" t="s">
        <v>9</v>
      </c>
      <c r="C1965" s="9">
        <v>1923</v>
      </c>
      <c r="D1965" s="10">
        <v>45701</v>
      </c>
      <c r="E1965" s="13" t="str">
        <f>+HYPERLINK("http://trademark.i-assist.jp/data/china/image_1923th/82043149.pdf","82043149")</f>
        <v>82043149</v>
      </c>
      <c r="F1965" s="9" t="s">
        <v>5393</v>
      </c>
      <c r="G1965" s="9" t="s">
        <v>5394</v>
      </c>
      <c r="H1965" s="9" t="s">
        <v>5395</v>
      </c>
      <c r="I1965" s="10">
        <v>45615</v>
      </c>
    </row>
    <row r="1966" spans="1:9" x14ac:dyDescent="0.15">
      <c r="A1966" s="9">
        <v>1965</v>
      </c>
      <c r="B1966" s="9" t="s">
        <v>9</v>
      </c>
      <c r="C1966" s="9">
        <v>1923</v>
      </c>
      <c r="D1966" s="10">
        <v>45701</v>
      </c>
      <c r="E1966" s="13" t="str">
        <f>+HYPERLINK("http://trademark.i-assist.jp/data/china/image_1923th/82043748.pdf","82043748")</f>
        <v>82043748</v>
      </c>
      <c r="F1966" s="9" t="s">
        <v>5396</v>
      </c>
      <c r="G1966" s="11" t="s">
        <v>5397</v>
      </c>
      <c r="H1966" s="11" t="s">
        <v>5398</v>
      </c>
      <c r="I1966" s="10">
        <v>45615</v>
      </c>
    </row>
    <row r="1967" spans="1:9" x14ac:dyDescent="0.15">
      <c r="A1967" s="9">
        <v>1966</v>
      </c>
      <c r="B1967" s="9" t="s">
        <v>9</v>
      </c>
      <c r="C1967" s="9">
        <v>1923</v>
      </c>
      <c r="D1967" s="10">
        <v>45701</v>
      </c>
      <c r="E1967" s="13" t="str">
        <f>+HYPERLINK("http://trademark.i-assist.jp/data/china/image_1923th/82043859.pdf","82043859")</f>
        <v>82043859</v>
      </c>
      <c r="F1967" s="9" t="s">
        <v>5399</v>
      </c>
      <c r="G1967" s="9" t="s">
        <v>5400</v>
      </c>
      <c r="H1967" s="9" t="s">
        <v>5401</v>
      </c>
      <c r="I1967" s="10">
        <v>45615</v>
      </c>
    </row>
    <row r="1968" spans="1:9" x14ac:dyDescent="0.15">
      <c r="A1968" s="9">
        <v>1967</v>
      </c>
      <c r="B1968" s="9" t="s">
        <v>9</v>
      </c>
      <c r="C1968" s="9">
        <v>1923</v>
      </c>
      <c r="D1968" s="10">
        <v>45701</v>
      </c>
      <c r="E1968" s="13" t="str">
        <f>+HYPERLINK("http://trademark.i-assist.jp/data/china/image_1923th/82044163.pdf","82044163")</f>
        <v>82044163</v>
      </c>
      <c r="F1968" s="9" t="s">
        <v>5402</v>
      </c>
      <c r="G1968" s="9" t="s">
        <v>4325</v>
      </c>
      <c r="H1968" s="9" t="s">
        <v>5403</v>
      </c>
      <c r="I1968" s="10">
        <v>45615</v>
      </c>
    </row>
    <row r="1969" spans="1:9" x14ac:dyDescent="0.15">
      <c r="A1969" s="9">
        <v>1968</v>
      </c>
      <c r="B1969" s="9" t="s">
        <v>9</v>
      </c>
      <c r="C1969" s="9">
        <v>1923</v>
      </c>
      <c r="D1969" s="10">
        <v>45701</v>
      </c>
      <c r="E1969" s="13" t="str">
        <f>+HYPERLINK("http://trademark.i-assist.jp/data/china/image_1923th/82044362.pdf","82044362")</f>
        <v>82044362</v>
      </c>
      <c r="F1969" s="9" t="s">
        <v>5404</v>
      </c>
      <c r="G1969" s="9" t="s">
        <v>5349</v>
      </c>
      <c r="H1969" s="9" t="s">
        <v>5405</v>
      </c>
      <c r="I1969" s="10">
        <v>45615</v>
      </c>
    </row>
    <row r="1970" spans="1:9" x14ac:dyDescent="0.15">
      <c r="A1970" s="9">
        <v>1969</v>
      </c>
      <c r="B1970" s="9" t="s">
        <v>9</v>
      </c>
      <c r="C1970" s="9">
        <v>1923</v>
      </c>
      <c r="D1970" s="10">
        <v>45701</v>
      </c>
      <c r="E1970" s="13" t="str">
        <f>+HYPERLINK("http://trademark.i-assist.jp/data/china/image_1923th/82044426.pdf","82044426")</f>
        <v>82044426</v>
      </c>
      <c r="F1970" s="9" t="s">
        <v>5406</v>
      </c>
      <c r="G1970" s="9" t="s">
        <v>5407</v>
      </c>
      <c r="H1970" s="11" t="s">
        <v>5408</v>
      </c>
      <c r="I1970" s="10">
        <v>45615</v>
      </c>
    </row>
    <row r="1971" spans="1:9" x14ac:dyDescent="0.15">
      <c r="A1971" s="9">
        <v>1970</v>
      </c>
      <c r="B1971" s="9" t="s">
        <v>9</v>
      </c>
      <c r="C1971" s="9">
        <v>1923</v>
      </c>
      <c r="D1971" s="10">
        <v>45701</v>
      </c>
      <c r="E1971" s="13" t="str">
        <f>+HYPERLINK("http://trademark.i-assist.jp/data/china/image_1923th/82044737.pdf","82044737")</f>
        <v>82044737</v>
      </c>
      <c r="F1971" s="9" t="s">
        <v>5409</v>
      </c>
      <c r="G1971" s="9" t="s">
        <v>5410</v>
      </c>
      <c r="H1971" s="9" t="s">
        <v>5411</v>
      </c>
      <c r="I1971" s="10">
        <v>45615</v>
      </c>
    </row>
    <row r="1972" spans="1:9" x14ac:dyDescent="0.15">
      <c r="A1972" s="9">
        <v>1971</v>
      </c>
      <c r="B1972" s="9" t="s">
        <v>9</v>
      </c>
      <c r="C1972" s="9">
        <v>1923</v>
      </c>
      <c r="D1972" s="10">
        <v>45701</v>
      </c>
      <c r="E1972" s="13" t="str">
        <f>+HYPERLINK("http://trademark.i-assist.jp/data/china/image_1923th/82044933.pdf","82044933")</f>
        <v>82044933</v>
      </c>
      <c r="F1972" s="11" t="s">
        <v>126</v>
      </c>
      <c r="G1972" s="9" t="s">
        <v>5412</v>
      </c>
      <c r="H1972" s="11" t="s">
        <v>5413</v>
      </c>
      <c r="I1972" s="10">
        <v>45615</v>
      </c>
    </row>
    <row r="1973" spans="1:9" x14ac:dyDescent="0.15">
      <c r="A1973" s="9">
        <v>1972</v>
      </c>
      <c r="B1973" s="9" t="s">
        <v>9</v>
      </c>
      <c r="C1973" s="9">
        <v>1923</v>
      </c>
      <c r="D1973" s="10">
        <v>45701</v>
      </c>
      <c r="E1973" s="13" t="str">
        <f>+HYPERLINK("http://trademark.i-assist.jp/data/china/image_1923th/82045153.pdf","82045153")</f>
        <v>82045153</v>
      </c>
      <c r="F1973" s="9" t="s">
        <v>5414</v>
      </c>
      <c r="G1973" s="11" t="s">
        <v>5415</v>
      </c>
      <c r="H1973" s="9" t="s">
        <v>5416</v>
      </c>
      <c r="I1973" s="10">
        <v>45615</v>
      </c>
    </row>
    <row r="1974" spans="1:9" x14ac:dyDescent="0.15">
      <c r="A1974" s="9">
        <v>1973</v>
      </c>
      <c r="B1974" s="9" t="s">
        <v>9</v>
      </c>
      <c r="C1974" s="9">
        <v>1923</v>
      </c>
      <c r="D1974" s="10">
        <v>45701</v>
      </c>
      <c r="E1974" s="13" t="str">
        <f>+HYPERLINK("http://trademark.i-assist.jp/data/china/image_1923th/82045233.pdf","82045233")</f>
        <v>82045233</v>
      </c>
      <c r="F1974" s="11" t="s">
        <v>5417</v>
      </c>
      <c r="G1974" s="9" t="s">
        <v>5418</v>
      </c>
      <c r="H1974" s="9" t="s">
        <v>5419</v>
      </c>
      <c r="I1974" s="10">
        <v>45615</v>
      </c>
    </row>
    <row r="1975" spans="1:9" x14ac:dyDescent="0.15">
      <c r="A1975" s="9">
        <v>1974</v>
      </c>
      <c r="B1975" s="9" t="s">
        <v>9</v>
      </c>
      <c r="C1975" s="9">
        <v>1923</v>
      </c>
      <c r="D1975" s="10">
        <v>45701</v>
      </c>
      <c r="E1975" s="13" t="str">
        <f>+HYPERLINK("http://trademark.i-assist.jp/data/china/image_1923th/82045323.pdf","82045323")</f>
        <v>82045323</v>
      </c>
      <c r="F1975" s="9" t="s">
        <v>5420</v>
      </c>
      <c r="G1975" s="9" t="s">
        <v>5421</v>
      </c>
      <c r="H1975" s="9" t="s">
        <v>5422</v>
      </c>
      <c r="I1975" s="10">
        <v>45615</v>
      </c>
    </row>
    <row r="1976" spans="1:9" x14ac:dyDescent="0.15">
      <c r="A1976" s="9">
        <v>1975</v>
      </c>
      <c r="B1976" s="9" t="s">
        <v>9</v>
      </c>
      <c r="C1976" s="9">
        <v>1923</v>
      </c>
      <c r="D1976" s="10">
        <v>45701</v>
      </c>
      <c r="E1976" s="13" t="str">
        <f>+HYPERLINK("http://trademark.i-assist.jp/data/china/image_1923th/82045375.pdf","82045375")</f>
        <v>82045375</v>
      </c>
      <c r="F1976" s="9" t="s">
        <v>5423</v>
      </c>
      <c r="G1976" s="9" t="s">
        <v>5424</v>
      </c>
      <c r="H1976" s="9" t="s">
        <v>5425</v>
      </c>
      <c r="I1976" s="10">
        <v>45615</v>
      </c>
    </row>
    <row r="1977" spans="1:9" x14ac:dyDescent="0.15">
      <c r="A1977" s="9">
        <v>1976</v>
      </c>
      <c r="B1977" s="9" t="s">
        <v>9</v>
      </c>
      <c r="C1977" s="9">
        <v>1923</v>
      </c>
      <c r="D1977" s="10">
        <v>45701</v>
      </c>
      <c r="E1977" s="13" t="str">
        <f>+HYPERLINK("http://trademark.i-assist.jp/data/china/image_1923th/82045455.pdf","82045455")</f>
        <v>82045455</v>
      </c>
      <c r="F1977" s="9" t="s">
        <v>5426</v>
      </c>
      <c r="G1977" s="9" t="s">
        <v>5389</v>
      </c>
      <c r="H1977" s="9" t="s">
        <v>5427</v>
      </c>
      <c r="I1977" s="10">
        <v>45615</v>
      </c>
    </row>
    <row r="1978" spans="1:9" x14ac:dyDescent="0.15">
      <c r="A1978" s="9">
        <v>1977</v>
      </c>
      <c r="B1978" s="9" t="s">
        <v>9</v>
      </c>
      <c r="C1978" s="9">
        <v>1923</v>
      </c>
      <c r="D1978" s="10">
        <v>45701</v>
      </c>
      <c r="E1978" s="13" t="str">
        <f>+HYPERLINK("http://trademark.i-assist.jp/data/china/image_1923th/82045563.pdf","82045563")</f>
        <v>82045563</v>
      </c>
      <c r="F1978" s="9" t="s">
        <v>5428</v>
      </c>
      <c r="G1978" s="9" t="s">
        <v>5429</v>
      </c>
      <c r="H1978" s="9" t="s">
        <v>5430</v>
      </c>
      <c r="I1978" s="10">
        <v>45615</v>
      </c>
    </row>
    <row r="1979" spans="1:9" x14ac:dyDescent="0.15">
      <c r="A1979" s="9">
        <v>1978</v>
      </c>
      <c r="B1979" s="9" t="s">
        <v>9</v>
      </c>
      <c r="C1979" s="9">
        <v>1923</v>
      </c>
      <c r="D1979" s="10">
        <v>45701</v>
      </c>
      <c r="E1979" s="13" t="str">
        <f>+HYPERLINK("http://trademark.i-assist.jp/data/china/image_1923th/82045627.pdf","82045627")</f>
        <v>82045627</v>
      </c>
      <c r="F1979" s="9" t="s">
        <v>5431</v>
      </c>
      <c r="G1979" s="9" t="s">
        <v>5432</v>
      </c>
      <c r="H1979" s="9" t="s">
        <v>5433</v>
      </c>
      <c r="I1979" s="10">
        <v>45615</v>
      </c>
    </row>
    <row r="1980" spans="1:9" x14ac:dyDescent="0.15">
      <c r="A1980" s="9">
        <v>1979</v>
      </c>
      <c r="B1980" s="9" t="s">
        <v>9</v>
      </c>
      <c r="C1980" s="9">
        <v>1923</v>
      </c>
      <c r="D1980" s="10">
        <v>45701</v>
      </c>
      <c r="E1980" s="13" t="str">
        <f>+HYPERLINK("http://trademark.i-assist.jp/data/china/image_1923th/82045713.pdf","82045713")</f>
        <v>82045713</v>
      </c>
      <c r="F1980" s="9" t="s">
        <v>5434</v>
      </c>
      <c r="G1980" s="9" t="s">
        <v>5435</v>
      </c>
      <c r="H1980" s="9" t="s">
        <v>5436</v>
      </c>
      <c r="I1980" s="10">
        <v>45615</v>
      </c>
    </row>
    <row r="1981" spans="1:9" x14ac:dyDescent="0.15">
      <c r="A1981" s="9">
        <v>1980</v>
      </c>
      <c r="B1981" s="9" t="s">
        <v>9</v>
      </c>
      <c r="C1981" s="9">
        <v>1923</v>
      </c>
      <c r="D1981" s="10">
        <v>45701</v>
      </c>
      <c r="E1981" s="13" t="str">
        <f>+HYPERLINK("http://trademark.i-assist.jp/data/china/image_1923th/82045721.pdf","82045721")</f>
        <v>82045721</v>
      </c>
      <c r="F1981" s="9" t="s">
        <v>5437</v>
      </c>
      <c r="G1981" s="11" t="s">
        <v>5438</v>
      </c>
      <c r="H1981" s="9" t="s">
        <v>5439</v>
      </c>
      <c r="I1981" s="10">
        <v>45615</v>
      </c>
    </row>
    <row r="1982" spans="1:9" x14ac:dyDescent="0.15">
      <c r="A1982" s="9">
        <v>1981</v>
      </c>
      <c r="B1982" s="9" t="s">
        <v>9</v>
      </c>
      <c r="C1982" s="9">
        <v>1923</v>
      </c>
      <c r="D1982" s="10">
        <v>45701</v>
      </c>
      <c r="E1982" s="13" t="str">
        <f>+HYPERLINK("http://trademark.i-assist.jp/data/china/image_1923th/82045895.pdf","82045895")</f>
        <v>82045895</v>
      </c>
      <c r="F1982" s="9" t="s">
        <v>5440</v>
      </c>
      <c r="G1982" s="11" t="s">
        <v>5441</v>
      </c>
      <c r="H1982" s="9" t="s">
        <v>5442</v>
      </c>
      <c r="I1982" s="10">
        <v>45615</v>
      </c>
    </row>
    <row r="1983" spans="1:9" x14ac:dyDescent="0.15">
      <c r="A1983" s="9">
        <v>1982</v>
      </c>
      <c r="B1983" s="9" t="s">
        <v>9</v>
      </c>
      <c r="C1983" s="9">
        <v>1923</v>
      </c>
      <c r="D1983" s="10">
        <v>45701</v>
      </c>
      <c r="E1983" s="13" t="str">
        <f>+HYPERLINK("http://trademark.i-assist.jp/data/china/image_1923th/82046049.pdf","82046049")</f>
        <v>82046049</v>
      </c>
      <c r="F1983" s="11" t="s">
        <v>126</v>
      </c>
      <c r="G1983" s="9" t="s">
        <v>5443</v>
      </c>
      <c r="H1983" s="9" t="s">
        <v>5444</v>
      </c>
      <c r="I1983" s="10">
        <v>45615</v>
      </c>
    </row>
    <row r="1984" spans="1:9" x14ac:dyDescent="0.15">
      <c r="A1984" s="9">
        <v>1983</v>
      </c>
      <c r="B1984" s="9" t="s">
        <v>9</v>
      </c>
      <c r="C1984" s="9">
        <v>1923</v>
      </c>
      <c r="D1984" s="10">
        <v>45701</v>
      </c>
      <c r="E1984" s="13" t="str">
        <f>+HYPERLINK("http://trademark.i-assist.jp/data/china/image_1923th/82046709.pdf","82046709")</f>
        <v>82046709</v>
      </c>
      <c r="F1984" s="11" t="s">
        <v>5445</v>
      </c>
      <c r="G1984" s="11" t="s">
        <v>5446</v>
      </c>
      <c r="H1984" s="9" t="s">
        <v>5447</v>
      </c>
      <c r="I1984" s="10">
        <v>45615</v>
      </c>
    </row>
    <row r="1985" spans="1:9" x14ac:dyDescent="0.15">
      <c r="A1985" s="9">
        <v>1984</v>
      </c>
      <c r="B1985" s="9" t="s">
        <v>9</v>
      </c>
      <c r="C1985" s="9">
        <v>1923</v>
      </c>
      <c r="D1985" s="10">
        <v>45701</v>
      </c>
      <c r="E1985" s="13" t="str">
        <f>+HYPERLINK("http://trademark.i-assist.jp/data/china/image_1923th/82046813.pdf","82046813")</f>
        <v>82046813</v>
      </c>
      <c r="F1985" s="9" t="s">
        <v>5448</v>
      </c>
      <c r="G1985" s="11" t="s">
        <v>4042</v>
      </c>
      <c r="H1985" s="9" t="s">
        <v>4008</v>
      </c>
      <c r="I1985" s="10">
        <v>45615</v>
      </c>
    </row>
    <row r="1986" spans="1:9" x14ac:dyDescent="0.15">
      <c r="A1986" s="9">
        <v>1985</v>
      </c>
      <c r="B1986" s="9" t="s">
        <v>9</v>
      </c>
      <c r="C1986" s="9">
        <v>1923</v>
      </c>
      <c r="D1986" s="10">
        <v>45701</v>
      </c>
      <c r="E1986" s="13" t="str">
        <f>+HYPERLINK("http://trademark.i-assist.jp/data/china/image_1923th/82046840.pdf","82046840")</f>
        <v>82046840</v>
      </c>
      <c r="F1986" s="9" t="s">
        <v>5449</v>
      </c>
      <c r="G1986" s="9" t="s">
        <v>5450</v>
      </c>
      <c r="H1986" s="9" t="s">
        <v>5451</v>
      </c>
      <c r="I1986" s="10">
        <v>45615</v>
      </c>
    </row>
    <row r="1987" spans="1:9" x14ac:dyDescent="0.15">
      <c r="A1987" s="9">
        <v>1986</v>
      </c>
      <c r="B1987" s="9" t="s">
        <v>9</v>
      </c>
      <c r="C1987" s="9">
        <v>1923</v>
      </c>
      <c r="D1987" s="10">
        <v>45701</v>
      </c>
      <c r="E1987" s="13" t="str">
        <f>+HYPERLINK("http://trademark.i-assist.jp/data/china/image_1923th/82046910.pdf","82046910")</f>
        <v>82046910</v>
      </c>
      <c r="F1987" s="11" t="s">
        <v>126</v>
      </c>
      <c r="G1987" s="9" t="s">
        <v>5452</v>
      </c>
      <c r="H1987" s="9" t="s">
        <v>5453</v>
      </c>
      <c r="I1987" s="10">
        <v>45615</v>
      </c>
    </row>
    <row r="1988" spans="1:9" x14ac:dyDescent="0.15">
      <c r="A1988" s="9">
        <v>1987</v>
      </c>
      <c r="B1988" s="9" t="s">
        <v>9</v>
      </c>
      <c r="C1988" s="9">
        <v>1923</v>
      </c>
      <c r="D1988" s="10">
        <v>45701</v>
      </c>
      <c r="E1988" s="13" t="str">
        <f>+HYPERLINK("http://trademark.i-assist.jp/data/china/image_1923th/82047145.pdf","82047145")</f>
        <v>82047145</v>
      </c>
      <c r="F1988" s="11" t="s">
        <v>5454</v>
      </c>
      <c r="G1988" s="11" t="s">
        <v>5455</v>
      </c>
      <c r="H1988" s="9" t="s">
        <v>5456</v>
      </c>
      <c r="I1988" s="10">
        <v>45615</v>
      </c>
    </row>
    <row r="1989" spans="1:9" x14ac:dyDescent="0.15">
      <c r="A1989" s="9">
        <v>1988</v>
      </c>
      <c r="B1989" s="9" t="s">
        <v>9</v>
      </c>
      <c r="C1989" s="9">
        <v>1923</v>
      </c>
      <c r="D1989" s="10">
        <v>45701</v>
      </c>
      <c r="E1989" s="13" t="str">
        <f>+HYPERLINK("http://trademark.i-assist.jp/data/china/image_1923th/82047505.pdf","82047505")</f>
        <v>82047505</v>
      </c>
      <c r="F1989" s="9" t="s">
        <v>5457</v>
      </c>
      <c r="G1989" s="9" t="s">
        <v>4015</v>
      </c>
      <c r="H1989" s="9" t="s">
        <v>5458</v>
      </c>
      <c r="I1989" s="10">
        <v>45615</v>
      </c>
    </row>
    <row r="1990" spans="1:9" x14ac:dyDescent="0.15">
      <c r="A1990" s="9">
        <v>1989</v>
      </c>
      <c r="B1990" s="9" t="s">
        <v>9</v>
      </c>
      <c r="C1990" s="9">
        <v>1923</v>
      </c>
      <c r="D1990" s="10">
        <v>45701</v>
      </c>
      <c r="E1990" s="13" t="str">
        <f>+HYPERLINK("http://trademark.i-assist.jp/data/china/image_1923th/82047648.pdf","82047648")</f>
        <v>82047648</v>
      </c>
      <c r="F1990" s="9" t="s">
        <v>5459</v>
      </c>
      <c r="G1990" s="9" t="s">
        <v>5460</v>
      </c>
      <c r="H1990" s="9" t="s">
        <v>5461</v>
      </c>
      <c r="I1990" s="10">
        <v>45615</v>
      </c>
    </row>
    <row r="1991" spans="1:9" x14ac:dyDescent="0.15">
      <c r="A1991" s="9">
        <v>1990</v>
      </c>
      <c r="B1991" s="9" t="s">
        <v>9</v>
      </c>
      <c r="C1991" s="9">
        <v>1923</v>
      </c>
      <c r="D1991" s="10">
        <v>45701</v>
      </c>
      <c r="E1991" s="13" t="str">
        <f>+HYPERLINK("http://trademark.i-assist.jp/data/china/image_1923th/82047670.pdf","82047670")</f>
        <v>82047670</v>
      </c>
      <c r="F1991" s="9" t="s">
        <v>5462</v>
      </c>
      <c r="G1991" s="9" t="s">
        <v>5463</v>
      </c>
      <c r="H1991" s="9" t="s">
        <v>5464</v>
      </c>
      <c r="I1991" s="10">
        <v>45615</v>
      </c>
    </row>
    <row r="1992" spans="1:9" x14ac:dyDescent="0.15">
      <c r="A1992" s="9">
        <v>1991</v>
      </c>
      <c r="B1992" s="9" t="s">
        <v>9</v>
      </c>
      <c r="C1992" s="9">
        <v>1923</v>
      </c>
      <c r="D1992" s="10">
        <v>45701</v>
      </c>
      <c r="E1992" s="13" t="str">
        <f>+HYPERLINK("http://trademark.i-assist.jp/data/china/image_1923th/82048784.pdf","82048784")</f>
        <v>82048784</v>
      </c>
      <c r="F1992" s="9" t="s">
        <v>5465</v>
      </c>
      <c r="G1992" s="9" t="s">
        <v>5466</v>
      </c>
      <c r="H1992" s="9" t="s">
        <v>5467</v>
      </c>
      <c r="I1992" s="10">
        <v>45615</v>
      </c>
    </row>
    <row r="1993" spans="1:9" x14ac:dyDescent="0.15">
      <c r="A1993" s="9">
        <v>1992</v>
      </c>
      <c r="B1993" s="9" t="s">
        <v>9</v>
      </c>
      <c r="C1993" s="9">
        <v>1923</v>
      </c>
      <c r="D1993" s="10">
        <v>45701</v>
      </c>
      <c r="E1993" s="13" t="str">
        <f>+HYPERLINK("http://trademark.i-assist.jp/data/china/image_1923th/82048923.pdf","82048923")</f>
        <v>82048923</v>
      </c>
      <c r="F1993" s="11" t="s">
        <v>5468</v>
      </c>
      <c r="G1993" s="9" t="s">
        <v>5469</v>
      </c>
      <c r="H1993" s="9" t="s">
        <v>5470</v>
      </c>
      <c r="I1993" s="10">
        <v>45615</v>
      </c>
    </row>
    <row r="1994" spans="1:9" x14ac:dyDescent="0.15">
      <c r="A1994" s="9">
        <v>1993</v>
      </c>
      <c r="B1994" s="9" t="s">
        <v>9</v>
      </c>
      <c r="C1994" s="9">
        <v>1923</v>
      </c>
      <c r="D1994" s="10">
        <v>45701</v>
      </c>
      <c r="E1994" s="13" t="str">
        <f>+HYPERLINK("http://trademark.i-assist.jp/data/china/image_1923th/82048952.pdf","82048952")</f>
        <v>82048952</v>
      </c>
      <c r="F1994" s="9" t="s">
        <v>5471</v>
      </c>
      <c r="G1994" s="11" t="s">
        <v>5472</v>
      </c>
      <c r="H1994" s="9" t="s">
        <v>5473</v>
      </c>
      <c r="I1994" s="10">
        <v>45615</v>
      </c>
    </row>
    <row r="1995" spans="1:9" x14ac:dyDescent="0.15">
      <c r="A1995" s="9">
        <v>1994</v>
      </c>
      <c r="B1995" s="9" t="s">
        <v>9</v>
      </c>
      <c r="C1995" s="9">
        <v>1923</v>
      </c>
      <c r="D1995" s="10">
        <v>45701</v>
      </c>
      <c r="E1995" s="13" t="str">
        <f>+HYPERLINK("http://trademark.i-assist.jp/data/china/image_1923th/82049823.pdf","82049823")</f>
        <v>82049823</v>
      </c>
      <c r="F1995" s="9" t="s">
        <v>5474</v>
      </c>
      <c r="G1995" s="11" t="s">
        <v>5475</v>
      </c>
      <c r="H1995" s="9" t="s">
        <v>5476</v>
      </c>
      <c r="I1995" s="10">
        <v>45615</v>
      </c>
    </row>
    <row r="1996" spans="1:9" x14ac:dyDescent="0.15">
      <c r="A1996" s="9">
        <v>1995</v>
      </c>
      <c r="B1996" s="9" t="s">
        <v>9</v>
      </c>
      <c r="C1996" s="9">
        <v>1923</v>
      </c>
      <c r="D1996" s="10">
        <v>45701</v>
      </c>
      <c r="E1996" s="13" t="str">
        <f>+HYPERLINK("http://trademark.i-assist.jp/data/china/image_1923th/82050235.pdf","82050235")</f>
        <v>82050235</v>
      </c>
      <c r="F1996" s="11" t="s">
        <v>5477</v>
      </c>
      <c r="G1996" s="9" t="s">
        <v>5478</v>
      </c>
      <c r="H1996" s="9" t="s">
        <v>5479</v>
      </c>
      <c r="I1996" s="10">
        <v>45615</v>
      </c>
    </row>
    <row r="1997" spans="1:9" x14ac:dyDescent="0.15">
      <c r="A1997" s="9">
        <v>1996</v>
      </c>
      <c r="B1997" s="9" t="s">
        <v>9</v>
      </c>
      <c r="C1997" s="9">
        <v>1923</v>
      </c>
      <c r="D1997" s="10">
        <v>45701</v>
      </c>
      <c r="E1997" s="13" t="str">
        <f>+HYPERLINK("http://trademark.i-assist.jp/data/china/image_1923th/82050513.pdf","82050513")</f>
        <v>82050513</v>
      </c>
      <c r="F1997" s="11" t="s">
        <v>5480</v>
      </c>
      <c r="G1997" s="11" t="s">
        <v>5472</v>
      </c>
      <c r="H1997" s="11" t="s">
        <v>5481</v>
      </c>
      <c r="I1997" s="10">
        <v>45615</v>
      </c>
    </row>
    <row r="1998" spans="1:9" x14ac:dyDescent="0.15">
      <c r="A1998" s="9">
        <v>1997</v>
      </c>
      <c r="B1998" s="9" t="s">
        <v>9</v>
      </c>
      <c r="C1998" s="9">
        <v>1923</v>
      </c>
      <c r="D1998" s="10">
        <v>45701</v>
      </c>
      <c r="E1998" s="13" t="str">
        <f>+HYPERLINK("http://trademark.i-assist.jp/data/china/image_1923th/82050564.pdf","82050564")</f>
        <v>82050564</v>
      </c>
      <c r="F1998" s="9" t="s">
        <v>5482</v>
      </c>
      <c r="G1998" s="9" t="s">
        <v>5483</v>
      </c>
      <c r="H1998" s="9" t="s">
        <v>5484</v>
      </c>
      <c r="I1998" s="10">
        <v>45615</v>
      </c>
    </row>
    <row r="1999" spans="1:9" x14ac:dyDescent="0.15">
      <c r="A1999" s="9">
        <v>1998</v>
      </c>
      <c r="B1999" s="9" t="s">
        <v>9</v>
      </c>
      <c r="C1999" s="9">
        <v>1923</v>
      </c>
      <c r="D1999" s="10">
        <v>45701</v>
      </c>
      <c r="E1999" s="13" t="str">
        <f>+HYPERLINK("http://trademark.i-assist.jp/data/china/image_1923th/82050649.pdf","82050649")</f>
        <v>82050649</v>
      </c>
      <c r="F1999" s="9" t="s">
        <v>5485</v>
      </c>
      <c r="G1999" s="9" t="s">
        <v>5486</v>
      </c>
      <c r="H1999" s="9" t="s">
        <v>5487</v>
      </c>
      <c r="I1999" s="10">
        <v>45615</v>
      </c>
    </row>
    <row r="2000" spans="1:9" x14ac:dyDescent="0.15">
      <c r="A2000" s="9">
        <v>1999</v>
      </c>
      <c r="B2000" s="9" t="s">
        <v>9</v>
      </c>
      <c r="C2000" s="9">
        <v>1923</v>
      </c>
      <c r="D2000" s="10">
        <v>45701</v>
      </c>
      <c r="E2000" s="13" t="str">
        <f>+HYPERLINK("http://trademark.i-assist.jp/data/china/image_1923th/82050670.pdf","82050670")</f>
        <v>82050670</v>
      </c>
      <c r="F2000" s="9" t="s">
        <v>5488</v>
      </c>
      <c r="G2000" s="9" t="s">
        <v>5489</v>
      </c>
      <c r="H2000" s="9" t="s">
        <v>5490</v>
      </c>
      <c r="I2000" s="10">
        <v>45615</v>
      </c>
    </row>
    <row r="2001" spans="1:9" x14ac:dyDescent="0.15">
      <c r="A2001" s="9">
        <v>2000</v>
      </c>
      <c r="B2001" s="9" t="s">
        <v>9</v>
      </c>
      <c r="C2001" s="9">
        <v>1923</v>
      </c>
      <c r="D2001" s="10">
        <v>45701</v>
      </c>
      <c r="E2001" s="13" t="str">
        <f>+HYPERLINK("http://trademark.i-assist.jp/data/china/image_1923th/82050885.pdf","82050885")</f>
        <v>82050885</v>
      </c>
      <c r="F2001" s="11" t="s">
        <v>5417</v>
      </c>
      <c r="G2001" s="9" t="s">
        <v>5418</v>
      </c>
      <c r="H2001" s="9" t="s">
        <v>5491</v>
      </c>
      <c r="I2001" s="10">
        <v>45615</v>
      </c>
    </row>
    <row r="2002" spans="1:9" x14ac:dyDescent="0.15">
      <c r="A2002" s="9">
        <v>2001</v>
      </c>
      <c r="B2002" s="9" t="s">
        <v>9</v>
      </c>
      <c r="C2002" s="9">
        <v>1923</v>
      </c>
      <c r="D2002" s="10">
        <v>45701</v>
      </c>
      <c r="E2002" s="13" t="str">
        <f>+HYPERLINK("http://trademark.i-assist.jp/data/china/image_1923th/82051360.pdf","82051360")</f>
        <v>82051360</v>
      </c>
      <c r="F2002" s="9" t="s">
        <v>5492</v>
      </c>
      <c r="G2002" s="9" t="s">
        <v>5493</v>
      </c>
      <c r="H2002" s="9" t="s">
        <v>5494</v>
      </c>
      <c r="I2002" s="10">
        <v>45615</v>
      </c>
    </row>
    <row r="2003" spans="1:9" x14ac:dyDescent="0.15">
      <c r="A2003" s="9">
        <v>2002</v>
      </c>
      <c r="B2003" s="9" t="s">
        <v>9</v>
      </c>
      <c r="C2003" s="9">
        <v>1923</v>
      </c>
      <c r="D2003" s="10">
        <v>45701</v>
      </c>
      <c r="E2003" s="13" t="str">
        <f>+HYPERLINK("http://trademark.i-assist.jp/data/china/image_1923th/82051365.pdf","82051365")</f>
        <v>82051365</v>
      </c>
      <c r="F2003" s="9" t="s">
        <v>5495</v>
      </c>
      <c r="G2003" s="11" t="s">
        <v>5496</v>
      </c>
      <c r="H2003" s="9" t="s">
        <v>5497</v>
      </c>
      <c r="I2003" s="10">
        <v>45615</v>
      </c>
    </row>
    <row r="2004" spans="1:9" x14ac:dyDescent="0.15">
      <c r="A2004" s="9">
        <v>2003</v>
      </c>
      <c r="B2004" s="9" t="s">
        <v>9</v>
      </c>
      <c r="C2004" s="9">
        <v>1923</v>
      </c>
      <c r="D2004" s="10">
        <v>45701</v>
      </c>
      <c r="E2004" s="13" t="str">
        <f>+HYPERLINK("http://trademark.i-assist.jp/data/china/image_1923th/82051561.pdf","82051561")</f>
        <v>82051561</v>
      </c>
      <c r="F2004" s="9" t="s">
        <v>5498</v>
      </c>
      <c r="G2004" s="11" t="s">
        <v>5499</v>
      </c>
      <c r="H2004" s="11" t="s">
        <v>5500</v>
      </c>
      <c r="I2004" s="10">
        <v>45615</v>
      </c>
    </row>
    <row r="2005" spans="1:9" x14ac:dyDescent="0.15">
      <c r="A2005" s="9">
        <v>2004</v>
      </c>
      <c r="B2005" s="9" t="s">
        <v>9</v>
      </c>
      <c r="C2005" s="9">
        <v>1923</v>
      </c>
      <c r="D2005" s="10">
        <v>45701</v>
      </c>
      <c r="E2005" s="13" t="str">
        <f>+HYPERLINK("http://trademark.i-assist.jp/data/china/image_1923th/82051737.pdf","82051737")</f>
        <v>82051737</v>
      </c>
      <c r="F2005" s="11" t="s">
        <v>5501</v>
      </c>
      <c r="G2005" s="9" t="s">
        <v>5502</v>
      </c>
      <c r="H2005" s="11" t="s">
        <v>5503</v>
      </c>
      <c r="I2005" s="10">
        <v>45615</v>
      </c>
    </row>
    <row r="2006" spans="1:9" x14ac:dyDescent="0.15">
      <c r="A2006" s="9">
        <v>2005</v>
      </c>
      <c r="B2006" s="9" t="s">
        <v>9</v>
      </c>
      <c r="C2006" s="9">
        <v>1923</v>
      </c>
      <c r="D2006" s="10">
        <v>45701</v>
      </c>
      <c r="E2006" s="13" t="str">
        <f>+HYPERLINK("http://trademark.i-assist.jp/data/china/image_1923th/82051892.pdf","82051892")</f>
        <v>82051892</v>
      </c>
      <c r="F2006" s="9" t="s">
        <v>5504</v>
      </c>
      <c r="G2006" s="9" t="s">
        <v>5505</v>
      </c>
      <c r="H2006" s="9" t="s">
        <v>5506</v>
      </c>
      <c r="I2006" s="10">
        <v>45615</v>
      </c>
    </row>
    <row r="2007" spans="1:9" x14ac:dyDescent="0.15">
      <c r="A2007" s="9">
        <v>2006</v>
      </c>
      <c r="B2007" s="9" t="s">
        <v>9</v>
      </c>
      <c r="C2007" s="9">
        <v>1923</v>
      </c>
      <c r="D2007" s="10">
        <v>45701</v>
      </c>
      <c r="E2007" s="13" t="str">
        <f>+HYPERLINK("http://trademark.i-assist.jp/data/china/image_1923th/82052136.pdf","82052136")</f>
        <v>82052136</v>
      </c>
      <c r="F2007" s="9" t="s">
        <v>5507</v>
      </c>
      <c r="G2007" s="11" t="s">
        <v>5508</v>
      </c>
      <c r="H2007" s="9" t="s">
        <v>5509</v>
      </c>
      <c r="I2007" s="10">
        <v>45615</v>
      </c>
    </row>
    <row r="2008" spans="1:9" x14ac:dyDescent="0.15">
      <c r="A2008" s="9">
        <v>2007</v>
      </c>
      <c r="B2008" s="9" t="s">
        <v>9</v>
      </c>
      <c r="C2008" s="9">
        <v>1923</v>
      </c>
      <c r="D2008" s="10">
        <v>45701</v>
      </c>
      <c r="E2008" s="13" t="str">
        <f>+HYPERLINK("http://trademark.i-assist.jp/data/china/image_1923th/82052285.pdf","82052285")</f>
        <v>82052285</v>
      </c>
      <c r="F2008" s="11" t="s">
        <v>5510</v>
      </c>
      <c r="G2008" s="11" t="s">
        <v>5511</v>
      </c>
      <c r="H2008" s="9" t="s">
        <v>5512</v>
      </c>
      <c r="I2008" s="10">
        <v>45615</v>
      </c>
    </row>
    <row r="2009" spans="1:9" x14ac:dyDescent="0.15">
      <c r="A2009" s="9">
        <v>2008</v>
      </c>
      <c r="B2009" s="9" t="s">
        <v>9</v>
      </c>
      <c r="C2009" s="9">
        <v>1923</v>
      </c>
      <c r="D2009" s="10">
        <v>45701</v>
      </c>
      <c r="E2009" s="13" t="str">
        <f>+HYPERLINK("http://trademark.i-assist.jp/data/china/image_1923th/82052495.pdf","82052495")</f>
        <v>82052495</v>
      </c>
      <c r="F2009" s="9" t="s">
        <v>5513</v>
      </c>
      <c r="G2009" s="11" t="s">
        <v>5514</v>
      </c>
      <c r="H2009" s="9" t="s">
        <v>5515</v>
      </c>
      <c r="I2009" s="10">
        <v>45615</v>
      </c>
    </row>
    <row r="2010" spans="1:9" x14ac:dyDescent="0.15">
      <c r="A2010" s="9">
        <v>2009</v>
      </c>
      <c r="B2010" s="9" t="s">
        <v>9</v>
      </c>
      <c r="C2010" s="9">
        <v>1923</v>
      </c>
      <c r="D2010" s="10">
        <v>45701</v>
      </c>
      <c r="E2010" s="13" t="str">
        <f>+HYPERLINK("http://trademark.i-assist.jp/data/china/image_1923th/82052516.pdf","82052516")</f>
        <v>82052516</v>
      </c>
      <c r="F2010" s="9" t="s">
        <v>5516</v>
      </c>
      <c r="G2010" s="11" t="s">
        <v>5472</v>
      </c>
      <c r="H2010" s="9" t="s">
        <v>5517</v>
      </c>
      <c r="I2010" s="10">
        <v>45615</v>
      </c>
    </row>
    <row r="2011" spans="1:9" x14ac:dyDescent="0.15">
      <c r="A2011" s="9">
        <v>2010</v>
      </c>
      <c r="B2011" s="9" t="s">
        <v>9</v>
      </c>
      <c r="C2011" s="9">
        <v>1923</v>
      </c>
      <c r="D2011" s="10">
        <v>45701</v>
      </c>
      <c r="E2011" s="13" t="str">
        <f>+HYPERLINK("http://trademark.i-assist.jp/data/china/image_1923th/82052648.pdf","82052648")</f>
        <v>82052648</v>
      </c>
      <c r="F2011" s="9" t="s">
        <v>5518</v>
      </c>
      <c r="G2011" s="9" t="s">
        <v>5519</v>
      </c>
      <c r="H2011" s="9" t="s">
        <v>5520</v>
      </c>
      <c r="I2011" s="10">
        <v>45615</v>
      </c>
    </row>
    <row r="2012" spans="1:9" x14ac:dyDescent="0.15">
      <c r="A2012" s="9">
        <v>2011</v>
      </c>
      <c r="B2012" s="9" t="s">
        <v>9</v>
      </c>
      <c r="C2012" s="9">
        <v>1923</v>
      </c>
      <c r="D2012" s="10">
        <v>45701</v>
      </c>
      <c r="E2012" s="13" t="str">
        <f>+HYPERLINK("http://trademark.i-assist.jp/data/china/image_1923th/82052958.pdf","82052958")</f>
        <v>82052958</v>
      </c>
      <c r="F2012" s="9" t="s">
        <v>5521</v>
      </c>
      <c r="G2012" s="9" t="s">
        <v>5429</v>
      </c>
      <c r="H2012" s="9" t="s">
        <v>5522</v>
      </c>
      <c r="I2012" s="10">
        <v>45615</v>
      </c>
    </row>
    <row r="2013" spans="1:9" x14ac:dyDescent="0.15">
      <c r="A2013" s="9">
        <v>2012</v>
      </c>
      <c r="B2013" s="9" t="s">
        <v>9</v>
      </c>
      <c r="C2013" s="9">
        <v>1923</v>
      </c>
      <c r="D2013" s="10">
        <v>45701</v>
      </c>
      <c r="E2013" s="13" t="str">
        <f>+HYPERLINK("http://trademark.i-assist.jp/data/china/image_1923th/82053321.pdf","82053321")</f>
        <v>82053321</v>
      </c>
      <c r="F2013" s="9" t="s">
        <v>5523</v>
      </c>
      <c r="G2013" s="9" t="s">
        <v>5524</v>
      </c>
      <c r="H2013" s="9" t="s">
        <v>5525</v>
      </c>
      <c r="I2013" s="10">
        <v>45615</v>
      </c>
    </row>
    <row r="2014" spans="1:9" x14ac:dyDescent="0.15">
      <c r="A2014" s="9">
        <v>2013</v>
      </c>
      <c r="B2014" s="9" t="s">
        <v>9</v>
      </c>
      <c r="C2014" s="9">
        <v>1923</v>
      </c>
      <c r="D2014" s="10">
        <v>45701</v>
      </c>
      <c r="E2014" s="13" t="str">
        <f>+HYPERLINK("http://trademark.i-assist.jp/data/china/image_1923th/82053343.pdf","82053343")</f>
        <v>82053343</v>
      </c>
      <c r="F2014" s="11" t="s">
        <v>5526</v>
      </c>
      <c r="G2014" s="11" t="s">
        <v>5527</v>
      </c>
      <c r="H2014" s="9" t="s">
        <v>5528</v>
      </c>
      <c r="I2014" s="10">
        <v>45615</v>
      </c>
    </row>
    <row r="2015" spans="1:9" x14ac:dyDescent="0.15">
      <c r="A2015" s="9">
        <v>2014</v>
      </c>
      <c r="B2015" s="9" t="s">
        <v>9</v>
      </c>
      <c r="C2015" s="9">
        <v>1923</v>
      </c>
      <c r="D2015" s="10">
        <v>45701</v>
      </c>
      <c r="E2015" s="13" t="str">
        <f>+HYPERLINK("http://trademark.i-assist.jp/data/china/image_1923th/82054229.pdf","82054229")</f>
        <v>82054229</v>
      </c>
      <c r="F2015" s="12" t="s">
        <v>5529</v>
      </c>
      <c r="G2015" s="9" t="s">
        <v>5530</v>
      </c>
      <c r="H2015" s="9" t="s">
        <v>5531</v>
      </c>
      <c r="I2015" s="10">
        <v>45615</v>
      </c>
    </row>
    <row r="2016" spans="1:9" x14ac:dyDescent="0.15">
      <c r="A2016" s="9">
        <v>2015</v>
      </c>
      <c r="B2016" s="9" t="s">
        <v>9</v>
      </c>
      <c r="C2016" s="9">
        <v>1923</v>
      </c>
      <c r="D2016" s="10">
        <v>45701</v>
      </c>
      <c r="E2016" s="13" t="str">
        <f>+HYPERLINK("http://trademark.i-assist.jp/data/china/image_1923th/82054582.pdf","82054582")</f>
        <v>82054582</v>
      </c>
      <c r="F2016" s="9" t="s">
        <v>5532</v>
      </c>
      <c r="G2016" s="11" t="s">
        <v>5533</v>
      </c>
      <c r="H2016" s="11" t="s">
        <v>5534</v>
      </c>
      <c r="I2016" s="10">
        <v>45615</v>
      </c>
    </row>
    <row r="2017" spans="1:9" x14ac:dyDescent="0.15">
      <c r="A2017" s="9">
        <v>2016</v>
      </c>
      <c r="B2017" s="9" t="s">
        <v>9</v>
      </c>
      <c r="C2017" s="9">
        <v>1923</v>
      </c>
      <c r="D2017" s="10">
        <v>45701</v>
      </c>
      <c r="E2017" s="13" t="str">
        <f>+HYPERLINK("http://trademark.i-assist.jp/data/china/image_1923th/82054858.pdf","82054858")</f>
        <v>82054858</v>
      </c>
      <c r="F2017" s="11" t="s">
        <v>126</v>
      </c>
      <c r="G2017" s="11" t="s">
        <v>5535</v>
      </c>
      <c r="H2017" s="9" t="s">
        <v>5536</v>
      </c>
      <c r="I2017" s="10">
        <v>45615</v>
      </c>
    </row>
    <row r="2018" spans="1:9" x14ac:dyDescent="0.15">
      <c r="A2018" s="9">
        <v>2017</v>
      </c>
      <c r="B2018" s="9" t="s">
        <v>9</v>
      </c>
      <c r="C2018" s="9">
        <v>1923</v>
      </c>
      <c r="D2018" s="10">
        <v>45701</v>
      </c>
      <c r="E2018" s="13" t="str">
        <f>+HYPERLINK("http://trademark.i-assist.jp/data/china/image_1923th/82054887.pdf","82054887")</f>
        <v>82054887</v>
      </c>
      <c r="F2018" s="9" t="s">
        <v>5537</v>
      </c>
      <c r="G2018" s="11" t="s">
        <v>5538</v>
      </c>
      <c r="H2018" s="9" t="s">
        <v>5539</v>
      </c>
      <c r="I2018" s="10">
        <v>45615</v>
      </c>
    </row>
    <row r="2019" spans="1:9" x14ac:dyDescent="0.15">
      <c r="A2019" s="9">
        <v>2018</v>
      </c>
      <c r="B2019" s="9" t="s">
        <v>9</v>
      </c>
      <c r="C2019" s="9">
        <v>1923</v>
      </c>
      <c r="D2019" s="10">
        <v>45701</v>
      </c>
      <c r="E2019" s="13" t="str">
        <f>+HYPERLINK("http://trademark.i-assist.jp/data/china/image_1923th/82055206.pdf","82055206")</f>
        <v>82055206</v>
      </c>
      <c r="F2019" s="9" t="s">
        <v>5540</v>
      </c>
      <c r="G2019" s="9" t="s">
        <v>23</v>
      </c>
      <c r="H2019" s="9" t="s">
        <v>5541</v>
      </c>
      <c r="I2019" s="10">
        <v>45615</v>
      </c>
    </row>
    <row r="2020" spans="1:9" x14ac:dyDescent="0.15">
      <c r="A2020" s="9">
        <v>2019</v>
      </c>
      <c r="B2020" s="9" t="s">
        <v>9</v>
      </c>
      <c r="C2020" s="9">
        <v>1923</v>
      </c>
      <c r="D2020" s="10">
        <v>45701</v>
      </c>
      <c r="E2020" s="13" t="str">
        <f>+HYPERLINK("http://trademark.i-assist.jp/data/china/image_1923th/82055668.pdf","82055668")</f>
        <v>82055668</v>
      </c>
      <c r="F2020" s="11" t="s">
        <v>5542</v>
      </c>
      <c r="G2020" s="9" t="s">
        <v>5543</v>
      </c>
      <c r="H2020" s="11" t="s">
        <v>5544</v>
      </c>
      <c r="I2020" s="10">
        <v>45615</v>
      </c>
    </row>
    <row r="2021" spans="1:9" x14ac:dyDescent="0.15">
      <c r="A2021" s="9">
        <v>2020</v>
      </c>
      <c r="B2021" s="9" t="s">
        <v>9</v>
      </c>
      <c r="C2021" s="9">
        <v>1923</v>
      </c>
      <c r="D2021" s="10">
        <v>45701</v>
      </c>
      <c r="E2021" s="13" t="str">
        <f>+HYPERLINK("http://trademark.i-assist.jp/data/china/image_1923th/82055799.pdf","82055799")</f>
        <v>82055799</v>
      </c>
      <c r="F2021" s="9" t="s">
        <v>5545</v>
      </c>
      <c r="G2021" s="11" t="s">
        <v>5546</v>
      </c>
      <c r="H2021" s="11" t="s">
        <v>5547</v>
      </c>
      <c r="I2021" s="10">
        <v>45615</v>
      </c>
    </row>
    <row r="2022" spans="1:9" x14ac:dyDescent="0.15">
      <c r="A2022" s="9">
        <v>2021</v>
      </c>
      <c r="B2022" s="9" t="s">
        <v>9</v>
      </c>
      <c r="C2022" s="9">
        <v>1923</v>
      </c>
      <c r="D2022" s="10">
        <v>45701</v>
      </c>
      <c r="E2022" s="13" t="str">
        <f>+HYPERLINK("http://trademark.i-assist.jp/data/china/image_1923th/82056134.pdf","82056134")</f>
        <v>82056134</v>
      </c>
      <c r="F2022" s="11" t="s">
        <v>5548</v>
      </c>
      <c r="G2022" s="11" t="s">
        <v>5549</v>
      </c>
      <c r="H2022" s="9" t="s">
        <v>5550</v>
      </c>
      <c r="I2022" s="10">
        <v>45615</v>
      </c>
    </row>
    <row r="2023" spans="1:9" x14ac:dyDescent="0.15">
      <c r="A2023" s="9">
        <v>2022</v>
      </c>
      <c r="B2023" s="9" t="s">
        <v>9</v>
      </c>
      <c r="C2023" s="9">
        <v>1923</v>
      </c>
      <c r="D2023" s="10">
        <v>45701</v>
      </c>
      <c r="E2023" s="13" t="str">
        <f>+HYPERLINK("http://trademark.i-assist.jp/data/china/image_1923th/82056173.pdf","82056173")</f>
        <v>82056173</v>
      </c>
      <c r="F2023" s="9" t="s">
        <v>5551</v>
      </c>
      <c r="G2023" s="11" t="s">
        <v>5533</v>
      </c>
      <c r="H2023" s="9" t="s">
        <v>5552</v>
      </c>
      <c r="I2023" s="10">
        <v>45615</v>
      </c>
    </row>
    <row r="2024" spans="1:9" x14ac:dyDescent="0.15">
      <c r="A2024" s="9">
        <v>2023</v>
      </c>
      <c r="B2024" s="9" t="s">
        <v>9</v>
      </c>
      <c r="C2024" s="9">
        <v>1923</v>
      </c>
      <c r="D2024" s="10">
        <v>45701</v>
      </c>
      <c r="E2024" s="13" t="str">
        <f>+HYPERLINK("http://trademark.i-assist.jp/data/china/image_1923th/82056198.pdf","82056198")</f>
        <v>82056198</v>
      </c>
      <c r="F2024" s="9" t="s">
        <v>5553</v>
      </c>
      <c r="G2024" s="9" t="s">
        <v>5554</v>
      </c>
      <c r="H2024" s="9" t="s">
        <v>5555</v>
      </c>
      <c r="I2024" s="10">
        <v>45615</v>
      </c>
    </row>
    <row r="2025" spans="1:9" x14ac:dyDescent="0.15">
      <c r="A2025" s="9">
        <v>2024</v>
      </c>
      <c r="B2025" s="9" t="s">
        <v>9</v>
      </c>
      <c r="C2025" s="9">
        <v>1923</v>
      </c>
      <c r="D2025" s="10">
        <v>45701</v>
      </c>
      <c r="E2025" s="13" t="str">
        <f>+HYPERLINK("http://trademark.i-assist.jp/data/china/image_1923th/82056402.pdf","82056402")</f>
        <v>82056402</v>
      </c>
      <c r="F2025" s="11" t="s">
        <v>5556</v>
      </c>
      <c r="G2025" s="11" t="s">
        <v>5557</v>
      </c>
      <c r="H2025" s="9" t="s">
        <v>5558</v>
      </c>
      <c r="I2025" s="10">
        <v>45615</v>
      </c>
    </row>
    <row r="2026" spans="1:9" x14ac:dyDescent="0.15">
      <c r="A2026" s="9">
        <v>2025</v>
      </c>
      <c r="B2026" s="9" t="s">
        <v>9</v>
      </c>
      <c r="C2026" s="9">
        <v>1923</v>
      </c>
      <c r="D2026" s="10">
        <v>45701</v>
      </c>
      <c r="E2026" s="13" t="str">
        <f>+HYPERLINK("http://trademark.i-assist.jp/data/china/image_1923th/82056430.pdf","82056430")</f>
        <v>82056430</v>
      </c>
      <c r="F2026" s="9" t="s">
        <v>5559</v>
      </c>
      <c r="G2026" s="9" t="s">
        <v>5560</v>
      </c>
      <c r="H2026" s="11" t="s">
        <v>5561</v>
      </c>
      <c r="I2026" s="10">
        <v>45615</v>
      </c>
    </row>
    <row r="2027" spans="1:9" x14ac:dyDescent="0.15">
      <c r="A2027" s="9">
        <v>2026</v>
      </c>
      <c r="B2027" s="9" t="s">
        <v>9</v>
      </c>
      <c r="C2027" s="9">
        <v>1923</v>
      </c>
      <c r="D2027" s="10">
        <v>45701</v>
      </c>
      <c r="E2027" s="13" t="str">
        <f>+HYPERLINK("http://trademark.i-assist.jp/data/china/image_1923th/82056713.pdf","82056713")</f>
        <v>82056713</v>
      </c>
      <c r="F2027" s="9" t="s">
        <v>5562</v>
      </c>
      <c r="G2027" s="9" t="s">
        <v>5563</v>
      </c>
      <c r="H2027" s="9" t="s">
        <v>5564</v>
      </c>
      <c r="I2027" s="10">
        <v>45615</v>
      </c>
    </row>
    <row r="2028" spans="1:9" x14ac:dyDescent="0.15">
      <c r="A2028" s="9">
        <v>2027</v>
      </c>
      <c r="B2028" s="9" t="s">
        <v>9</v>
      </c>
      <c r="C2028" s="9">
        <v>1923</v>
      </c>
      <c r="D2028" s="10">
        <v>45701</v>
      </c>
      <c r="E2028" s="13" t="str">
        <f>+HYPERLINK("http://trademark.i-assist.jp/data/china/image_1923th/82058090.pdf","82058090")</f>
        <v>82058090</v>
      </c>
      <c r="F2028" s="9" t="s">
        <v>5565</v>
      </c>
      <c r="G2028" s="11" t="s">
        <v>5566</v>
      </c>
      <c r="H2028" s="9" t="s">
        <v>5567</v>
      </c>
      <c r="I2028" s="10">
        <v>45615</v>
      </c>
    </row>
    <row r="2029" spans="1:9" x14ac:dyDescent="0.15">
      <c r="A2029" s="9">
        <v>2028</v>
      </c>
      <c r="B2029" s="9" t="s">
        <v>9</v>
      </c>
      <c r="C2029" s="9">
        <v>1923</v>
      </c>
      <c r="D2029" s="10">
        <v>45701</v>
      </c>
      <c r="E2029" s="13" t="str">
        <f>+HYPERLINK("http://trademark.i-assist.jp/data/china/image_1923th/82058333.pdf","82058333")</f>
        <v>82058333</v>
      </c>
      <c r="F2029" s="9" t="s">
        <v>5568</v>
      </c>
      <c r="G2029" s="9" t="s">
        <v>5530</v>
      </c>
      <c r="H2029" s="9" t="s">
        <v>5569</v>
      </c>
      <c r="I2029" s="10">
        <v>45615</v>
      </c>
    </row>
    <row r="2030" spans="1:9" x14ac:dyDescent="0.15">
      <c r="A2030" s="9">
        <v>2029</v>
      </c>
      <c r="B2030" s="9" t="s">
        <v>9</v>
      </c>
      <c r="C2030" s="9">
        <v>1923</v>
      </c>
      <c r="D2030" s="10">
        <v>45701</v>
      </c>
      <c r="E2030" s="13" t="str">
        <f>+HYPERLINK("http://trademark.i-assist.jp/data/china/image_1923th/82058911.pdf","82058911")</f>
        <v>82058911</v>
      </c>
      <c r="F2030" s="11" t="s">
        <v>5570</v>
      </c>
      <c r="G2030" s="11" t="s">
        <v>5570</v>
      </c>
      <c r="H2030" s="9" t="s">
        <v>5571</v>
      </c>
      <c r="I2030" s="10">
        <v>45615</v>
      </c>
    </row>
    <row r="2031" spans="1:9" x14ac:dyDescent="0.15">
      <c r="A2031" s="9">
        <v>2030</v>
      </c>
      <c r="B2031" s="9" t="s">
        <v>9</v>
      </c>
      <c r="C2031" s="9">
        <v>1923</v>
      </c>
      <c r="D2031" s="10">
        <v>45701</v>
      </c>
      <c r="E2031" s="13" t="str">
        <f>+HYPERLINK("http://trademark.i-assist.jp/data/china/image_1923th/82058948.pdf","82058948")</f>
        <v>82058948</v>
      </c>
      <c r="F2031" s="9" t="s">
        <v>5572</v>
      </c>
      <c r="G2031" s="9" t="s">
        <v>5573</v>
      </c>
      <c r="H2031" s="9" t="s">
        <v>5574</v>
      </c>
      <c r="I2031" s="10">
        <v>45615</v>
      </c>
    </row>
    <row r="2032" spans="1:9" x14ac:dyDescent="0.15">
      <c r="A2032" s="9">
        <v>2031</v>
      </c>
      <c r="B2032" s="9" t="s">
        <v>9</v>
      </c>
      <c r="C2032" s="9">
        <v>1923</v>
      </c>
      <c r="D2032" s="10">
        <v>45701</v>
      </c>
      <c r="E2032" s="13" t="str">
        <f>+HYPERLINK("http://trademark.i-assist.jp/data/china/image_1923th/82059615.pdf","82059615")</f>
        <v>82059615</v>
      </c>
      <c r="F2032" s="9" t="s">
        <v>5575</v>
      </c>
      <c r="G2032" s="9" t="s">
        <v>5576</v>
      </c>
      <c r="H2032" s="9" t="s">
        <v>5577</v>
      </c>
      <c r="I2032" s="10">
        <v>45615</v>
      </c>
    </row>
    <row r="2033" spans="1:9" x14ac:dyDescent="0.15">
      <c r="A2033" s="9">
        <v>2032</v>
      </c>
      <c r="B2033" s="9" t="s">
        <v>9</v>
      </c>
      <c r="C2033" s="9">
        <v>1923</v>
      </c>
      <c r="D2033" s="10">
        <v>45701</v>
      </c>
      <c r="E2033" s="13" t="str">
        <f>+HYPERLINK("http://trademark.i-assist.jp/data/china/image_1923th/82059757.pdf","82059757")</f>
        <v>82059757</v>
      </c>
      <c r="F2033" s="9" t="s">
        <v>5578</v>
      </c>
      <c r="G2033" s="11" t="s">
        <v>5579</v>
      </c>
      <c r="H2033" s="9" t="s">
        <v>5580</v>
      </c>
      <c r="I2033" s="10">
        <v>45615</v>
      </c>
    </row>
    <row r="2034" spans="1:9" x14ac:dyDescent="0.15">
      <c r="A2034" s="9">
        <v>2033</v>
      </c>
      <c r="B2034" s="9" t="s">
        <v>9</v>
      </c>
      <c r="C2034" s="9">
        <v>1923</v>
      </c>
      <c r="D2034" s="10">
        <v>45701</v>
      </c>
      <c r="E2034" s="13" t="str">
        <f>+HYPERLINK("http://trademark.i-assist.jp/data/china/image_1923th/82059852.pdf","82059852")</f>
        <v>82059852</v>
      </c>
      <c r="F2034" s="9" t="s">
        <v>5581</v>
      </c>
      <c r="G2034" s="9" t="s">
        <v>5582</v>
      </c>
      <c r="H2034" s="11" t="s">
        <v>5583</v>
      </c>
      <c r="I2034" s="10">
        <v>45615</v>
      </c>
    </row>
    <row r="2035" spans="1:9" x14ac:dyDescent="0.15">
      <c r="A2035" s="9">
        <v>2034</v>
      </c>
      <c r="B2035" s="9" t="s">
        <v>9</v>
      </c>
      <c r="C2035" s="9">
        <v>1923</v>
      </c>
      <c r="D2035" s="10">
        <v>45701</v>
      </c>
      <c r="E2035" s="13" t="str">
        <f>+HYPERLINK("http://trademark.i-assist.jp/data/china/image_1923th/82059936.pdf","82059936")</f>
        <v>82059936</v>
      </c>
      <c r="F2035" s="9" t="s">
        <v>5584</v>
      </c>
      <c r="G2035" s="11" t="s">
        <v>5585</v>
      </c>
      <c r="H2035" s="9" t="s">
        <v>5586</v>
      </c>
      <c r="I2035" s="10">
        <v>45615</v>
      </c>
    </row>
    <row r="2036" spans="1:9" x14ac:dyDescent="0.15">
      <c r="A2036" s="9">
        <v>2035</v>
      </c>
      <c r="B2036" s="9" t="s">
        <v>9</v>
      </c>
      <c r="C2036" s="9">
        <v>1923</v>
      </c>
      <c r="D2036" s="10">
        <v>45701</v>
      </c>
      <c r="E2036" s="13" t="str">
        <f>+HYPERLINK("http://trademark.i-assist.jp/data/china/image_1923th/82060298.pdf","82060298")</f>
        <v>82060298</v>
      </c>
      <c r="F2036" s="9" t="s">
        <v>5587</v>
      </c>
      <c r="G2036" s="9" t="s">
        <v>5588</v>
      </c>
      <c r="H2036" s="9" t="s">
        <v>5589</v>
      </c>
      <c r="I2036" s="10">
        <v>45615</v>
      </c>
    </row>
    <row r="2037" spans="1:9" x14ac:dyDescent="0.15">
      <c r="A2037" s="9">
        <v>2036</v>
      </c>
      <c r="B2037" s="9" t="s">
        <v>9</v>
      </c>
      <c r="C2037" s="9">
        <v>1923</v>
      </c>
      <c r="D2037" s="10">
        <v>45701</v>
      </c>
      <c r="E2037" s="13" t="str">
        <f>+HYPERLINK("http://trademark.i-assist.jp/data/china/image_1923th/82060378.pdf","82060378")</f>
        <v>82060378</v>
      </c>
      <c r="F2037" s="9" t="s">
        <v>5590</v>
      </c>
      <c r="G2037" s="11" t="s">
        <v>5250</v>
      </c>
      <c r="H2037" s="11" t="s">
        <v>5591</v>
      </c>
      <c r="I2037" s="10">
        <v>45615</v>
      </c>
    </row>
    <row r="2038" spans="1:9" x14ac:dyDescent="0.15">
      <c r="A2038" s="9">
        <v>2037</v>
      </c>
      <c r="B2038" s="9" t="s">
        <v>9</v>
      </c>
      <c r="C2038" s="9">
        <v>1923</v>
      </c>
      <c r="D2038" s="10">
        <v>45701</v>
      </c>
      <c r="E2038" s="13" t="str">
        <f>+HYPERLINK("http://trademark.i-assist.jp/data/china/image_1923th/82060937.pdf","82060937")</f>
        <v>82060937</v>
      </c>
      <c r="F2038" s="9" t="s">
        <v>5592</v>
      </c>
      <c r="G2038" s="9" t="s">
        <v>5593</v>
      </c>
      <c r="H2038" s="9" t="s">
        <v>5594</v>
      </c>
      <c r="I2038" s="10">
        <v>45615</v>
      </c>
    </row>
    <row r="2039" spans="1:9" x14ac:dyDescent="0.15">
      <c r="A2039" s="9">
        <v>2038</v>
      </c>
      <c r="B2039" s="9" t="s">
        <v>9</v>
      </c>
      <c r="C2039" s="9">
        <v>1923</v>
      </c>
      <c r="D2039" s="10">
        <v>45701</v>
      </c>
      <c r="E2039" s="13" t="str">
        <f>+HYPERLINK("http://trademark.i-assist.jp/data/china/image_1923th/82061322.pdf","82061322")</f>
        <v>82061322</v>
      </c>
      <c r="F2039" s="9" t="s">
        <v>5595</v>
      </c>
      <c r="G2039" s="11" t="s">
        <v>5596</v>
      </c>
      <c r="H2039" s="9" t="s">
        <v>5597</v>
      </c>
      <c r="I2039" s="10">
        <v>45615</v>
      </c>
    </row>
    <row r="2040" spans="1:9" x14ac:dyDescent="0.15">
      <c r="A2040" s="9">
        <v>2039</v>
      </c>
      <c r="B2040" s="9" t="s">
        <v>9</v>
      </c>
      <c r="C2040" s="9">
        <v>1923</v>
      </c>
      <c r="D2040" s="10">
        <v>45701</v>
      </c>
      <c r="E2040" s="13" t="str">
        <f>+HYPERLINK("http://trademark.i-assist.jp/data/china/image_1923th/82061520.pdf","82061520")</f>
        <v>82061520</v>
      </c>
      <c r="F2040" s="9" t="s">
        <v>5598</v>
      </c>
      <c r="G2040" s="11" t="s">
        <v>5599</v>
      </c>
      <c r="H2040" s="9" t="s">
        <v>5600</v>
      </c>
      <c r="I2040" s="10">
        <v>45615</v>
      </c>
    </row>
    <row r="2041" spans="1:9" x14ac:dyDescent="0.15">
      <c r="A2041" s="9">
        <v>2040</v>
      </c>
      <c r="B2041" s="9" t="s">
        <v>9</v>
      </c>
      <c r="C2041" s="9">
        <v>1923</v>
      </c>
      <c r="D2041" s="10">
        <v>45701</v>
      </c>
      <c r="E2041" s="13" t="str">
        <f>+HYPERLINK("http://trademark.i-assist.jp/data/china/image_1923th/82061907.pdf","82061907")</f>
        <v>82061907</v>
      </c>
      <c r="F2041" s="9" t="s">
        <v>5601</v>
      </c>
      <c r="G2041" s="9" t="s">
        <v>4015</v>
      </c>
      <c r="H2041" s="11" t="s">
        <v>5602</v>
      </c>
      <c r="I2041" s="10">
        <v>45615</v>
      </c>
    </row>
    <row r="2042" spans="1:9" x14ac:dyDescent="0.15">
      <c r="A2042" s="9">
        <v>2041</v>
      </c>
      <c r="B2042" s="9" t="s">
        <v>9</v>
      </c>
      <c r="C2042" s="9">
        <v>1923</v>
      </c>
      <c r="D2042" s="10">
        <v>45701</v>
      </c>
      <c r="E2042" s="13" t="str">
        <f>+HYPERLINK("http://trademark.i-assist.jp/data/china/image_1923th/82062328.pdf","82062328")</f>
        <v>82062328</v>
      </c>
      <c r="F2042" s="9" t="s">
        <v>5603</v>
      </c>
      <c r="G2042" s="9" t="s">
        <v>4325</v>
      </c>
      <c r="H2042" s="9" t="s">
        <v>5604</v>
      </c>
      <c r="I2042" s="10">
        <v>45615</v>
      </c>
    </row>
    <row r="2043" spans="1:9" x14ac:dyDescent="0.15">
      <c r="A2043" s="9">
        <v>2042</v>
      </c>
      <c r="B2043" s="9" t="s">
        <v>9</v>
      </c>
      <c r="C2043" s="9">
        <v>1923</v>
      </c>
      <c r="D2043" s="10">
        <v>45701</v>
      </c>
      <c r="E2043" s="13" t="str">
        <f>+HYPERLINK("http://trademark.i-assist.jp/data/china/image_1923th/82062384.pdf","82062384")</f>
        <v>82062384</v>
      </c>
      <c r="F2043" s="9" t="s">
        <v>5605</v>
      </c>
      <c r="G2043" s="9" t="s">
        <v>5606</v>
      </c>
      <c r="H2043" s="9" t="s">
        <v>5607</v>
      </c>
      <c r="I2043" s="10">
        <v>45615</v>
      </c>
    </row>
    <row r="2044" spans="1:9" x14ac:dyDescent="0.15">
      <c r="A2044" s="9">
        <v>2043</v>
      </c>
      <c r="B2044" s="9" t="s">
        <v>9</v>
      </c>
      <c r="C2044" s="9">
        <v>1923</v>
      </c>
      <c r="D2044" s="10">
        <v>45701</v>
      </c>
      <c r="E2044" s="13" t="str">
        <f>+HYPERLINK("http://trademark.i-assist.jp/data/china/image_1923th/82062900.pdf","82062900")</f>
        <v>82062900</v>
      </c>
      <c r="F2044" s="9" t="s">
        <v>5608</v>
      </c>
      <c r="G2044" s="11" t="s">
        <v>5609</v>
      </c>
      <c r="H2044" s="9" t="s">
        <v>5610</v>
      </c>
      <c r="I2044" s="10">
        <v>45615</v>
      </c>
    </row>
    <row r="2045" spans="1:9" x14ac:dyDescent="0.15">
      <c r="A2045" s="9">
        <v>2044</v>
      </c>
      <c r="B2045" s="9" t="s">
        <v>9</v>
      </c>
      <c r="C2045" s="9">
        <v>1923</v>
      </c>
      <c r="D2045" s="10">
        <v>45701</v>
      </c>
      <c r="E2045" s="13" t="str">
        <f>+HYPERLINK("http://trademark.i-assist.jp/data/china/image_1923th/82063002.pdf","82063002")</f>
        <v>82063002</v>
      </c>
      <c r="F2045" s="9" t="s">
        <v>5611</v>
      </c>
      <c r="G2045" s="11" t="s">
        <v>5612</v>
      </c>
      <c r="H2045" s="9" t="s">
        <v>5613</v>
      </c>
      <c r="I2045" s="10">
        <v>45615</v>
      </c>
    </row>
    <row r="2046" spans="1:9" x14ac:dyDescent="0.15">
      <c r="A2046" s="9">
        <v>2045</v>
      </c>
      <c r="B2046" s="9" t="s">
        <v>9</v>
      </c>
      <c r="C2046" s="9">
        <v>1923</v>
      </c>
      <c r="D2046" s="10">
        <v>45701</v>
      </c>
      <c r="E2046" s="13" t="str">
        <f>+HYPERLINK("http://trademark.i-assist.jp/data/china/image_1923th/82063157.pdf","82063157")</f>
        <v>82063157</v>
      </c>
      <c r="F2046" s="9" t="s">
        <v>5614</v>
      </c>
      <c r="G2046" s="9" t="s">
        <v>5615</v>
      </c>
      <c r="H2046" s="9" t="s">
        <v>5616</v>
      </c>
      <c r="I2046" s="10">
        <v>45615</v>
      </c>
    </row>
    <row r="2047" spans="1:9" x14ac:dyDescent="0.15">
      <c r="A2047" s="9">
        <v>2046</v>
      </c>
      <c r="B2047" s="9" t="s">
        <v>9</v>
      </c>
      <c r="C2047" s="9">
        <v>1923</v>
      </c>
      <c r="D2047" s="10">
        <v>45701</v>
      </c>
      <c r="E2047" s="13" t="str">
        <f>+HYPERLINK("http://trademark.i-assist.jp/data/china/image_1923th/82063396.pdf","82063396")</f>
        <v>82063396</v>
      </c>
      <c r="F2047" s="9" t="s">
        <v>5617</v>
      </c>
      <c r="G2047" s="9" t="s">
        <v>5618</v>
      </c>
      <c r="H2047" s="11" t="s">
        <v>5619</v>
      </c>
      <c r="I2047" s="10">
        <v>45615</v>
      </c>
    </row>
    <row r="2048" spans="1:9" x14ac:dyDescent="0.15">
      <c r="A2048" s="9">
        <v>2047</v>
      </c>
      <c r="B2048" s="9" t="s">
        <v>9</v>
      </c>
      <c r="C2048" s="9">
        <v>1923</v>
      </c>
      <c r="D2048" s="10">
        <v>45701</v>
      </c>
      <c r="E2048" s="13" t="str">
        <f>+HYPERLINK("http://trademark.i-assist.jp/data/china/image_1923th/82063966.pdf","82063966")</f>
        <v>82063966</v>
      </c>
      <c r="F2048" s="9" t="s">
        <v>5620</v>
      </c>
      <c r="G2048" s="11" t="s">
        <v>5621</v>
      </c>
      <c r="H2048" s="9" t="s">
        <v>5622</v>
      </c>
      <c r="I2048" s="10">
        <v>45615</v>
      </c>
    </row>
    <row r="2049" spans="1:9" x14ac:dyDescent="0.15">
      <c r="A2049" s="9">
        <v>2048</v>
      </c>
      <c r="B2049" s="9" t="s">
        <v>9</v>
      </c>
      <c r="C2049" s="9">
        <v>1923</v>
      </c>
      <c r="D2049" s="10">
        <v>45701</v>
      </c>
      <c r="E2049" s="13" t="str">
        <f>+HYPERLINK("http://trademark.i-assist.jp/data/china/image_1923th/82064182.pdf","82064182")</f>
        <v>82064182</v>
      </c>
      <c r="F2049" s="9" t="s">
        <v>5623</v>
      </c>
      <c r="G2049" s="9" t="s">
        <v>5624</v>
      </c>
      <c r="H2049" s="9" t="s">
        <v>5625</v>
      </c>
      <c r="I2049" s="10">
        <v>45615</v>
      </c>
    </row>
    <row r="2050" spans="1:9" x14ac:dyDescent="0.15">
      <c r="A2050" s="9">
        <v>2049</v>
      </c>
      <c r="B2050" s="9" t="s">
        <v>9</v>
      </c>
      <c r="C2050" s="9">
        <v>1923</v>
      </c>
      <c r="D2050" s="10">
        <v>45701</v>
      </c>
      <c r="E2050" s="13" t="str">
        <f>+HYPERLINK("http://trademark.i-assist.jp/data/china/image_1923th/82064439.pdf","82064439")</f>
        <v>82064439</v>
      </c>
      <c r="F2050" s="9" t="s">
        <v>5626</v>
      </c>
      <c r="G2050" s="9" t="s">
        <v>5627</v>
      </c>
      <c r="H2050" s="9" t="s">
        <v>5628</v>
      </c>
      <c r="I2050" s="10">
        <v>45615</v>
      </c>
    </row>
    <row r="2051" spans="1:9" x14ac:dyDescent="0.15">
      <c r="A2051" s="9">
        <v>2050</v>
      </c>
      <c r="B2051" s="9" t="s">
        <v>9</v>
      </c>
      <c r="C2051" s="9">
        <v>1923</v>
      </c>
      <c r="D2051" s="10">
        <v>45701</v>
      </c>
      <c r="E2051" s="13" t="str">
        <f>+HYPERLINK("http://trademark.i-assist.jp/data/china/image_1923th/82064558.pdf","82064558")</f>
        <v>82064558</v>
      </c>
      <c r="F2051" s="9" t="s">
        <v>5629</v>
      </c>
      <c r="G2051" s="11" t="s">
        <v>5446</v>
      </c>
      <c r="H2051" s="9" t="s">
        <v>5630</v>
      </c>
      <c r="I2051" s="10">
        <v>45615</v>
      </c>
    </row>
    <row r="2052" spans="1:9" x14ac:dyDescent="0.15">
      <c r="A2052" s="9">
        <v>2051</v>
      </c>
      <c r="B2052" s="9" t="s">
        <v>9</v>
      </c>
      <c r="C2052" s="9">
        <v>1923</v>
      </c>
      <c r="D2052" s="10">
        <v>45701</v>
      </c>
      <c r="E2052" s="13" t="str">
        <f>+HYPERLINK("http://trademark.i-assist.jp/data/china/image_1923th/82064944.pdf","82064944")</f>
        <v>82064944</v>
      </c>
      <c r="F2052" s="9" t="s">
        <v>5631</v>
      </c>
      <c r="G2052" s="9" t="s">
        <v>5632</v>
      </c>
      <c r="H2052" s="9" t="s">
        <v>5633</v>
      </c>
      <c r="I2052" s="10">
        <v>45615</v>
      </c>
    </row>
    <row r="2053" spans="1:9" x14ac:dyDescent="0.15">
      <c r="A2053" s="9">
        <v>2052</v>
      </c>
      <c r="B2053" s="9" t="s">
        <v>9</v>
      </c>
      <c r="C2053" s="9">
        <v>1923</v>
      </c>
      <c r="D2053" s="10">
        <v>45701</v>
      </c>
      <c r="E2053" s="13" t="str">
        <f>+HYPERLINK("http://trademark.i-assist.jp/data/china/image_1923th/82065063.pdf","82065063")</f>
        <v>82065063</v>
      </c>
      <c r="F2053" s="9" t="s">
        <v>5634</v>
      </c>
      <c r="G2053" s="9" t="s">
        <v>5349</v>
      </c>
      <c r="H2053" s="9" t="s">
        <v>5635</v>
      </c>
      <c r="I2053" s="10">
        <v>45615</v>
      </c>
    </row>
    <row r="2054" spans="1:9" x14ac:dyDescent="0.15">
      <c r="A2054" s="9">
        <v>2053</v>
      </c>
      <c r="B2054" s="9" t="s">
        <v>9</v>
      </c>
      <c r="C2054" s="9">
        <v>1923</v>
      </c>
      <c r="D2054" s="10">
        <v>45701</v>
      </c>
      <c r="E2054" s="13" t="str">
        <f>+HYPERLINK("http://trademark.i-assist.jp/data/china/image_1923th/82065394.pdf","82065394")</f>
        <v>82065394</v>
      </c>
      <c r="F2054" s="9" t="s">
        <v>5636</v>
      </c>
      <c r="G2054" s="9" t="s">
        <v>5637</v>
      </c>
      <c r="H2054" s="9" t="s">
        <v>5638</v>
      </c>
      <c r="I2054" s="10">
        <v>45615</v>
      </c>
    </row>
    <row r="2055" spans="1:9" x14ac:dyDescent="0.15">
      <c r="A2055" s="9">
        <v>2054</v>
      </c>
      <c r="B2055" s="9" t="s">
        <v>9</v>
      </c>
      <c r="C2055" s="9">
        <v>1923</v>
      </c>
      <c r="D2055" s="10">
        <v>45701</v>
      </c>
      <c r="E2055" s="13" t="str">
        <f>+HYPERLINK("http://trademark.i-assist.jp/data/china/image_1923th/82065397.pdf","82065397")</f>
        <v>82065397</v>
      </c>
      <c r="F2055" s="11" t="s">
        <v>5639</v>
      </c>
      <c r="G2055" s="9" t="s">
        <v>5582</v>
      </c>
      <c r="H2055" s="11" t="s">
        <v>5640</v>
      </c>
      <c r="I2055" s="10">
        <v>45615</v>
      </c>
    </row>
    <row r="2056" spans="1:9" x14ac:dyDescent="0.15">
      <c r="A2056" s="9">
        <v>2055</v>
      </c>
      <c r="B2056" s="9" t="s">
        <v>9</v>
      </c>
      <c r="C2056" s="9">
        <v>1923</v>
      </c>
      <c r="D2056" s="10">
        <v>45701</v>
      </c>
      <c r="E2056" s="13" t="str">
        <f>+HYPERLINK("http://trademark.i-assist.jp/data/china/image_1923th/82065764.pdf","82065764")</f>
        <v>82065764</v>
      </c>
      <c r="F2056" s="9" t="s">
        <v>5641</v>
      </c>
      <c r="G2056" s="9" t="s">
        <v>5573</v>
      </c>
      <c r="H2056" s="9" t="s">
        <v>5642</v>
      </c>
      <c r="I2056" s="10">
        <v>45615</v>
      </c>
    </row>
    <row r="2057" spans="1:9" x14ac:dyDescent="0.15">
      <c r="A2057" s="9">
        <v>2056</v>
      </c>
      <c r="B2057" s="9" t="s">
        <v>9</v>
      </c>
      <c r="C2057" s="9">
        <v>1923</v>
      </c>
      <c r="D2057" s="10">
        <v>45701</v>
      </c>
      <c r="E2057" s="13" t="str">
        <f>+HYPERLINK("http://trademark.i-assist.jp/data/china/image_1923th/82065765.pdf","82065765")</f>
        <v>82065765</v>
      </c>
      <c r="F2057" s="9" t="s">
        <v>5643</v>
      </c>
      <c r="G2057" s="9" t="s">
        <v>5573</v>
      </c>
      <c r="H2057" s="9" t="s">
        <v>5644</v>
      </c>
      <c r="I2057" s="10">
        <v>45615</v>
      </c>
    </row>
    <row r="2058" spans="1:9" x14ac:dyDescent="0.15">
      <c r="A2058" s="9">
        <v>2057</v>
      </c>
      <c r="B2058" s="9" t="s">
        <v>9</v>
      </c>
      <c r="C2058" s="9">
        <v>1923</v>
      </c>
      <c r="D2058" s="10">
        <v>45701</v>
      </c>
      <c r="E2058" s="13" t="str">
        <f>+HYPERLINK("http://trademark.i-assist.jp/data/china/image_1923th/82065839.pdf","82065839")</f>
        <v>82065839</v>
      </c>
      <c r="F2058" s="12" t="s">
        <v>5645</v>
      </c>
      <c r="G2058" s="9" t="s">
        <v>5646</v>
      </c>
      <c r="H2058" s="9" t="s">
        <v>5647</v>
      </c>
      <c r="I2058" s="10">
        <v>45615</v>
      </c>
    </row>
    <row r="2059" spans="1:9" x14ac:dyDescent="0.15">
      <c r="A2059" s="9">
        <v>2058</v>
      </c>
      <c r="B2059" s="9" t="s">
        <v>9</v>
      </c>
      <c r="C2059" s="9">
        <v>1923</v>
      </c>
      <c r="D2059" s="10">
        <v>45701</v>
      </c>
      <c r="E2059" s="13" t="str">
        <f>+HYPERLINK("http://trademark.i-assist.jp/data/china/image_1923th/82065898.pdf","82065898")</f>
        <v>82065898</v>
      </c>
      <c r="F2059" s="9" t="s">
        <v>5648</v>
      </c>
      <c r="G2059" s="9" t="s">
        <v>5649</v>
      </c>
      <c r="H2059" s="9" t="s">
        <v>5650</v>
      </c>
      <c r="I2059" s="10">
        <v>45615</v>
      </c>
    </row>
    <row r="2060" spans="1:9" x14ac:dyDescent="0.15">
      <c r="A2060" s="9">
        <v>2059</v>
      </c>
      <c r="B2060" s="9" t="s">
        <v>9</v>
      </c>
      <c r="C2060" s="9">
        <v>1923</v>
      </c>
      <c r="D2060" s="10">
        <v>45701</v>
      </c>
      <c r="E2060" s="13" t="str">
        <f>+HYPERLINK("http://trademark.i-assist.jp/data/china/image_1923th/82066293.pdf","82066293")</f>
        <v>82066293</v>
      </c>
      <c r="F2060" s="9" t="s">
        <v>5651</v>
      </c>
      <c r="G2060" s="9" t="s">
        <v>20</v>
      </c>
      <c r="H2060" s="9" t="s">
        <v>5652</v>
      </c>
      <c r="I2060" s="10">
        <v>45615</v>
      </c>
    </row>
    <row r="2061" spans="1:9" x14ac:dyDescent="0.15">
      <c r="A2061" s="9">
        <v>2060</v>
      </c>
      <c r="B2061" s="9" t="s">
        <v>9</v>
      </c>
      <c r="C2061" s="9">
        <v>1923</v>
      </c>
      <c r="D2061" s="10">
        <v>45701</v>
      </c>
      <c r="E2061" s="13" t="str">
        <f>+HYPERLINK("http://trademark.i-assist.jp/data/china/image_1923th/82066762.pdf","82066762")</f>
        <v>82066762</v>
      </c>
      <c r="F2061" s="9" t="s">
        <v>5653</v>
      </c>
      <c r="G2061" s="11" t="s">
        <v>5654</v>
      </c>
      <c r="H2061" s="9" t="s">
        <v>5655</v>
      </c>
      <c r="I2061" s="10">
        <v>45616</v>
      </c>
    </row>
    <row r="2062" spans="1:9" x14ac:dyDescent="0.15">
      <c r="A2062" s="9">
        <v>2061</v>
      </c>
      <c r="B2062" s="9" t="s">
        <v>9</v>
      </c>
      <c r="C2062" s="9">
        <v>1923</v>
      </c>
      <c r="D2062" s="10">
        <v>45701</v>
      </c>
      <c r="E2062" s="13" t="str">
        <f>+HYPERLINK("http://trademark.i-assist.jp/data/china/image_1923th/82067017.pdf","82067017")</f>
        <v>82067017</v>
      </c>
      <c r="F2062" s="9" t="s">
        <v>5656</v>
      </c>
      <c r="G2062" s="9" t="s">
        <v>5657</v>
      </c>
      <c r="H2062" s="9" t="s">
        <v>5658</v>
      </c>
      <c r="I2062" s="10">
        <v>45616</v>
      </c>
    </row>
    <row r="2063" spans="1:9" x14ac:dyDescent="0.15">
      <c r="A2063" s="9">
        <v>2062</v>
      </c>
      <c r="B2063" s="9" t="s">
        <v>9</v>
      </c>
      <c r="C2063" s="9">
        <v>1923</v>
      </c>
      <c r="D2063" s="10">
        <v>45701</v>
      </c>
      <c r="E2063" s="13" t="str">
        <f>+HYPERLINK("http://trademark.i-assist.jp/data/china/image_1923th/82067347.pdf","82067347")</f>
        <v>82067347</v>
      </c>
      <c r="F2063" s="9" t="s">
        <v>5659</v>
      </c>
      <c r="G2063" s="9" t="s">
        <v>5660</v>
      </c>
      <c r="H2063" s="9" t="s">
        <v>5661</v>
      </c>
      <c r="I2063" s="10">
        <v>45616</v>
      </c>
    </row>
    <row r="2064" spans="1:9" x14ac:dyDescent="0.15">
      <c r="A2064" s="9">
        <v>2063</v>
      </c>
      <c r="B2064" s="9" t="s">
        <v>9</v>
      </c>
      <c r="C2064" s="9">
        <v>1923</v>
      </c>
      <c r="D2064" s="10">
        <v>45701</v>
      </c>
      <c r="E2064" s="13" t="str">
        <f>+HYPERLINK("http://trademark.i-assist.jp/data/china/image_1923th/82067723.pdf","82067723")</f>
        <v>82067723</v>
      </c>
      <c r="F2064" s="9" t="s">
        <v>5662</v>
      </c>
      <c r="G2064" s="9" t="s">
        <v>5663</v>
      </c>
      <c r="H2064" s="9" t="s">
        <v>5664</v>
      </c>
      <c r="I2064" s="10">
        <v>45616</v>
      </c>
    </row>
    <row r="2065" spans="1:9" x14ac:dyDescent="0.15">
      <c r="A2065" s="9">
        <v>2064</v>
      </c>
      <c r="B2065" s="9" t="s">
        <v>9</v>
      </c>
      <c r="C2065" s="9">
        <v>1923</v>
      </c>
      <c r="D2065" s="10">
        <v>45701</v>
      </c>
      <c r="E2065" s="13" t="str">
        <f>+HYPERLINK("http://trademark.i-assist.jp/data/china/image_1923th/82067835.pdf","82067835")</f>
        <v>82067835</v>
      </c>
      <c r="F2065" s="9" t="s">
        <v>5665</v>
      </c>
      <c r="G2065" s="9" t="s">
        <v>5666</v>
      </c>
      <c r="H2065" s="9" t="s">
        <v>5667</v>
      </c>
      <c r="I2065" s="10">
        <v>45616</v>
      </c>
    </row>
    <row r="2066" spans="1:9" x14ac:dyDescent="0.15">
      <c r="A2066" s="9">
        <v>2065</v>
      </c>
      <c r="B2066" s="9" t="s">
        <v>9</v>
      </c>
      <c r="C2066" s="9">
        <v>1923</v>
      </c>
      <c r="D2066" s="10">
        <v>45701</v>
      </c>
      <c r="E2066" s="13" t="str">
        <f>+HYPERLINK("http://trademark.i-assist.jp/data/china/image_1923th/82068596.pdf","82068596")</f>
        <v>82068596</v>
      </c>
      <c r="F2066" s="9" t="s">
        <v>5668</v>
      </c>
      <c r="G2066" s="9" t="s">
        <v>5669</v>
      </c>
      <c r="H2066" s="9" t="s">
        <v>5670</v>
      </c>
      <c r="I2066" s="10">
        <v>45616</v>
      </c>
    </row>
    <row r="2067" spans="1:9" x14ac:dyDescent="0.15">
      <c r="A2067" s="9">
        <v>2066</v>
      </c>
      <c r="B2067" s="9" t="s">
        <v>9</v>
      </c>
      <c r="C2067" s="9">
        <v>1923</v>
      </c>
      <c r="D2067" s="10">
        <v>45701</v>
      </c>
      <c r="E2067" s="13" t="str">
        <f>+HYPERLINK("http://trademark.i-assist.jp/data/china/image_1923th/82068613.pdf","82068613")</f>
        <v>82068613</v>
      </c>
      <c r="F2067" s="9" t="s">
        <v>5671</v>
      </c>
      <c r="G2067" s="9" t="s">
        <v>5669</v>
      </c>
      <c r="H2067" s="9" t="s">
        <v>5672</v>
      </c>
      <c r="I2067" s="10">
        <v>45616</v>
      </c>
    </row>
    <row r="2068" spans="1:9" x14ac:dyDescent="0.15">
      <c r="A2068" s="9">
        <v>2067</v>
      </c>
      <c r="B2068" s="9" t="s">
        <v>9</v>
      </c>
      <c r="C2068" s="9">
        <v>1923</v>
      </c>
      <c r="D2068" s="10">
        <v>45701</v>
      </c>
      <c r="E2068" s="13" t="str">
        <f>+HYPERLINK("http://trademark.i-assist.jp/data/china/image_1923th/82068976.pdf","82068976")</f>
        <v>82068976</v>
      </c>
      <c r="F2068" s="11" t="s">
        <v>5673</v>
      </c>
      <c r="G2068" s="9" t="s">
        <v>5674</v>
      </c>
      <c r="H2068" s="9" t="s">
        <v>5675</v>
      </c>
      <c r="I2068" s="10">
        <v>45616</v>
      </c>
    </row>
    <row r="2069" spans="1:9" x14ac:dyDescent="0.15">
      <c r="A2069" s="9">
        <v>2068</v>
      </c>
      <c r="B2069" s="9" t="s">
        <v>9</v>
      </c>
      <c r="C2069" s="9">
        <v>1923</v>
      </c>
      <c r="D2069" s="10">
        <v>45701</v>
      </c>
      <c r="E2069" s="13" t="str">
        <f>+HYPERLINK("http://trademark.i-assist.jp/data/china/image_1923th/82069481.pdf","82069481")</f>
        <v>82069481</v>
      </c>
      <c r="F2069" s="9" t="s">
        <v>5676</v>
      </c>
      <c r="G2069" s="9" t="s">
        <v>5677</v>
      </c>
      <c r="H2069" s="11" t="s">
        <v>5678</v>
      </c>
      <c r="I2069" s="10">
        <v>45616</v>
      </c>
    </row>
    <row r="2070" spans="1:9" x14ac:dyDescent="0.15">
      <c r="A2070" s="9">
        <v>2069</v>
      </c>
      <c r="B2070" s="9" t="s">
        <v>9</v>
      </c>
      <c r="C2070" s="9">
        <v>1923</v>
      </c>
      <c r="D2070" s="10">
        <v>45701</v>
      </c>
      <c r="E2070" s="13" t="str">
        <f>+HYPERLINK("http://trademark.i-assist.jp/data/china/image_1923th/82070135.pdf","82070135")</f>
        <v>82070135</v>
      </c>
      <c r="F2070" s="11" t="s">
        <v>5679</v>
      </c>
      <c r="G2070" s="11" t="s">
        <v>5680</v>
      </c>
      <c r="H2070" s="9" t="s">
        <v>5681</v>
      </c>
      <c r="I2070" s="10">
        <v>45616</v>
      </c>
    </row>
    <row r="2071" spans="1:9" x14ac:dyDescent="0.15">
      <c r="A2071" s="9">
        <v>2070</v>
      </c>
      <c r="B2071" s="9" t="s">
        <v>9</v>
      </c>
      <c r="C2071" s="9">
        <v>1923</v>
      </c>
      <c r="D2071" s="10">
        <v>45701</v>
      </c>
      <c r="E2071" s="13" t="str">
        <f>+HYPERLINK("http://trademark.i-assist.jp/data/china/image_1923th/82070803.pdf","82070803")</f>
        <v>82070803</v>
      </c>
      <c r="F2071" s="9" t="s">
        <v>5682</v>
      </c>
      <c r="G2071" s="9" t="s">
        <v>5683</v>
      </c>
      <c r="H2071" s="9" t="s">
        <v>5684</v>
      </c>
      <c r="I2071" s="10">
        <v>45616</v>
      </c>
    </row>
    <row r="2072" spans="1:9" x14ac:dyDescent="0.15">
      <c r="A2072" s="9">
        <v>2071</v>
      </c>
      <c r="B2072" s="9" t="s">
        <v>9</v>
      </c>
      <c r="C2072" s="9">
        <v>1923</v>
      </c>
      <c r="D2072" s="10">
        <v>45701</v>
      </c>
      <c r="E2072" s="13" t="str">
        <f>+HYPERLINK("http://trademark.i-assist.jp/data/china/image_1923th/82070946.pdf","82070946")</f>
        <v>82070946</v>
      </c>
      <c r="F2072" s="9" t="s">
        <v>5685</v>
      </c>
      <c r="G2072" s="9" t="s">
        <v>5686</v>
      </c>
      <c r="H2072" s="9" t="s">
        <v>5687</v>
      </c>
      <c r="I2072" s="10">
        <v>45616</v>
      </c>
    </row>
    <row r="2073" spans="1:9" x14ac:dyDescent="0.15">
      <c r="A2073" s="9">
        <v>2072</v>
      </c>
      <c r="B2073" s="9" t="s">
        <v>9</v>
      </c>
      <c r="C2073" s="9">
        <v>1923</v>
      </c>
      <c r="D2073" s="10">
        <v>45701</v>
      </c>
      <c r="E2073" s="13" t="str">
        <f>+HYPERLINK("http://trademark.i-assist.jp/data/china/image_1923th/82070952.pdf","82070952")</f>
        <v>82070952</v>
      </c>
      <c r="F2073" s="9" t="s">
        <v>5688</v>
      </c>
      <c r="G2073" s="9" t="s">
        <v>5689</v>
      </c>
      <c r="H2073" s="9" t="s">
        <v>5690</v>
      </c>
      <c r="I2073" s="10">
        <v>45616</v>
      </c>
    </row>
    <row r="2074" spans="1:9" x14ac:dyDescent="0.15">
      <c r="A2074" s="9">
        <v>2073</v>
      </c>
      <c r="B2074" s="9" t="s">
        <v>9</v>
      </c>
      <c r="C2074" s="9">
        <v>1923</v>
      </c>
      <c r="D2074" s="10">
        <v>45701</v>
      </c>
      <c r="E2074" s="13" t="str">
        <f>+HYPERLINK("http://trademark.i-assist.jp/data/china/image_1923th/82070985.pdf","82070985")</f>
        <v>82070985</v>
      </c>
      <c r="F2074" s="9" t="s">
        <v>5691</v>
      </c>
      <c r="G2074" s="9" t="s">
        <v>5692</v>
      </c>
      <c r="H2074" s="9" t="s">
        <v>5693</v>
      </c>
      <c r="I2074" s="10">
        <v>45616</v>
      </c>
    </row>
    <row r="2075" spans="1:9" x14ac:dyDescent="0.15">
      <c r="A2075" s="9">
        <v>2074</v>
      </c>
      <c r="B2075" s="9" t="s">
        <v>9</v>
      </c>
      <c r="C2075" s="9">
        <v>1923</v>
      </c>
      <c r="D2075" s="10">
        <v>45701</v>
      </c>
      <c r="E2075" s="13" t="str">
        <f>+HYPERLINK("http://trademark.i-assist.jp/data/china/image_1923th/82071616.pdf","82071616")</f>
        <v>82071616</v>
      </c>
      <c r="F2075" s="11" t="s">
        <v>5694</v>
      </c>
      <c r="G2075" s="9" t="s">
        <v>5695</v>
      </c>
      <c r="H2075" s="9" t="s">
        <v>5696</v>
      </c>
      <c r="I2075" s="10">
        <v>45616</v>
      </c>
    </row>
    <row r="2076" spans="1:9" x14ac:dyDescent="0.15">
      <c r="A2076" s="9">
        <v>2075</v>
      </c>
      <c r="B2076" s="9" t="s">
        <v>9</v>
      </c>
      <c r="C2076" s="9">
        <v>1923</v>
      </c>
      <c r="D2076" s="10">
        <v>45701</v>
      </c>
      <c r="E2076" s="13" t="str">
        <f>+HYPERLINK("http://trademark.i-assist.jp/data/china/image_1923th/82071847.pdf","82071847")</f>
        <v>82071847</v>
      </c>
      <c r="F2076" s="9" t="s">
        <v>5697</v>
      </c>
      <c r="G2076" s="11" t="s">
        <v>5698</v>
      </c>
      <c r="H2076" s="9" t="s">
        <v>5699</v>
      </c>
      <c r="I2076" s="10">
        <v>45616</v>
      </c>
    </row>
    <row r="2077" spans="1:9" x14ac:dyDescent="0.15">
      <c r="A2077" s="9">
        <v>2076</v>
      </c>
      <c r="B2077" s="9" t="s">
        <v>9</v>
      </c>
      <c r="C2077" s="9">
        <v>1923</v>
      </c>
      <c r="D2077" s="10">
        <v>45701</v>
      </c>
      <c r="E2077" s="13" t="str">
        <f>+HYPERLINK("http://trademark.i-assist.jp/data/china/image_1923th/82072073.pdf","82072073")</f>
        <v>82072073</v>
      </c>
      <c r="F2077" s="11" t="s">
        <v>5700</v>
      </c>
      <c r="G2077" s="9" t="s">
        <v>5701</v>
      </c>
      <c r="H2077" s="9" t="s">
        <v>5702</v>
      </c>
      <c r="I2077" s="10">
        <v>45616</v>
      </c>
    </row>
    <row r="2078" spans="1:9" x14ac:dyDescent="0.15">
      <c r="A2078" s="9">
        <v>2077</v>
      </c>
      <c r="B2078" s="9" t="s">
        <v>9</v>
      </c>
      <c r="C2078" s="9">
        <v>1923</v>
      </c>
      <c r="D2078" s="10">
        <v>45701</v>
      </c>
      <c r="E2078" s="13" t="str">
        <f>+HYPERLINK("http://trademark.i-assist.jp/data/china/image_1923th/82072332.pdf","82072332")</f>
        <v>82072332</v>
      </c>
      <c r="F2078" s="9" t="s">
        <v>5703</v>
      </c>
      <c r="G2078" s="9" t="s">
        <v>5704</v>
      </c>
      <c r="H2078" s="11" t="s">
        <v>5705</v>
      </c>
      <c r="I2078" s="10">
        <v>45616</v>
      </c>
    </row>
    <row r="2079" spans="1:9" x14ac:dyDescent="0.15">
      <c r="A2079" s="9">
        <v>2078</v>
      </c>
      <c r="B2079" s="9" t="s">
        <v>9</v>
      </c>
      <c r="C2079" s="9">
        <v>1923</v>
      </c>
      <c r="D2079" s="10">
        <v>45701</v>
      </c>
      <c r="E2079" s="13" t="str">
        <f>+HYPERLINK("http://trademark.i-assist.jp/data/china/image_1923th/82072392.pdf","82072392")</f>
        <v>82072392</v>
      </c>
      <c r="F2079" s="11" t="s">
        <v>5706</v>
      </c>
      <c r="G2079" s="9" t="s">
        <v>5701</v>
      </c>
      <c r="H2079" s="9" t="s">
        <v>5707</v>
      </c>
      <c r="I2079" s="10">
        <v>45616</v>
      </c>
    </row>
    <row r="2080" spans="1:9" x14ac:dyDescent="0.15">
      <c r="A2080" s="9">
        <v>2079</v>
      </c>
      <c r="B2080" s="9" t="s">
        <v>9</v>
      </c>
      <c r="C2080" s="9">
        <v>1923</v>
      </c>
      <c r="D2080" s="10">
        <v>45701</v>
      </c>
      <c r="E2080" s="13" t="str">
        <f>+HYPERLINK("http://trademark.i-assist.jp/data/china/image_1923th/82072558.pdf","82072558")</f>
        <v>82072558</v>
      </c>
      <c r="F2080" s="9" t="s">
        <v>5708</v>
      </c>
      <c r="G2080" s="9" t="s">
        <v>5669</v>
      </c>
      <c r="H2080" s="9" t="s">
        <v>5709</v>
      </c>
      <c r="I2080" s="10">
        <v>45616</v>
      </c>
    </row>
    <row r="2081" spans="1:9" x14ac:dyDescent="0.15">
      <c r="A2081" s="9">
        <v>2080</v>
      </c>
      <c r="B2081" s="9" t="s">
        <v>9</v>
      </c>
      <c r="C2081" s="9">
        <v>1923</v>
      </c>
      <c r="D2081" s="10">
        <v>45701</v>
      </c>
      <c r="E2081" s="13" t="str">
        <f>+HYPERLINK("http://trademark.i-assist.jp/data/china/image_1923th/82073187.pdf","82073187")</f>
        <v>82073187</v>
      </c>
      <c r="F2081" s="9" t="s">
        <v>5710</v>
      </c>
      <c r="G2081" s="9" t="s">
        <v>5711</v>
      </c>
      <c r="H2081" s="9" t="s">
        <v>5712</v>
      </c>
      <c r="I2081" s="10">
        <v>45616</v>
      </c>
    </row>
    <row r="2082" spans="1:9" x14ac:dyDescent="0.15">
      <c r="A2082" s="9">
        <v>2081</v>
      </c>
      <c r="B2082" s="9" t="s">
        <v>9</v>
      </c>
      <c r="C2082" s="9">
        <v>1923</v>
      </c>
      <c r="D2082" s="10">
        <v>45701</v>
      </c>
      <c r="E2082" s="13" t="str">
        <f>+HYPERLINK("http://trademark.i-assist.jp/data/china/image_1923th/82073680.pdf","82073680")</f>
        <v>82073680</v>
      </c>
      <c r="F2082" s="9" t="s">
        <v>5713</v>
      </c>
      <c r="G2082" s="9" t="s">
        <v>38</v>
      </c>
      <c r="H2082" s="9" t="s">
        <v>5714</v>
      </c>
      <c r="I2082" s="10">
        <v>45616</v>
      </c>
    </row>
    <row r="2083" spans="1:9" x14ac:dyDescent="0.15">
      <c r="A2083" s="9">
        <v>2082</v>
      </c>
      <c r="B2083" s="9" t="s">
        <v>9</v>
      </c>
      <c r="C2083" s="9">
        <v>1923</v>
      </c>
      <c r="D2083" s="10">
        <v>45701</v>
      </c>
      <c r="E2083" s="13" t="str">
        <f>+HYPERLINK("http://trademark.i-assist.jp/data/china/image_1923th/82073691.pdf","82073691")</f>
        <v>82073691</v>
      </c>
      <c r="F2083" s="9" t="s">
        <v>5715</v>
      </c>
      <c r="G2083" s="9" t="s">
        <v>5716</v>
      </c>
      <c r="H2083" s="9" t="s">
        <v>5717</v>
      </c>
      <c r="I2083" s="10">
        <v>45616</v>
      </c>
    </row>
    <row r="2084" spans="1:9" x14ac:dyDescent="0.15">
      <c r="A2084" s="9">
        <v>2083</v>
      </c>
      <c r="B2084" s="9" t="s">
        <v>9</v>
      </c>
      <c r="C2084" s="9">
        <v>1923</v>
      </c>
      <c r="D2084" s="10">
        <v>45701</v>
      </c>
      <c r="E2084" s="13" t="str">
        <f>+HYPERLINK("http://trademark.i-assist.jp/data/china/image_1923th/82073762.pdf","82073762")</f>
        <v>82073762</v>
      </c>
      <c r="F2084" s="11" t="s">
        <v>126</v>
      </c>
      <c r="G2084" s="11" t="s">
        <v>5654</v>
      </c>
      <c r="H2084" s="11" t="s">
        <v>5718</v>
      </c>
      <c r="I2084" s="10">
        <v>45616</v>
      </c>
    </row>
    <row r="2085" spans="1:9" x14ac:dyDescent="0.15">
      <c r="A2085" s="9">
        <v>2084</v>
      </c>
      <c r="B2085" s="9" t="s">
        <v>9</v>
      </c>
      <c r="C2085" s="9">
        <v>1923</v>
      </c>
      <c r="D2085" s="10">
        <v>45701</v>
      </c>
      <c r="E2085" s="13" t="str">
        <f>+HYPERLINK("http://trademark.i-assist.jp/data/china/image_1923th/82074195.pdf","82074195")</f>
        <v>82074195</v>
      </c>
      <c r="F2085" s="11" t="s">
        <v>5719</v>
      </c>
      <c r="G2085" s="9" t="s">
        <v>5720</v>
      </c>
      <c r="H2085" s="9" t="s">
        <v>5721</v>
      </c>
      <c r="I2085" s="10">
        <v>45616</v>
      </c>
    </row>
    <row r="2086" spans="1:9" x14ac:dyDescent="0.15">
      <c r="A2086" s="9">
        <v>2085</v>
      </c>
      <c r="B2086" s="9" t="s">
        <v>9</v>
      </c>
      <c r="C2086" s="9">
        <v>1923</v>
      </c>
      <c r="D2086" s="10">
        <v>45701</v>
      </c>
      <c r="E2086" s="13" t="str">
        <f>+HYPERLINK("http://trademark.i-assist.jp/data/china/image_1923th/82074494.pdf","82074494")</f>
        <v>82074494</v>
      </c>
      <c r="F2086" s="9" t="s">
        <v>5722</v>
      </c>
      <c r="G2086" s="9" t="s">
        <v>5723</v>
      </c>
      <c r="H2086" s="9" t="s">
        <v>5724</v>
      </c>
      <c r="I2086" s="10">
        <v>45616</v>
      </c>
    </row>
    <row r="2087" spans="1:9" x14ac:dyDescent="0.15">
      <c r="A2087" s="9">
        <v>2086</v>
      </c>
      <c r="B2087" s="9" t="s">
        <v>9</v>
      </c>
      <c r="C2087" s="9">
        <v>1923</v>
      </c>
      <c r="D2087" s="10">
        <v>45701</v>
      </c>
      <c r="E2087" s="13" t="str">
        <f>+HYPERLINK("http://trademark.i-assist.jp/data/china/image_1923th/82074726.pdf","82074726")</f>
        <v>82074726</v>
      </c>
      <c r="F2087" s="11" t="s">
        <v>5725</v>
      </c>
      <c r="G2087" s="9" t="s">
        <v>5726</v>
      </c>
      <c r="H2087" s="9" t="s">
        <v>5727</v>
      </c>
      <c r="I2087" s="10">
        <v>45616</v>
      </c>
    </row>
    <row r="2088" spans="1:9" x14ac:dyDescent="0.15">
      <c r="A2088" s="9">
        <v>2087</v>
      </c>
      <c r="B2088" s="9" t="s">
        <v>9</v>
      </c>
      <c r="C2088" s="9">
        <v>1923</v>
      </c>
      <c r="D2088" s="10">
        <v>45701</v>
      </c>
      <c r="E2088" s="13" t="str">
        <f>+HYPERLINK("http://trademark.i-assist.jp/data/china/image_1923th/82074936.pdf","82074936")</f>
        <v>82074936</v>
      </c>
      <c r="F2088" s="9" t="s">
        <v>5728</v>
      </c>
      <c r="G2088" s="9" t="s">
        <v>5729</v>
      </c>
      <c r="H2088" s="9" t="s">
        <v>5730</v>
      </c>
      <c r="I2088" s="10">
        <v>45616</v>
      </c>
    </row>
    <row r="2089" spans="1:9" x14ac:dyDescent="0.15">
      <c r="A2089" s="9">
        <v>2088</v>
      </c>
      <c r="B2089" s="9" t="s">
        <v>9</v>
      </c>
      <c r="C2089" s="9">
        <v>1923</v>
      </c>
      <c r="D2089" s="10">
        <v>45701</v>
      </c>
      <c r="E2089" s="13" t="str">
        <f>+HYPERLINK("http://trademark.i-assist.jp/data/china/image_1923th/82075344.pdf","82075344")</f>
        <v>82075344</v>
      </c>
      <c r="F2089" s="9" t="s">
        <v>5731</v>
      </c>
      <c r="G2089" s="9" t="s">
        <v>5732</v>
      </c>
      <c r="H2089" s="9" t="s">
        <v>5733</v>
      </c>
      <c r="I2089" s="10">
        <v>45616</v>
      </c>
    </row>
    <row r="2090" spans="1:9" x14ac:dyDescent="0.15">
      <c r="A2090" s="9">
        <v>2089</v>
      </c>
      <c r="B2090" s="9" t="s">
        <v>9</v>
      </c>
      <c r="C2090" s="9">
        <v>1923</v>
      </c>
      <c r="D2090" s="10">
        <v>45701</v>
      </c>
      <c r="E2090" s="13" t="str">
        <f>+HYPERLINK("http://trademark.i-assist.jp/data/china/image_1923th/82075467.pdf","82075467")</f>
        <v>82075467</v>
      </c>
      <c r="F2090" s="9" t="s">
        <v>5734</v>
      </c>
      <c r="G2090" s="9" t="s">
        <v>5735</v>
      </c>
      <c r="H2090" s="11" t="s">
        <v>5736</v>
      </c>
      <c r="I2090" s="10">
        <v>45616</v>
      </c>
    </row>
    <row r="2091" spans="1:9" x14ac:dyDescent="0.15">
      <c r="A2091" s="9">
        <v>2090</v>
      </c>
      <c r="B2091" s="9" t="s">
        <v>9</v>
      </c>
      <c r="C2091" s="9">
        <v>1923</v>
      </c>
      <c r="D2091" s="10">
        <v>45701</v>
      </c>
      <c r="E2091" s="13" t="str">
        <f>+HYPERLINK("http://trademark.i-assist.jp/data/china/image_1923th/82075508.pdf","82075508")</f>
        <v>82075508</v>
      </c>
      <c r="F2091" s="11" t="s">
        <v>126</v>
      </c>
      <c r="G2091" s="9" t="s">
        <v>5737</v>
      </c>
      <c r="H2091" s="11" t="s">
        <v>5738</v>
      </c>
      <c r="I2091" s="10">
        <v>45616</v>
      </c>
    </row>
    <row r="2092" spans="1:9" x14ac:dyDescent="0.15">
      <c r="A2092" s="9">
        <v>2091</v>
      </c>
      <c r="B2092" s="9" t="s">
        <v>9</v>
      </c>
      <c r="C2092" s="9">
        <v>1923</v>
      </c>
      <c r="D2092" s="10">
        <v>45701</v>
      </c>
      <c r="E2092" s="13" t="str">
        <f>+HYPERLINK("http://trademark.i-assist.jp/data/china/image_1923th/82075522.pdf","82075522")</f>
        <v>82075522</v>
      </c>
      <c r="F2092" s="9" t="s">
        <v>5739</v>
      </c>
      <c r="G2092" s="9" t="s">
        <v>5740</v>
      </c>
      <c r="H2092" s="9" t="s">
        <v>5741</v>
      </c>
      <c r="I2092" s="10">
        <v>45616</v>
      </c>
    </row>
    <row r="2093" spans="1:9" x14ac:dyDescent="0.15">
      <c r="A2093" s="9">
        <v>2092</v>
      </c>
      <c r="B2093" s="9" t="s">
        <v>9</v>
      </c>
      <c r="C2093" s="9">
        <v>1923</v>
      </c>
      <c r="D2093" s="10">
        <v>45701</v>
      </c>
      <c r="E2093" s="13" t="str">
        <f>+HYPERLINK("http://trademark.i-assist.jp/data/china/image_1923th/82075929.pdf","82075929")</f>
        <v>82075929</v>
      </c>
      <c r="F2093" s="9" t="s">
        <v>5742</v>
      </c>
      <c r="G2093" s="9" t="s">
        <v>5723</v>
      </c>
      <c r="H2093" s="9" t="s">
        <v>5743</v>
      </c>
      <c r="I2093" s="10">
        <v>45616</v>
      </c>
    </row>
    <row r="2094" spans="1:9" x14ac:dyDescent="0.15">
      <c r="A2094" s="9">
        <v>2093</v>
      </c>
      <c r="B2094" s="9" t="s">
        <v>9</v>
      </c>
      <c r="C2094" s="9">
        <v>1923</v>
      </c>
      <c r="D2094" s="10">
        <v>45701</v>
      </c>
      <c r="E2094" s="13" t="str">
        <f>+HYPERLINK("http://trademark.i-assist.jp/data/china/image_1923th/82076977.pdf","82076977")</f>
        <v>82076977</v>
      </c>
      <c r="F2094" s="9" t="s">
        <v>5744</v>
      </c>
      <c r="G2094" s="9" t="s">
        <v>5669</v>
      </c>
      <c r="H2094" s="11" t="s">
        <v>5745</v>
      </c>
      <c r="I2094" s="10">
        <v>45616</v>
      </c>
    </row>
    <row r="2095" spans="1:9" x14ac:dyDescent="0.15">
      <c r="A2095" s="9">
        <v>2094</v>
      </c>
      <c r="B2095" s="9" t="s">
        <v>9</v>
      </c>
      <c r="C2095" s="9">
        <v>1923</v>
      </c>
      <c r="D2095" s="10">
        <v>45701</v>
      </c>
      <c r="E2095" s="13" t="str">
        <f>+HYPERLINK("http://trademark.i-assist.jp/data/china/image_1923th/82077007.pdf","82077007")</f>
        <v>82077007</v>
      </c>
      <c r="F2095" s="9" t="s">
        <v>5746</v>
      </c>
      <c r="G2095" s="9" t="s">
        <v>5747</v>
      </c>
      <c r="H2095" s="9" t="s">
        <v>5748</v>
      </c>
      <c r="I2095" s="10">
        <v>45616</v>
      </c>
    </row>
    <row r="2096" spans="1:9" x14ac:dyDescent="0.15">
      <c r="A2096" s="9">
        <v>2095</v>
      </c>
      <c r="B2096" s="9" t="s">
        <v>9</v>
      </c>
      <c r="C2096" s="9">
        <v>1923</v>
      </c>
      <c r="D2096" s="10">
        <v>45701</v>
      </c>
      <c r="E2096" s="13" t="str">
        <f>+HYPERLINK("http://trademark.i-assist.jp/data/china/image_1923th/82077066.pdf","82077066")</f>
        <v>82077066</v>
      </c>
      <c r="F2096" s="11" t="s">
        <v>5749</v>
      </c>
      <c r="G2096" s="9" t="s">
        <v>5750</v>
      </c>
      <c r="H2096" s="9" t="s">
        <v>5751</v>
      </c>
      <c r="I2096" s="10">
        <v>45616</v>
      </c>
    </row>
    <row r="2097" spans="1:9" x14ac:dyDescent="0.15">
      <c r="A2097" s="9">
        <v>2096</v>
      </c>
      <c r="B2097" s="9" t="s">
        <v>9</v>
      </c>
      <c r="C2097" s="9">
        <v>1923</v>
      </c>
      <c r="D2097" s="10">
        <v>45701</v>
      </c>
      <c r="E2097" s="13" t="str">
        <f>+HYPERLINK("http://trademark.i-assist.jp/data/china/image_1923th/82077289.pdf","82077289")</f>
        <v>82077289</v>
      </c>
      <c r="F2097" s="9" t="s">
        <v>5752</v>
      </c>
      <c r="G2097" s="9" t="s">
        <v>5660</v>
      </c>
      <c r="H2097" s="9" t="s">
        <v>5753</v>
      </c>
      <c r="I2097" s="10">
        <v>45616</v>
      </c>
    </row>
    <row r="2098" spans="1:9" x14ac:dyDescent="0.15">
      <c r="A2098" s="9">
        <v>2097</v>
      </c>
      <c r="B2098" s="9" t="s">
        <v>9</v>
      </c>
      <c r="C2098" s="9">
        <v>1923</v>
      </c>
      <c r="D2098" s="10">
        <v>45701</v>
      </c>
      <c r="E2098" s="13" t="str">
        <f>+HYPERLINK("http://trademark.i-assist.jp/data/china/image_1923th/82077575.pdf","82077575")</f>
        <v>82077575</v>
      </c>
      <c r="F2098" s="9" t="s">
        <v>5754</v>
      </c>
      <c r="G2098" s="9" t="s">
        <v>5755</v>
      </c>
      <c r="H2098" s="9" t="s">
        <v>5756</v>
      </c>
      <c r="I2098" s="10">
        <v>45616</v>
      </c>
    </row>
    <row r="2099" spans="1:9" x14ac:dyDescent="0.15">
      <c r="A2099" s="9">
        <v>2098</v>
      </c>
      <c r="B2099" s="9" t="s">
        <v>9</v>
      </c>
      <c r="C2099" s="9">
        <v>1923</v>
      </c>
      <c r="D2099" s="10">
        <v>45701</v>
      </c>
      <c r="E2099" s="13" t="str">
        <f>+HYPERLINK("http://trademark.i-assist.jp/data/china/image_1923th/82077579.pdf","82077579")</f>
        <v>82077579</v>
      </c>
      <c r="F2099" s="9" t="s">
        <v>5757</v>
      </c>
      <c r="G2099" s="9" t="s">
        <v>5755</v>
      </c>
      <c r="H2099" s="9" t="s">
        <v>5758</v>
      </c>
      <c r="I2099" s="10">
        <v>45616</v>
      </c>
    </row>
    <row r="2100" spans="1:9" x14ac:dyDescent="0.15">
      <c r="A2100" s="9">
        <v>2099</v>
      </c>
      <c r="B2100" s="9" t="s">
        <v>9</v>
      </c>
      <c r="C2100" s="9">
        <v>1923</v>
      </c>
      <c r="D2100" s="10">
        <v>45701</v>
      </c>
      <c r="E2100" s="13" t="str">
        <f>+HYPERLINK("http://trademark.i-assist.jp/data/china/image_1923th/82077732.pdf","82077732")</f>
        <v>82077732</v>
      </c>
      <c r="F2100" s="9" t="s">
        <v>5759</v>
      </c>
      <c r="G2100" s="9" t="s">
        <v>5760</v>
      </c>
      <c r="H2100" s="11" t="s">
        <v>5761</v>
      </c>
      <c r="I2100" s="10">
        <v>45616</v>
      </c>
    </row>
    <row r="2101" spans="1:9" x14ac:dyDescent="0.15">
      <c r="A2101" s="9">
        <v>2100</v>
      </c>
      <c r="B2101" s="9" t="s">
        <v>9</v>
      </c>
      <c r="C2101" s="9">
        <v>1923</v>
      </c>
      <c r="D2101" s="10">
        <v>45701</v>
      </c>
      <c r="E2101" s="13" t="str">
        <f>+HYPERLINK("http://trademark.i-assist.jp/data/china/image_1923th/82077935.pdf","82077935")</f>
        <v>82077935</v>
      </c>
      <c r="F2101" s="11" t="s">
        <v>5762</v>
      </c>
      <c r="G2101" s="9" t="s">
        <v>5701</v>
      </c>
      <c r="H2101" s="9" t="s">
        <v>5763</v>
      </c>
      <c r="I2101" s="10">
        <v>45616</v>
      </c>
    </row>
    <row r="2102" spans="1:9" x14ac:dyDescent="0.15">
      <c r="A2102" s="9">
        <v>2101</v>
      </c>
      <c r="B2102" s="9" t="s">
        <v>9</v>
      </c>
      <c r="C2102" s="9">
        <v>1923</v>
      </c>
      <c r="D2102" s="10">
        <v>45701</v>
      </c>
      <c r="E2102" s="13" t="str">
        <f>+HYPERLINK("http://trademark.i-assist.jp/data/china/image_1923th/82078174.pdf","82078174")</f>
        <v>82078174</v>
      </c>
      <c r="F2102" s="11" t="s">
        <v>5764</v>
      </c>
      <c r="G2102" s="9" t="s">
        <v>5716</v>
      </c>
      <c r="H2102" s="9" t="s">
        <v>5765</v>
      </c>
      <c r="I2102" s="10">
        <v>45616</v>
      </c>
    </row>
    <row r="2103" spans="1:9" x14ac:dyDescent="0.15">
      <c r="A2103" s="9">
        <v>2102</v>
      </c>
      <c r="B2103" s="9" t="s">
        <v>9</v>
      </c>
      <c r="C2103" s="9">
        <v>1923</v>
      </c>
      <c r="D2103" s="10">
        <v>45701</v>
      </c>
      <c r="E2103" s="13" t="str">
        <f>+HYPERLINK("http://trademark.i-assist.jp/data/china/image_1923th/82078908.pdf","82078908")</f>
        <v>82078908</v>
      </c>
      <c r="F2103" s="9" t="s">
        <v>5766</v>
      </c>
      <c r="G2103" s="11" t="s">
        <v>5767</v>
      </c>
      <c r="H2103" s="9" t="s">
        <v>5768</v>
      </c>
      <c r="I2103" s="10">
        <v>45616</v>
      </c>
    </row>
    <row r="2104" spans="1:9" x14ac:dyDescent="0.15">
      <c r="A2104" s="9">
        <v>2103</v>
      </c>
      <c r="B2104" s="9" t="s">
        <v>9</v>
      </c>
      <c r="C2104" s="9">
        <v>1923</v>
      </c>
      <c r="D2104" s="10">
        <v>45701</v>
      </c>
      <c r="E2104" s="13" t="str">
        <f>+HYPERLINK("http://trademark.i-assist.jp/data/china/image_1923th/82078994.pdf","82078994")</f>
        <v>82078994</v>
      </c>
      <c r="F2104" s="11" t="s">
        <v>5700</v>
      </c>
      <c r="G2104" s="9" t="s">
        <v>5701</v>
      </c>
      <c r="H2104" s="9" t="s">
        <v>5769</v>
      </c>
      <c r="I2104" s="10">
        <v>45616</v>
      </c>
    </row>
    <row r="2105" spans="1:9" x14ac:dyDescent="0.15">
      <c r="A2105" s="9">
        <v>2104</v>
      </c>
      <c r="B2105" s="9" t="s">
        <v>9</v>
      </c>
      <c r="C2105" s="9">
        <v>1923</v>
      </c>
      <c r="D2105" s="10">
        <v>45701</v>
      </c>
      <c r="E2105" s="13" t="str">
        <f>+HYPERLINK("http://trademark.i-assist.jp/data/china/image_1923th/82079031.pdf","82079031")</f>
        <v>82079031</v>
      </c>
      <c r="F2105" s="9" t="s">
        <v>5770</v>
      </c>
      <c r="G2105" s="9" t="s">
        <v>5716</v>
      </c>
      <c r="H2105" s="9" t="s">
        <v>5771</v>
      </c>
      <c r="I2105" s="10">
        <v>45616</v>
      </c>
    </row>
    <row r="2106" spans="1:9" x14ac:dyDescent="0.15">
      <c r="A2106" s="9">
        <v>2105</v>
      </c>
      <c r="B2106" s="9" t="s">
        <v>9</v>
      </c>
      <c r="C2106" s="9">
        <v>1923</v>
      </c>
      <c r="D2106" s="10">
        <v>45701</v>
      </c>
      <c r="E2106" s="13" t="str">
        <f>+HYPERLINK("http://trademark.i-assist.jp/data/china/image_1923th/82079768.pdf","82079768")</f>
        <v>82079768</v>
      </c>
      <c r="F2106" s="9" t="s">
        <v>5772</v>
      </c>
      <c r="G2106" s="9" t="s">
        <v>5773</v>
      </c>
      <c r="H2106" s="9" t="s">
        <v>5774</v>
      </c>
      <c r="I2106" s="10">
        <v>45616</v>
      </c>
    </row>
    <row r="2107" spans="1:9" x14ac:dyDescent="0.15">
      <c r="A2107" s="9">
        <v>2106</v>
      </c>
      <c r="B2107" s="9" t="s">
        <v>9</v>
      </c>
      <c r="C2107" s="9">
        <v>1923</v>
      </c>
      <c r="D2107" s="10">
        <v>45701</v>
      </c>
      <c r="E2107" s="13" t="str">
        <f>+HYPERLINK("http://trademark.i-assist.jp/data/china/image_1923th/82080339.pdf","82080339")</f>
        <v>82080339</v>
      </c>
      <c r="F2107" s="9" t="s">
        <v>5775</v>
      </c>
      <c r="G2107" s="9" t="s">
        <v>5776</v>
      </c>
      <c r="H2107" s="9" t="s">
        <v>5777</v>
      </c>
      <c r="I2107" s="10">
        <v>45616</v>
      </c>
    </row>
    <row r="2108" spans="1:9" x14ac:dyDescent="0.15">
      <c r="A2108" s="9">
        <v>2107</v>
      </c>
      <c r="B2108" s="9" t="s">
        <v>9</v>
      </c>
      <c r="C2108" s="9">
        <v>1923</v>
      </c>
      <c r="D2108" s="10">
        <v>45701</v>
      </c>
      <c r="E2108" s="13" t="str">
        <f>+HYPERLINK("http://trademark.i-assist.jp/data/china/image_1923th/82081458.pdf","82081458")</f>
        <v>82081458</v>
      </c>
      <c r="F2108" s="9" t="s">
        <v>5778</v>
      </c>
      <c r="G2108" s="9" t="s">
        <v>5359</v>
      </c>
      <c r="H2108" s="11" t="s">
        <v>5779</v>
      </c>
      <c r="I2108" s="10">
        <v>45616</v>
      </c>
    </row>
    <row r="2109" spans="1:9" x14ac:dyDescent="0.15">
      <c r="A2109" s="9">
        <v>2108</v>
      </c>
      <c r="B2109" s="9" t="s">
        <v>9</v>
      </c>
      <c r="C2109" s="9">
        <v>1923</v>
      </c>
      <c r="D2109" s="10">
        <v>45701</v>
      </c>
      <c r="E2109" s="13" t="str">
        <f>+HYPERLINK("http://trademark.i-assist.jp/data/china/image_1923th/82081475.pdf","82081475")</f>
        <v>82081475</v>
      </c>
      <c r="F2109" s="9" t="s">
        <v>5780</v>
      </c>
      <c r="G2109" s="9" t="s">
        <v>5669</v>
      </c>
      <c r="H2109" s="11" t="s">
        <v>5781</v>
      </c>
      <c r="I2109" s="10">
        <v>45616</v>
      </c>
    </row>
    <row r="2110" spans="1:9" x14ac:dyDescent="0.15">
      <c r="A2110" s="9">
        <v>2109</v>
      </c>
      <c r="B2110" s="9" t="s">
        <v>9</v>
      </c>
      <c r="C2110" s="9">
        <v>1923</v>
      </c>
      <c r="D2110" s="10">
        <v>45701</v>
      </c>
      <c r="E2110" s="13" t="str">
        <f>+HYPERLINK("http://trademark.i-assist.jp/data/china/image_1923th/82081479.pdf","82081479")</f>
        <v>82081479</v>
      </c>
      <c r="F2110" s="9" t="s">
        <v>5782</v>
      </c>
      <c r="G2110" s="9" t="s">
        <v>5669</v>
      </c>
      <c r="H2110" s="9" t="s">
        <v>5783</v>
      </c>
      <c r="I2110" s="10">
        <v>45616</v>
      </c>
    </row>
    <row r="2111" spans="1:9" x14ac:dyDescent="0.15">
      <c r="A2111" s="9">
        <v>2110</v>
      </c>
      <c r="B2111" s="9" t="s">
        <v>9</v>
      </c>
      <c r="C2111" s="9">
        <v>1923</v>
      </c>
      <c r="D2111" s="10">
        <v>45701</v>
      </c>
      <c r="E2111" s="13" t="str">
        <f>+HYPERLINK("http://trademark.i-assist.jp/data/china/image_1923th/82081809.pdf","82081809")</f>
        <v>82081809</v>
      </c>
      <c r="F2111" s="11" t="s">
        <v>5784</v>
      </c>
      <c r="G2111" s="9" t="s">
        <v>5785</v>
      </c>
      <c r="H2111" s="9" t="s">
        <v>5786</v>
      </c>
      <c r="I2111" s="10">
        <v>45616</v>
      </c>
    </row>
    <row r="2112" spans="1:9" x14ac:dyDescent="0.15">
      <c r="A2112" s="9">
        <v>2111</v>
      </c>
      <c r="B2112" s="9" t="s">
        <v>9</v>
      </c>
      <c r="C2112" s="9">
        <v>1923</v>
      </c>
      <c r="D2112" s="10">
        <v>45701</v>
      </c>
      <c r="E2112" s="13" t="str">
        <f>+HYPERLINK("http://trademark.i-assist.jp/data/china/image_1923th/82081855.pdf","82081855")</f>
        <v>82081855</v>
      </c>
      <c r="F2112" s="9" t="s">
        <v>5787</v>
      </c>
      <c r="G2112" s="9" t="s">
        <v>5788</v>
      </c>
      <c r="H2112" s="9" t="s">
        <v>5789</v>
      </c>
      <c r="I2112" s="10">
        <v>45616</v>
      </c>
    </row>
    <row r="2113" spans="1:9" x14ac:dyDescent="0.15">
      <c r="A2113" s="9">
        <v>2112</v>
      </c>
      <c r="B2113" s="9" t="s">
        <v>9</v>
      </c>
      <c r="C2113" s="9">
        <v>1923</v>
      </c>
      <c r="D2113" s="10">
        <v>45701</v>
      </c>
      <c r="E2113" s="13" t="str">
        <f>+HYPERLINK("http://trademark.i-assist.jp/data/china/image_1923th/82082748.pdf","82082748")</f>
        <v>82082748</v>
      </c>
      <c r="F2113" s="11" t="s">
        <v>5790</v>
      </c>
      <c r="G2113" s="9" t="s">
        <v>5791</v>
      </c>
      <c r="H2113" s="11" t="s">
        <v>5792</v>
      </c>
      <c r="I2113" s="10">
        <v>45616</v>
      </c>
    </row>
    <row r="2114" spans="1:9" x14ac:dyDescent="0.15">
      <c r="A2114" s="9">
        <v>2113</v>
      </c>
      <c r="B2114" s="9" t="s">
        <v>9</v>
      </c>
      <c r="C2114" s="9">
        <v>1923</v>
      </c>
      <c r="D2114" s="10">
        <v>45701</v>
      </c>
      <c r="E2114" s="13" t="str">
        <f>+HYPERLINK("http://trademark.i-assist.jp/data/china/image_1923th/82082992.pdf","82082992")</f>
        <v>82082992</v>
      </c>
      <c r="F2114" s="9" t="s">
        <v>5793</v>
      </c>
      <c r="G2114" s="9" t="s">
        <v>5794</v>
      </c>
      <c r="H2114" s="9" t="s">
        <v>5795</v>
      </c>
      <c r="I2114" s="10">
        <v>45616</v>
      </c>
    </row>
    <row r="2115" spans="1:9" x14ac:dyDescent="0.15">
      <c r="A2115" s="9">
        <v>2114</v>
      </c>
      <c r="B2115" s="9" t="s">
        <v>9</v>
      </c>
      <c r="C2115" s="9">
        <v>1923</v>
      </c>
      <c r="D2115" s="10">
        <v>45701</v>
      </c>
      <c r="E2115" s="13" t="str">
        <f>+HYPERLINK("http://trademark.i-assist.jp/data/china/image_1923th/82083112.pdf","82083112")</f>
        <v>82083112</v>
      </c>
      <c r="F2115" s="9" t="s">
        <v>5796</v>
      </c>
      <c r="G2115" s="9" t="s">
        <v>5794</v>
      </c>
      <c r="H2115" s="9" t="s">
        <v>5797</v>
      </c>
      <c r="I2115" s="10">
        <v>45616</v>
      </c>
    </row>
    <row r="2116" spans="1:9" x14ac:dyDescent="0.15">
      <c r="A2116" s="9">
        <v>2115</v>
      </c>
      <c r="B2116" s="9" t="s">
        <v>9</v>
      </c>
      <c r="C2116" s="9">
        <v>1923</v>
      </c>
      <c r="D2116" s="10">
        <v>45701</v>
      </c>
      <c r="E2116" s="13" t="str">
        <f>+HYPERLINK("http://trademark.i-assist.jp/data/china/image_1923th/82083194.pdf","82083194")</f>
        <v>82083194</v>
      </c>
      <c r="F2116" s="9" t="s">
        <v>5798</v>
      </c>
      <c r="G2116" s="11" t="s">
        <v>5799</v>
      </c>
      <c r="H2116" s="9" t="s">
        <v>5800</v>
      </c>
      <c r="I2116" s="10">
        <v>45616</v>
      </c>
    </row>
    <row r="2117" spans="1:9" x14ac:dyDescent="0.15">
      <c r="A2117" s="9">
        <v>2116</v>
      </c>
      <c r="B2117" s="9" t="s">
        <v>9</v>
      </c>
      <c r="C2117" s="9">
        <v>1923</v>
      </c>
      <c r="D2117" s="10">
        <v>45701</v>
      </c>
      <c r="E2117" s="13" t="str">
        <f>+HYPERLINK("http://trademark.i-assist.jp/data/china/image_1923th/82083502.pdf","82083502")</f>
        <v>82083502</v>
      </c>
      <c r="F2117" s="11" t="s">
        <v>5801</v>
      </c>
      <c r="G2117" s="11" t="s">
        <v>5802</v>
      </c>
      <c r="H2117" s="9" t="s">
        <v>5803</v>
      </c>
      <c r="I2117" s="10">
        <v>45616</v>
      </c>
    </row>
    <row r="2118" spans="1:9" x14ac:dyDescent="0.15">
      <c r="A2118" s="9">
        <v>2117</v>
      </c>
      <c r="B2118" s="9" t="s">
        <v>9</v>
      </c>
      <c r="C2118" s="9">
        <v>1923</v>
      </c>
      <c r="D2118" s="10">
        <v>45701</v>
      </c>
      <c r="E2118" s="13" t="str">
        <f>+HYPERLINK("http://trademark.i-assist.jp/data/china/image_1923th/82083566.pdf","82083566")</f>
        <v>82083566</v>
      </c>
      <c r="F2118" s="9" t="s">
        <v>5804</v>
      </c>
      <c r="G2118" s="9" t="s">
        <v>5669</v>
      </c>
      <c r="H2118" s="9" t="s">
        <v>5805</v>
      </c>
      <c r="I2118" s="10">
        <v>45616</v>
      </c>
    </row>
    <row r="2119" spans="1:9" x14ac:dyDescent="0.15">
      <c r="A2119" s="9">
        <v>2118</v>
      </c>
      <c r="B2119" s="9" t="s">
        <v>9</v>
      </c>
      <c r="C2119" s="9">
        <v>1923</v>
      </c>
      <c r="D2119" s="10">
        <v>45701</v>
      </c>
      <c r="E2119" s="13" t="str">
        <f>+HYPERLINK("http://trademark.i-assist.jp/data/china/image_1923th/82083690.pdf","82083690")</f>
        <v>82083690</v>
      </c>
      <c r="F2119" s="9" t="s">
        <v>5806</v>
      </c>
      <c r="G2119" s="9" t="s">
        <v>5807</v>
      </c>
      <c r="H2119" s="9" t="s">
        <v>5808</v>
      </c>
      <c r="I2119" s="10">
        <v>45616</v>
      </c>
    </row>
    <row r="2120" spans="1:9" x14ac:dyDescent="0.15">
      <c r="A2120" s="9">
        <v>2119</v>
      </c>
      <c r="B2120" s="9" t="s">
        <v>9</v>
      </c>
      <c r="C2120" s="9">
        <v>1923</v>
      </c>
      <c r="D2120" s="10">
        <v>45701</v>
      </c>
      <c r="E2120" s="13" t="str">
        <f>+HYPERLINK("http://trademark.i-assist.jp/data/china/image_1923th/82083763.pdf","82083763")</f>
        <v>82083763</v>
      </c>
      <c r="F2120" s="9" t="s">
        <v>5809</v>
      </c>
      <c r="G2120" s="9" t="s">
        <v>5810</v>
      </c>
      <c r="H2120" s="9" t="s">
        <v>5811</v>
      </c>
      <c r="I2120" s="10">
        <v>45616</v>
      </c>
    </row>
    <row r="2121" spans="1:9" x14ac:dyDescent="0.15">
      <c r="A2121" s="9">
        <v>2120</v>
      </c>
      <c r="B2121" s="9" t="s">
        <v>9</v>
      </c>
      <c r="C2121" s="9">
        <v>1923</v>
      </c>
      <c r="D2121" s="10">
        <v>45701</v>
      </c>
      <c r="E2121" s="13" t="str">
        <f>+HYPERLINK("http://trademark.i-assist.jp/data/china/image_1923th/82083824.pdf","82083824")</f>
        <v>82083824</v>
      </c>
      <c r="F2121" s="11" t="s">
        <v>5812</v>
      </c>
      <c r="G2121" s="9" t="s">
        <v>5813</v>
      </c>
      <c r="H2121" s="11" t="s">
        <v>5814</v>
      </c>
      <c r="I2121" s="10">
        <v>45616</v>
      </c>
    </row>
    <row r="2122" spans="1:9" x14ac:dyDescent="0.15">
      <c r="A2122" s="9">
        <v>2121</v>
      </c>
      <c r="B2122" s="9" t="s">
        <v>9</v>
      </c>
      <c r="C2122" s="9">
        <v>1923</v>
      </c>
      <c r="D2122" s="10">
        <v>45701</v>
      </c>
      <c r="E2122" s="13" t="str">
        <f>+HYPERLINK("http://trademark.i-assist.jp/data/china/image_1923th/82084474.pdf","82084474")</f>
        <v>82084474</v>
      </c>
      <c r="F2122" s="9" t="s">
        <v>5815</v>
      </c>
      <c r="G2122" s="9" t="s">
        <v>5816</v>
      </c>
      <c r="H2122" s="9" t="s">
        <v>5817</v>
      </c>
      <c r="I2122" s="10">
        <v>45616</v>
      </c>
    </row>
    <row r="2123" spans="1:9" x14ac:dyDescent="0.15">
      <c r="A2123" s="9">
        <v>2122</v>
      </c>
      <c r="B2123" s="9" t="s">
        <v>9</v>
      </c>
      <c r="C2123" s="9">
        <v>1923</v>
      </c>
      <c r="D2123" s="10">
        <v>45701</v>
      </c>
      <c r="E2123" s="13" t="str">
        <f>+HYPERLINK("http://trademark.i-assist.jp/data/china/image_1923th/82085264.pdf","82085264")</f>
        <v>82085264</v>
      </c>
      <c r="F2123" s="9" t="s">
        <v>5818</v>
      </c>
      <c r="G2123" s="9" t="s">
        <v>5819</v>
      </c>
      <c r="H2123" s="9" t="s">
        <v>5820</v>
      </c>
      <c r="I2123" s="10">
        <v>45616</v>
      </c>
    </row>
    <row r="2124" spans="1:9" x14ac:dyDescent="0.15">
      <c r="A2124" s="9">
        <v>2123</v>
      </c>
      <c r="B2124" s="9" t="s">
        <v>9</v>
      </c>
      <c r="C2124" s="9">
        <v>1923</v>
      </c>
      <c r="D2124" s="10">
        <v>45701</v>
      </c>
      <c r="E2124" s="13" t="str">
        <f>+HYPERLINK("http://trademark.i-assist.jp/data/china/image_1923th/82085636.pdf","82085636")</f>
        <v>82085636</v>
      </c>
      <c r="F2124" s="9" t="s">
        <v>5821</v>
      </c>
      <c r="G2124" s="9" t="s">
        <v>5822</v>
      </c>
      <c r="H2124" s="11" t="s">
        <v>5823</v>
      </c>
      <c r="I2124" s="10">
        <v>45616</v>
      </c>
    </row>
    <row r="2125" spans="1:9" x14ac:dyDescent="0.15">
      <c r="A2125" s="9">
        <v>2124</v>
      </c>
      <c r="B2125" s="9" t="s">
        <v>9</v>
      </c>
      <c r="C2125" s="9">
        <v>1923</v>
      </c>
      <c r="D2125" s="10">
        <v>45701</v>
      </c>
      <c r="E2125" s="13" t="str">
        <f>+HYPERLINK("http://trademark.i-assist.jp/data/china/image_1923th/82085978.pdf","82085978")</f>
        <v>82085978</v>
      </c>
      <c r="F2125" s="11" t="s">
        <v>5824</v>
      </c>
      <c r="G2125" s="9" t="s">
        <v>5825</v>
      </c>
      <c r="H2125" s="9" t="s">
        <v>5826</v>
      </c>
      <c r="I2125" s="10">
        <v>45616</v>
      </c>
    </row>
    <row r="2126" spans="1:9" x14ac:dyDescent="0.15">
      <c r="A2126" s="9">
        <v>2125</v>
      </c>
      <c r="B2126" s="9" t="s">
        <v>9</v>
      </c>
      <c r="C2126" s="9">
        <v>1923</v>
      </c>
      <c r="D2126" s="10">
        <v>45701</v>
      </c>
      <c r="E2126" s="13" t="str">
        <f>+HYPERLINK("http://trademark.i-assist.jp/data/china/image_1923th/82086624.pdf","82086624")</f>
        <v>82086624</v>
      </c>
      <c r="F2126" s="11" t="s">
        <v>5827</v>
      </c>
      <c r="G2126" s="9" t="s">
        <v>5828</v>
      </c>
      <c r="H2126" s="9" t="s">
        <v>5829</v>
      </c>
      <c r="I2126" s="10">
        <v>45616</v>
      </c>
    </row>
    <row r="2127" spans="1:9" x14ac:dyDescent="0.15">
      <c r="A2127" s="9">
        <v>2126</v>
      </c>
      <c r="B2127" s="9" t="s">
        <v>9</v>
      </c>
      <c r="C2127" s="9">
        <v>1923</v>
      </c>
      <c r="D2127" s="10">
        <v>45701</v>
      </c>
      <c r="E2127" s="13" t="str">
        <f>+HYPERLINK("http://trademark.i-assist.jp/data/china/image_1923th/82087060.pdf","82087060")</f>
        <v>82087060</v>
      </c>
      <c r="F2127" s="9" t="s">
        <v>5830</v>
      </c>
      <c r="G2127" s="9" t="s">
        <v>5831</v>
      </c>
      <c r="H2127" s="9" t="s">
        <v>5832</v>
      </c>
      <c r="I2127" s="10">
        <v>45616</v>
      </c>
    </row>
    <row r="2128" spans="1:9" x14ac:dyDescent="0.15">
      <c r="A2128" s="9">
        <v>2127</v>
      </c>
      <c r="B2128" s="9" t="s">
        <v>9</v>
      </c>
      <c r="C2128" s="9">
        <v>1923</v>
      </c>
      <c r="D2128" s="10">
        <v>45701</v>
      </c>
      <c r="E2128" s="13" t="str">
        <f>+HYPERLINK("http://trademark.i-assist.jp/data/china/image_1923th/82087177.pdf","82087177")</f>
        <v>82087177</v>
      </c>
      <c r="F2128" s="9" t="s">
        <v>5833</v>
      </c>
      <c r="G2128" s="9" t="s">
        <v>5716</v>
      </c>
      <c r="H2128" s="9" t="s">
        <v>5834</v>
      </c>
      <c r="I2128" s="10">
        <v>45616</v>
      </c>
    </row>
    <row r="2129" spans="1:9" x14ac:dyDescent="0.15">
      <c r="A2129" s="9">
        <v>2128</v>
      </c>
      <c r="B2129" s="9" t="s">
        <v>9</v>
      </c>
      <c r="C2129" s="9">
        <v>1923</v>
      </c>
      <c r="D2129" s="10">
        <v>45701</v>
      </c>
      <c r="E2129" s="13" t="str">
        <f>+HYPERLINK("http://trademark.i-assist.jp/data/china/image_1923th/82087446.pdf","82087446")</f>
        <v>82087446</v>
      </c>
      <c r="F2129" s="9" t="s">
        <v>5835</v>
      </c>
      <c r="G2129" s="9" t="s">
        <v>5836</v>
      </c>
      <c r="H2129" s="9" t="s">
        <v>5837</v>
      </c>
      <c r="I2129" s="10">
        <v>45616</v>
      </c>
    </row>
    <row r="2130" spans="1:9" x14ac:dyDescent="0.15">
      <c r="A2130" s="9">
        <v>2129</v>
      </c>
      <c r="B2130" s="9" t="s">
        <v>9</v>
      </c>
      <c r="C2130" s="9">
        <v>1923</v>
      </c>
      <c r="D2130" s="10">
        <v>45701</v>
      </c>
      <c r="E2130" s="13" t="str">
        <f>+HYPERLINK("http://trademark.i-assist.jp/data/china/image_1923th/82087564.pdf","82087564")</f>
        <v>82087564</v>
      </c>
      <c r="F2130" s="9" t="s">
        <v>5838</v>
      </c>
      <c r="G2130" s="9" t="s">
        <v>5839</v>
      </c>
      <c r="H2130" s="9" t="s">
        <v>5840</v>
      </c>
      <c r="I2130" s="10">
        <v>45616</v>
      </c>
    </row>
    <row r="2131" spans="1:9" x14ac:dyDescent="0.15">
      <c r="A2131" s="9">
        <v>2130</v>
      </c>
      <c r="B2131" s="9" t="s">
        <v>9</v>
      </c>
      <c r="C2131" s="9">
        <v>1923</v>
      </c>
      <c r="D2131" s="10">
        <v>45701</v>
      </c>
      <c r="E2131" s="13" t="str">
        <f>+HYPERLINK("http://trademark.i-assist.jp/data/china/image_1923th/82087908.pdf","82087908")</f>
        <v>82087908</v>
      </c>
      <c r="F2131" s="9" t="s">
        <v>5841</v>
      </c>
      <c r="G2131" s="9" t="s">
        <v>5842</v>
      </c>
      <c r="H2131" s="9" t="s">
        <v>5843</v>
      </c>
      <c r="I2131" s="10">
        <v>45616</v>
      </c>
    </row>
    <row r="2132" spans="1:9" x14ac:dyDescent="0.15">
      <c r="A2132" s="9">
        <v>2131</v>
      </c>
      <c r="B2132" s="9" t="s">
        <v>9</v>
      </c>
      <c r="C2132" s="9">
        <v>1923</v>
      </c>
      <c r="D2132" s="10">
        <v>45701</v>
      </c>
      <c r="E2132" s="13" t="str">
        <f>+HYPERLINK("http://trademark.i-assist.jp/data/china/image_1923th/82087924.pdf","82087924")</f>
        <v>82087924</v>
      </c>
      <c r="F2132" s="9" t="s">
        <v>5844</v>
      </c>
      <c r="G2132" s="9" t="s">
        <v>5716</v>
      </c>
      <c r="H2132" s="11" t="s">
        <v>5845</v>
      </c>
      <c r="I2132" s="10">
        <v>45616</v>
      </c>
    </row>
    <row r="2133" spans="1:9" x14ac:dyDescent="0.15">
      <c r="A2133" s="9">
        <v>2132</v>
      </c>
      <c r="B2133" s="9" t="s">
        <v>9</v>
      </c>
      <c r="C2133" s="9">
        <v>1923</v>
      </c>
      <c r="D2133" s="10">
        <v>45701</v>
      </c>
      <c r="E2133" s="13" t="str">
        <f>+HYPERLINK("http://trademark.i-assist.jp/data/china/image_1923th/82088128.pdf","82088128")</f>
        <v>82088128</v>
      </c>
      <c r="F2133" s="11" t="s">
        <v>5846</v>
      </c>
      <c r="G2133" s="9" t="s">
        <v>5847</v>
      </c>
      <c r="H2133" s="9" t="s">
        <v>5848</v>
      </c>
      <c r="I2133" s="10">
        <v>45616</v>
      </c>
    </row>
    <row r="2134" spans="1:9" x14ac:dyDescent="0.15">
      <c r="A2134" s="9">
        <v>2133</v>
      </c>
      <c r="B2134" s="9" t="s">
        <v>9</v>
      </c>
      <c r="C2134" s="9">
        <v>1923</v>
      </c>
      <c r="D2134" s="10">
        <v>45701</v>
      </c>
      <c r="E2134" s="13" t="str">
        <f>+HYPERLINK("http://trademark.i-assist.jp/data/china/image_1923th/82088489.pdf","82088489")</f>
        <v>82088489</v>
      </c>
      <c r="F2134" s="9" t="s">
        <v>5849</v>
      </c>
      <c r="G2134" s="9" t="s">
        <v>5850</v>
      </c>
      <c r="H2134" s="11" t="s">
        <v>5851</v>
      </c>
      <c r="I2134" s="10">
        <v>45616</v>
      </c>
    </row>
    <row r="2135" spans="1:9" x14ac:dyDescent="0.15">
      <c r="A2135" s="9">
        <v>2134</v>
      </c>
      <c r="B2135" s="9" t="s">
        <v>9</v>
      </c>
      <c r="C2135" s="9">
        <v>1923</v>
      </c>
      <c r="D2135" s="10">
        <v>45701</v>
      </c>
      <c r="E2135" s="13" t="str">
        <f>+HYPERLINK("http://trademark.i-assist.jp/data/china/image_1923th/82088776.pdf","82088776")</f>
        <v>82088776</v>
      </c>
      <c r="F2135" s="9" t="s">
        <v>5852</v>
      </c>
      <c r="G2135" s="9" t="s">
        <v>5853</v>
      </c>
      <c r="H2135" s="9" t="s">
        <v>5854</v>
      </c>
      <c r="I2135" s="10">
        <v>45616</v>
      </c>
    </row>
    <row r="2136" spans="1:9" x14ac:dyDescent="0.15">
      <c r="A2136" s="9">
        <v>2135</v>
      </c>
      <c r="B2136" s="9" t="s">
        <v>9</v>
      </c>
      <c r="C2136" s="9">
        <v>1923</v>
      </c>
      <c r="D2136" s="10">
        <v>45701</v>
      </c>
      <c r="E2136" s="13" t="str">
        <f>+HYPERLINK("http://trademark.i-assist.jp/data/china/image_1923th/82089085.pdf","82089085")</f>
        <v>82089085</v>
      </c>
      <c r="F2136" s="9" t="s">
        <v>5855</v>
      </c>
      <c r="G2136" s="9" t="s">
        <v>51</v>
      </c>
      <c r="H2136" s="9" t="s">
        <v>5856</v>
      </c>
      <c r="I2136" s="10">
        <v>45616</v>
      </c>
    </row>
    <row r="2137" spans="1:9" x14ac:dyDescent="0.15">
      <c r="A2137" s="9">
        <v>2136</v>
      </c>
      <c r="B2137" s="9" t="s">
        <v>9</v>
      </c>
      <c r="C2137" s="9">
        <v>1923</v>
      </c>
      <c r="D2137" s="10">
        <v>45701</v>
      </c>
      <c r="E2137" s="13" t="str">
        <f>+HYPERLINK("http://trademark.i-assist.jp/data/china/image_1923th/82089856.pdf","82089856")</f>
        <v>82089856</v>
      </c>
      <c r="F2137" s="9" t="s">
        <v>5857</v>
      </c>
      <c r="G2137" s="11" t="s">
        <v>5858</v>
      </c>
      <c r="H2137" s="9" t="s">
        <v>5859</v>
      </c>
      <c r="I2137" s="10">
        <v>45616</v>
      </c>
    </row>
    <row r="2138" spans="1:9" x14ac:dyDescent="0.15">
      <c r="A2138" s="9">
        <v>2137</v>
      </c>
      <c r="B2138" s="9" t="s">
        <v>9</v>
      </c>
      <c r="C2138" s="9">
        <v>1923</v>
      </c>
      <c r="D2138" s="10">
        <v>45701</v>
      </c>
      <c r="E2138" s="13" t="str">
        <f>+HYPERLINK("http://trademark.i-assist.jp/data/china/image_1923th/82090915.pdf","82090915")</f>
        <v>82090915</v>
      </c>
      <c r="F2138" s="9" t="s">
        <v>5860</v>
      </c>
      <c r="G2138" s="9" t="s">
        <v>5716</v>
      </c>
      <c r="H2138" s="9" t="s">
        <v>5861</v>
      </c>
      <c r="I2138" s="10">
        <v>45616</v>
      </c>
    </row>
    <row r="2139" spans="1:9" x14ac:dyDescent="0.15">
      <c r="A2139" s="9">
        <v>2138</v>
      </c>
      <c r="B2139" s="9" t="s">
        <v>9</v>
      </c>
      <c r="C2139" s="9">
        <v>1923</v>
      </c>
      <c r="D2139" s="10">
        <v>45701</v>
      </c>
      <c r="E2139" s="13" t="str">
        <f>+HYPERLINK("http://trademark.i-assist.jp/data/china/image_1923th/82091297.pdf","82091297")</f>
        <v>82091297</v>
      </c>
      <c r="F2139" s="9" t="s">
        <v>5862</v>
      </c>
      <c r="G2139" s="9" t="s">
        <v>5683</v>
      </c>
      <c r="H2139" s="9" t="s">
        <v>5863</v>
      </c>
      <c r="I2139" s="10">
        <v>45616</v>
      </c>
    </row>
    <row r="2140" spans="1:9" x14ac:dyDescent="0.15">
      <c r="A2140" s="9">
        <v>2139</v>
      </c>
      <c r="B2140" s="9" t="s">
        <v>9</v>
      </c>
      <c r="C2140" s="9">
        <v>1923</v>
      </c>
      <c r="D2140" s="10">
        <v>45701</v>
      </c>
      <c r="E2140" s="13" t="str">
        <f>+HYPERLINK("http://trademark.i-assist.jp/data/china/image_1923th/82091909.pdf","82091909")</f>
        <v>82091909</v>
      </c>
      <c r="F2140" s="9" t="s">
        <v>5864</v>
      </c>
      <c r="G2140" s="11" t="s">
        <v>5865</v>
      </c>
      <c r="H2140" s="9" t="s">
        <v>5866</v>
      </c>
      <c r="I2140" s="10">
        <v>45617</v>
      </c>
    </row>
    <row r="2141" spans="1:9" x14ac:dyDescent="0.15">
      <c r="A2141" s="9">
        <v>2140</v>
      </c>
      <c r="B2141" s="9" t="s">
        <v>9</v>
      </c>
      <c r="C2141" s="9">
        <v>1923</v>
      </c>
      <c r="D2141" s="10">
        <v>45701</v>
      </c>
      <c r="E2141" s="13" t="str">
        <f>+HYPERLINK("http://trademark.i-assist.jp/data/china/image_1923th/82092244.pdf","82092244")</f>
        <v>82092244</v>
      </c>
      <c r="F2141" s="11" t="s">
        <v>5867</v>
      </c>
      <c r="G2141" s="9" t="s">
        <v>5868</v>
      </c>
      <c r="H2141" s="9" t="s">
        <v>5869</v>
      </c>
      <c r="I2141" s="10">
        <v>45617</v>
      </c>
    </row>
    <row r="2142" spans="1:9" x14ac:dyDescent="0.15">
      <c r="A2142" s="9">
        <v>2141</v>
      </c>
      <c r="B2142" s="9" t="s">
        <v>9</v>
      </c>
      <c r="C2142" s="9">
        <v>1923</v>
      </c>
      <c r="D2142" s="10">
        <v>45701</v>
      </c>
      <c r="E2142" s="13" t="str">
        <f>+HYPERLINK("http://trademark.i-assist.jp/data/china/image_1923th/82092486.pdf","82092486")</f>
        <v>82092486</v>
      </c>
      <c r="F2142" s="9" t="s">
        <v>5870</v>
      </c>
      <c r="G2142" s="9" t="s">
        <v>5871</v>
      </c>
      <c r="H2142" s="9" t="s">
        <v>5872</v>
      </c>
      <c r="I2142" s="10">
        <v>45617</v>
      </c>
    </row>
    <row r="2143" spans="1:9" x14ac:dyDescent="0.15">
      <c r="A2143" s="9">
        <v>2142</v>
      </c>
      <c r="B2143" s="9" t="s">
        <v>9</v>
      </c>
      <c r="C2143" s="9">
        <v>1923</v>
      </c>
      <c r="D2143" s="10">
        <v>45701</v>
      </c>
      <c r="E2143" s="13" t="str">
        <f>+HYPERLINK("http://trademark.i-assist.jp/data/china/image_1923th/82092654.pdf","82092654")</f>
        <v>82092654</v>
      </c>
      <c r="F2143" s="9" t="s">
        <v>5873</v>
      </c>
      <c r="G2143" s="9" t="s">
        <v>5874</v>
      </c>
      <c r="H2143" s="9" t="s">
        <v>5875</v>
      </c>
      <c r="I2143" s="10">
        <v>45617</v>
      </c>
    </row>
    <row r="2144" spans="1:9" x14ac:dyDescent="0.15">
      <c r="A2144" s="9">
        <v>2143</v>
      </c>
      <c r="B2144" s="9" t="s">
        <v>9</v>
      </c>
      <c r="C2144" s="9">
        <v>1923</v>
      </c>
      <c r="D2144" s="10">
        <v>45701</v>
      </c>
      <c r="E2144" s="13" t="str">
        <f>+HYPERLINK("http://trademark.i-assist.jp/data/china/image_1923th/82092808.pdf","82092808")</f>
        <v>82092808</v>
      </c>
      <c r="F2144" s="9" t="s">
        <v>5876</v>
      </c>
      <c r="G2144" s="9" t="s">
        <v>5877</v>
      </c>
      <c r="H2144" s="9" t="s">
        <v>5878</v>
      </c>
      <c r="I2144" s="10">
        <v>45617</v>
      </c>
    </row>
    <row r="2145" spans="1:9" x14ac:dyDescent="0.15">
      <c r="A2145" s="9">
        <v>2144</v>
      </c>
      <c r="B2145" s="9" t="s">
        <v>9</v>
      </c>
      <c r="C2145" s="9">
        <v>1923</v>
      </c>
      <c r="D2145" s="10">
        <v>45701</v>
      </c>
      <c r="E2145" s="13" t="str">
        <f>+HYPERLINK("http://trademark.i-assist.jp/data/china/image_1923th/82093916.pdf","82093916")</f>
        <v>82093916</v>
      </c>
      <c r="F2145" s="9" t="s">
        <v>5879</v>
      </c>
      <c r="G2145" s="11" t="s">
        <v>5880</v>
      </c>
      <c r="H2145" s="9" t="s">
        <v>5881</v>
      </c>
      <c r="I2145" s="10">
        <v>45617</v>
      </c>
    </row>
    <row r="2146" spans="1:9" x14ac:dyDescent="0.15">
      <c r="A2146" s="9">
        <v>2145</v>
      </c>
      <c r="B2146" s="9" t="s">
        <v>9</v>
      </c>
      <c r="C2146" s="9">
        <v>1923</v>
      </c>
      <c r="D2146" s="10">
        <v>45701</v>
      </c>
      <c r="E2146" s="13" t="str">
        <f>+HYPERLINK("http://trademark.i-assist.jp/data/china/image_1923th/82094104.pdf","82094104")</f>
        <v>82094104</v>
      </c>
      <c r="F2146" s="11" t="s">
        <v>5882</v>
      </c>
      <c r="G2146" s="11" t="s">
        <v>2580</v>
      </c>
      <c r="H2146" s="9" t="s">
        <v>5883</v>
      </c>
      <c r="I2146" s="10">
        <v>45617</v>
      </c>
    </row>
    <row r="2147" spans="1:9" x14ac:dyDescent="0.15">
      <c r="A2147" s="9">
        <v>2146</v>
      </c>
      <c r="B2147" s="9" t="s">
        <v>9</v>
      </c>
      <c r="C2147" s="9">
        <v>1923</v>
      </c>
      <c r="D2147" s="10">
        <v>45701</v>
      </c>
      <c r="E2147" s="13" t="str">
        <f>+HYPERLINK("http://trademark.i-assist.jp/data/china/image_1923th/82094518.pdf","82094518")</f>
        <v>82094518</v>
      </c>
      <c r="F2147" s="9" t="s">
        <v>5884</v>
      </c>
      <c r="G2147" s="9" t="s">
        <v>5885</v>
      </c>
      <c r="H2147" s="9" t="s">
        <v>5886</v>
      </c>
      <c r="I2147" s="10">
        <v>45617</v>
      </c>
    </row>
    <row r="2148" spans="1:9" x14ac:dyDescent="0.15">
      <c r="A2148" s="9">
        <v>2147</v>
      </c>
      <c r="B2148" s="9" t="s">
        <v>9</v>
      </c>
      <c r="C2148" s="9">
        <v>1923</v>
      </c>
      <c r="D2148" s="10">
        <v>45701</v>
      </c>
      <c r="E2148" s="13" t="str">
        <f>+HYPERLINK("http://trademark.i-assist.jp/data/china/image_1923th/82094603.pdf","82094603")</f>
        <v>82094603</v>
      </c>
      <c r="F2148" s="11" t="s">
        <v>126</v>
      </c>
      <c r="G2148" s="9" t="s">
        <v>5887</v>
      </c>
      <c r="H2148" s="11" t="s">
        <v>5888</v>
      </c>
      <c r="I2148" s="10">
        <v>45617</v>
      </c>
    </row>
    <row r="2149" spans="1:9" x14ac:dyDescent="0.15">
      <c r="A2149" s="9">
        <v>2148</v>
      </c>
      <c r="B2149" s="9" t="s">
        <v>9</v>
      </c>
      <c r="C2149" s="9">
        <v>1923</v>
      </c>
      <c r="D2149" s="10">
        <v>45701</v>
      </c>
      <c r="E2149" s="13" t="str">
        <f>+HYPERLINK("http://trademark.i-assist.jp/data/china/image_1923th/82094954.pdf","82094954")</f>
        <v>82094954</v>
      </c>
      <c r="F2149" s="9" t="s">
        <v>5889</v>
      </c>
      <c r="G2149" s="9" t="s">
        <v>5890</v>
      </c>
      <c r="H2149" s="9" t="s">
        <v>5891</v>
      </c>
      <c r="I2149" s="10">
        <v>45617</v>
      </c>
    </row>
    <row r="2150" spans="1:9" x14ac:dyDescent="0.15">
      <c r="A2150" s="9">
        <v>2149</v>
      </c>
      <c r="B2150" s="9" t="s">
        <v>9</v>
      </c>
      <c r="C2150" s="9">
        <v>1923</v>
      </c>
      <c r="D2150" s="10">
        <v>45701</v>
      </c>
      <c r="E2150" s="13" t="str">
        <f>+HYPERLINK("http://trademark.i-assist.jp/data/china/image_1923th/82095035.pdf","82095035")</f>
        <v>82095035</v>
      </c>
      <c r="F2150" s="11" t="s">
        <v>5892</v>
      </c>
      <c r="G2150" s="11" t="s">
        <v>5893</v>
      </c>
      <c r="H2150" s="9" t="s">
        <v>5894</v>
      </c>
      <c r="I2150" s="10">
        <v>45617</v>
      </c>
    </row>
    <row r="2151" spans="1:9" x14ac:dyDescent="0.15">
      <c r="A2151" s="9">
        <v>2150</v>
      </c>
      <c r="B2151" s="9" t="s">
        <v>9</v>
      </c>
      <c r="C2151" s="9">
        <v>1923</v>
      </c>
      <c r="D2151" s="10">
        <v>45701</v>
      </c>
      <c r="E2151" s="13" t="str">
        <f>+HYPERLINK("http://trademark.i-assist.jp/data/china/image_1923th/82096283.pdf","82096283")</f>
        <v>82096283</v>
      </c>
      <c r="F2151" s="9" t="s">
        <v>5895</v>
      </c>
      <c r="G2151" s="9" t="s">
        <v>5868</v>
      </c>
      <c r="H2151" s="11" t="s">
        <v>5896</v>
      </c>
      <c r="I2151" s="10">
        <v>45617</v>
      </c>
    </row>
    <row r="2152" spans="1:9" x14ac:dyDescent="0.15">
      <c r="A2152" s="9">
        <v>2151</v>
      </c>
      <c r="B2152" s="9" t="s">
        <v>9</v>
      </c>
      <c r="C2152" s="9">
        <v>1923</v>
      </c>
      <c r="D2152" s="10">
        <v>45701</v>
      </c>
      <c r="E2152" s="13" t="str">
        <f>+HYPERLINK("http://trademark.i-assist.jp/data/china/image_1923th/82096361.pdf","82096361")</f>
        <v>82096361</v>
      </c>
      <c r="F2152" s="9" t="s">
        <v>5897</v>
      </c>
      <c r="G2152" s="9" t="s">
        <v>5868</v>
      </c>
      <c r="H2152" s="9" t="s">
        <v>5898</v>
      </c>
      <c r="I2152" s="10">
        <v>45617</v>
      </c>
    </row>
    <row r="2153" spans="1:9" x14ac:dyDescent="0.15">
      <c r="A2153" s="9">
        <v>2152</v>
      </c>
      <c r="B2153" s="9" t="s">
        <v>9</v>
      </c>
      <c r="C2153" s="9">
        <v>1923</v>
      </c>
      <c r="D2153" s="10">
        <v>45701</v>
      </c>
      <c r="E2153" s="13" t="str">
        <f>+HYPERLINK("http://trademark.i-assist.jp/data/china/image_1923th/82096751.pdf","82096751")</f>
        <v>82096751</v>
      </c>
      <c r="F2153" s="11" t="s">
        <v>5899</v>
      </c>
      <c r="G2153" s="11" t="s">
        <v>5900</v>
      </c>
      <c r="H2153" s="9" t="s">
        <v>5901</v>
      </c>
      <c r="I2153" s="10">
        <v>45617</v>
      </c>
    </row>
    <row r="2154" spans="1:9" x14ac:dyDescent="0.15">
      <c r="A2154" s="9">
        <v>2153</v>
      </c>
      <c r="B2154" s="9" t="s">
        <v>9</v>
      </c>
      <c r="C2154" s="9">
        <v>1923</v>
      </c>
      <c r="D2154" s="10">
        <v>45701</v>
      </c>
      <c r="E2154" s="13" t="str">
        <f>+HYPERLINK("http://trademark.i-assist.jp/data/china/image_1923th/82096842.pdf","82096842")</f>
        <v>82096842</v>
      </c>
      <c r="F2154" s="9" t="s">
        <v>5902</v>
      </c>
      <c r="G2154" s="11" t="s">
        <v>2580</v>
      </c>
      <c r="H2154" s="9" t="s">
        <v>5903</v>
      </c>
      <c r="I2154" s="10">
        <v>45617</v>
      </c>
    </row>
    <row r="2155" spans="1:9" x14ac:dyDescent="0.15">
      <c r="A2155" s="9">
        <v>2154</v>
      </c>
      <c r="B2155" s="9" t="s">
        <v>9</v>
      </c>
      <c r="C2155" s="9">
        <v>1923</v>
      </c>
      <c r="D2155" s="10">
        <v>45701</v>
      </c>
      <c r="E2155" s="13" t="str">
        <f>+HYPERLINK("http://trademark.i-assist.jp/data/china/image_1923th/82096910.pdf","82096910")</f>
        <v>82096910</v>
      </c>
      <c r="F2155" s="9" t="s">
        <v>5904</v>
      </c>
      <c r="G2155" s="9" t="s">
        <v>5905</v>
      </c>
      <c r="H2155" s="9" t="s">
        <v>5906</v>
      </c>
      <c r="I2155" s="10">
        <v>45617</v>
      </c>
    </row>
    <row r="2156" spans="1:9" x14ac:dyDescent="0.15">
      <c r="A2156" s="9">
        <v>2155</v>
      </c>
      <c r="B2156" s="9" t="s">
        <v>9</v>
      </c>
      <c r="C2156" s="9">
        <v>1923</v>
      </c>
      <c r="D2156" s="10">
        <v>45701</v>
      </c>
      <c r="E2156" s="13" t="str">
        <f>+HYPERLINK("http://trademark.i-assist.jp/data/china/image_1923th/82097959.pdf","82097959")</f>
        <v>82097959</v>
      </c>
      <c r="F2156" s="9" t="s">
        <v>5907</v>
      </c>
      <c r="G2156" s="11" t="s">
        <v>2580</v>
      </c>
      <c r="H2156" s="9" t="s">
        <v>5908</v>
      </c>
      <c r="I2156" s="10">
        <v>45617</v>
      </c>
    </row>
    <row r="2157" spans="1:9" x14ac:dyDescent="0.15">
      <c r="A2157" s="9">
        <v>2156</v>
      </c>
      <c r="B2157" s="9" t="s">
        <v>9</v>
      </c>
      <c r="C2157" s="9">
        <v>1923</v>
      </c>
      <c r="D2157" s="10">
        <v>45701</v>
      </c>
      <c r="E2157" s="13" t="str">
        <f>+HYPERLINK("http://trademark.i-assist.jp/data/china/image_1923th/82098172.pdf","82098172")</f>
        <v>82098172</v>
      </c>
      <c r="F2157" s="9" t="s">
        <v>5909</v>
      </c>
      <c r="G2157" s="9" t="s">
        <v>5910</v>
      </c>
      <c r="H2157" s="9" t="s">
        <v>5911</v>
      </c>
      <c r="I2157" s="10">
        <v>45617</v>
      </c>
    </row>
    <row r="2158" spans="1:9" x14ac:dyDescent="0.15">
      <c r="A2158" s="9">
        <v>2157</v>
      </c>
      <c r="B2158" s="9" t="s">
        <v>9</v>
      </c>
      <c r="C2158" s="9">
        <v>1923</v>
      </c>
      <c r="D2158" s="10">
        <v>45701</v>
      </c>
      <c r="E2158" s="13" t="str">
        <f>+HYPERLINK("http://trademark.i-assist.jp/data/china/image_1923th/82099228.pdf","82099228")</f>
        <v>82099228</v>
      </c>
      <c r="F2158" s="9" t="s">
        <v>5912</v>
      </c>
      <c r="G2158" s="11" t="s">
        <v>4651</v>
      </c>
      <c r="H2158" s="9" t="s">
        <v>5913</v>
      </c>
      <c r="I2158" s="10">
        <v>45617</v>
      </c>
    </row>
    <row r="2159" spans="1:9" x14ac:dyDescent="0.15">
      <c r="A2159" s="9">
        <v>2158</v>
      </c>
      <c r="B2159" s="9" t="s">
        <v>9</v>
      </c>
      <c r="C2159" s="9">
        <v>1923</v>
      </c>
      <c r="D2159" s="10">
        <v>45701</v>
      </c>
      <c r="E2159" s="13" t="str">
        <f>+HYPERLINK("http://trademark.i-assist.jp/data/china/image_1923th/82099885.pdf","82099885")</f>
        <v>82099885</v>
      </c>
      <c r="F2159" s="9" t="s">
        <v>5914</v>
      </c>
      <c r="G2159" s="9" t="s">
        <v>5874</v>
      </c>
      <c r="H2159" s="9" t="s">
        <v>5915</v>
      </c>
      <c r="I2159" s="10">
        <v>45617</v>
      </c>
    </row>
    <row r="2160" spans="1:9" x14ac:dyDescent="0.15">
      <c r="A2160" s="9">
        <v>2159</v>
      </c>
      <c r="B2160" s="9" t="s">
        <v>9</v>
      </c>
      <c r="C2160" s="9">
        <v>1923</v>
      </c>
      <c r="D2160" s="10">
        <v>45701</v>
      </c>
      <c r="E2160" s="13" t="str">
        <f>+HYPERLINK("http://trademark.i-assist.jp/data/china/image_1923th/82099916.pdf","82099916")</f>
        <v>82099916</v>
      </c>
      <c r="F2160" s="11" t="s">
        <v>5916</v>
      </c>
      <c r="G2160" s="9" t="s">
        <v>5917</v>
      </c>
      <c r="H2160" s="9" t="s">
        <v>5918</v>
      </c>
      <c r="I2160" s="10">
        <v>45617</v>
      </c>
    </row>
    <row r="2161" spans="1:9" x14ac:dyDescent="0.15">
      <c r="A2161" s="9">
        <v>2160</v>
      </c>
      <c r="B2161" s="9" t="s">
        <v>9</v>
      </c>
      <c r="C2161" s="9">
        <v>1923</v>
      </c>
      <c r="D2161" s="10">
        <v>45701</v>
      </c>
      <c r="E2161" s="13" t="str">
        <f>+HYPERLINK("http://trademark.i-assist.jp/data/china/image_1923th/82099939.pdf","82099939")</f>
        <v>82099939</v>
      </c>
      <c r="F2161" s="9" t="s">
        <v>5919</v>
      </c>
      <c r="G2161" s="9" t="s">
        <v>5874</v>
      </c>
      <c r="H2161" s="9" t="s">
        <v>5920</v>
      </c>
      <c r="I2161" s="10">
        <v>45617</v>
      </c>
    </row>
    <row r="2162" spans="1:9" x14ac:dyDescent="0.15">
      <c r="A2162" s="9">
        <v>2161</v>
      </c>
      <c r="B2162" s="9" t="s">
        <v>9</v>
      </c>
      <c r="C2162" s="9">
        <v>1923</v>
      </c>
      <c r="D2162" s="10">
        <v>45701</v>
      </c>
      <c r="E2162" s="13" t="str">
        <f>+HYPERLINK("http://trademark.i-assist.jp/data/china/image_1923th/82100092.pdf","82100092")</f>
        <v>82100092</v>
      </c>
      <c r="F2162" s="9" t="s">
        <v>5921</v>
      </c>
      <c r="G2162" s="9" t="s">
        <v>5922</v>
      </c>
      <c r="H2162" s="9" t="s">
        <v>5923</v>
      </c>
      <c r="I2162" s="10">
        <v>45617</v>
      </c>
    </row>
    <row r="2163" spans="1:9" x14ac:dyDescent="0.15">
      <c r="A2163" s="9">
        <v>2162</v>
      </c>
      <c r="B2163" s="9" t="s">
        <v>9</v>
      </c>
      <c r="C2163" s="9">
        <v>1923</v>
      </c>
      <c r="D2163" s="10">
        <v>45701</v>
      </c>
      <c r="E2163" s="13" t="str">
        <f>+HYPERLINK("http://trademark.i-assist.jp/data/china/image_1923th/82100212.pdf","82100212")</f>
        <v>82100212</v>
      </c>
      <c r="F2163" s="9" t="s">
        <v>5924</v>
      </c>
      <c r="G2163" s="9" t="s">
        <v>5925</v>
      </c>
      <c r="H2163" s="11" t="s">
        <v>5926</v>
      </c>
      <c r="I2163" s="10">
        <v>45617</v>
      </c>
    </row>
    <row r="2164" spans="1:9" x14ac:dyDescent="0.15">
      <c r="A2164" s="9">
        <v>2163</v>
      </c>
      <c r="B2164" s="9" t="s">
        <v>9</v>
      </c>
      <c r="C2164" s="9">
        <v>1923</v>
      </c>
      <c r="D2164" s="10">
        <v>45701</v>
      </c>
      <c r="E2164" s="13" t="str">
        <f>+HYPERLINK("http://trademark.i-assist.jp/data/china/image_1923th/82100291.pdf","82100291")</f>
        <v>82100291</v>
      </c>
      <c r="F2164" s="9" t="s">
        <v>5927</v>
      </c>
      <c r="G2164" s="11" t="s">
        <v>5893</v>
      </c>
      <c r="H2164" s="9" t="s">
        <v>5928</v>
      </c>
      <c r="I2164" s="10">
        <v>45617</v>
      </c>
    </row>
    <row r="2165" spans="1:9" x14ac:dyDescent="0.15">
      <c r="A2165" s="9">
        <v>2164</v>
      </c>
      <c r="B2165" s="9" t="s">
        <v>9</v>
      </c>
      <c r="C2165" s="9">
        <v>1923</v>
      </c>
      <c r="D2165" s="10">
        <v>45701</v>
      </c>
      <c r="E2165" s="13" t="str">
        <f>+HYPERLINK("http://trademark.i-assist.jp/data/china/image_1923th/82100296.pdf","82100296")</f>
        <v>82100296</v>
      </c>
      <c r="F2165" s="11" t="s">
        <v>5929</v>
      </c>
      <c r="G2165" s="9" t="s">
        <v>5930</v>
      </c>
      <c r="H2165" s="11" t="s">
        <v>5931</v>
      </c>
      <c r="I2165" s="10">
        <v>45617</v>
      </c>
    </row>
    <row r="2166" spans="1:9" x14ac:dyDescent="0.15">
      <c r="A2166" s="9">
        <v>2165</v>
      </c>
      <c r="B2166" s="9" t="s">
        <v>9</v>
      </c>
      <c r="C2166" s="9">
        <v>1923</v>
      </c>
      <c r="D2166" s="10">
        <v>45701</v>
      </c>
      <c r="E2166" s="13" t="str">
        <f>+HYPERLINK("http://trademark.i-assist.jp/data/china/image_1923th/82100548.pdf","82100548")</f>
        <v>82100548</v>
      </c>
      <c r="F2166" s="9" t="s">
        <v>5932</v>
      </c>
      <c r="G2166" s="11" t="s">
        <v>4651</v>
      </c>
      <c r="H2166" s="9" t="s">
        <v>5933</v>
      </c>
      <c r="I2166" s="10">
        <v>45617</v>
      </c>
    </row>
    <row r="2167" spans="1:9" x14ac:dyDescent="0.15">
      <c r="A2167" s="9">
        <v>2166</v>
      </c>
      <c r="B2167" s="9" t="s">
        <v>9</v>
      </c>
      <c r="C2167" s="9">
        <v>1923</v>
      </c>
      <c r="D2167" s="10">
        <v>45701</v>
      </c>
      <c r="E2167" s="13" t="str">
        <f>+HYPERLINK("http://trademark.i-assist.jp/data/china/image_1923th/82101165.pdf","82101165")</f>
        <v>82101165</v>
      </c>
      <c r="F2167" s="9" t="s">
        <v>5934</v>
      </c>
      <c r="G2167" s="9" t="s">
        <v>5874</v>
      </c>
      <c r="H2167" s="9" t="s">
        <v>5935</v>
      </c>
      <c r="I2167" s="10">
        <v>45617</v>
      </c>
    </row>
    <row r="2168" spans="1:9" x14ac:dyDescent="0.15">
      <c r="A2168" s="9">
        <v>2167</v>
      </c>
      <c r="B2168" s="9" t="s">
        <v>9</v>
      </c>
      <c r="C2168" s="9">
        <v>1923</v>
      </c>
      <c r="D2168" s="10">
        <v>45701</v>
      </c>
      <c r="E2168" s="13" t="str">
        <f>+HYPERLINK("http://trademark.i-assist.jp/data/china/image_1923th/82101186.pdf","82101186")</f>
        <v>82101186</v>
      </c>
      <c r="F2168" s="9" t="s">
        <v>5936</v>
      </c>
      <c r="G2168" s="11" t="s">
        <v>2580</v>
      </c>
      <c r="H2168" s="9" t="s">
        <v>5937</v>
      </c>
      <c r="I2168" s="10">
        <v>45617</v>
      </c>
    </row>
    <row r="2169" spans="1:9" x14ac:dyDescent="0.15">
      <c r="A2169" s="9">
        <v>2168</v>
      </c>
      <c r="B2169" s="9" t="s">
        <v>9</v>
      </c>
      <c r="C2169" s="9">
        <v>1923</v>
      </c>
      <c r="D2169" s="10">
        <v>45701</v>
      </c>
      <c r="E2169" s="13" t="str">
        <f>+HYPERLINK("http://trademark.i-assist.jp/data/china/image_1923th/82101590.pdf","82101590")</f>
        <v>82101590</v>
      </c>
      <c r="F2169" s="9" t="s">
        <v>5938</v>
      </c>
      <c r="G2169" s="9" t="s">
        <v>5939</v>
      </c>
      <c r="H2169" s="9" t="s">
        <v>5940</v>
      </c>
      <c r="I2169" s="10">
        <v>45617</v>
      </c>
    </row>
    <row r="2170" spans="1:9" x14ac:dyDescent="0.15">
      <c r="A2170" s="9">
        <v>2169</v>
      </c>
      <c r="B2170" s="9" t="s">
        <v>9</v>
      </c>
      <c r="C2170" s="9">
        <v>1923</v>
      </c>
      <c r="D2170" s="10">
        <v>45701</v>
      </c>
      <c r="E2170" s="13" t="str">
        <f>+HYPERLINK("http://trademark.i-assist.jp/data/china/image_1923th/82102374.pdf","82102374")</f>
        <v>82102374</v>
      </c>
      <c r="F2170" s="9" t="s">
        <v>5941</v>
      </c>
      <c r="G2170" s="9" t="s">
        <v>5868</v>
      </c>
      <c r="H2170" s="9" t="s">
        <v>5942</v>
      </c>
      <c r="I2170" s="10">
        <v>45617</v>
      </c>
    </row>
    <row r="2171" spans="1:9" x14ac:dyDescent="0.15">
      <c r="A2171" s="9">
        <v>2170</v>
      </c>
      <c r="B2171" s="9" t="s">
        <v>9</v>
      </c>
      <c r="C2171" s="9">
        <v>1923</v>
      </c>
      <c r="D2171" s="10">
        <v>45701</v>
      </c>
      <c r="E2171" s="13" t="str">
        <f>+HYPERLINK("http://trademark.i-assist.jp/data/china/image_1923th/82102435.pdf","82102435")</f>
        <v>82102435</v>
      </c>
      <c r="F2171" s="9" t="s">
        <v>5943</v>
      </c>
      <c r="G2171" s="9" t="s">
        <v>5868</v>
      </c>
      <c r="H2171" s="9" t="s">
        <v>5944</v>
      </c>
      <c r="I2171" s="10">
        <v>45617</v>
      </c>
    </row>
    <row r="2172" spans="1:9" x14ac:dyDescent="0.15">
      <c r="A2172" s="9">
        <v>2171</v>
      </c>
      <c r="B2172" s="9" t="s">
        <v>9</v>
      </c>
      <c r="C2172" s="9">
        <v>1923</v>
      </c>
      <c r="D2172" s="10">
        <v>45701</v>
      </c>
      <c r="E2172" s="13" t="str">
        <f>+HYPERLINK("http://trademark.i-assist.jp/data/china/image_1923th/82103927.pdf","82103927")</f>
        <v>82103927</v>
      </c>
      <c r="F2172" s="9" t="s">
        <v>5945</v>
      </c>
      <c r="G2172" s="9" t="s">
        <v>5874</v>
      </c>
      <c r="H2172" s="9" t="s">
        <v>5946</v>
      </c>
      <c r="I2172" s="10">
        <v>45617</v>
      </c>
    </row>
    <row r="2173" spans="1:9" x14ac:dyDescent="0.15">
      <c r="A2173" s="9">
        <v>2172</v>
      </c>
      <c r="B2173" s="9" t="s">
        <v>9</v>
      </c>
      <c r="C2173" s="9">
        <v>1923</v>
      </c>
      <c r="D2173" s="10">
        <v>45701</v>
      </c>
      <c r="E2173" s="13" t="str">
        <f>+HYPERLINK("http://trademark.i-assist.jp/data/china/image_1923th/82103965.pdf","82103965")</f>
        <v>82103965</v>
      </c>
      <c r="F2173" s="9" t="s">
        <v>5947</v>
      </c>
      <c r="G2173" s="9" t="s">
        <v>5948</v>
      </c>
      <c r="H2173" s="9" t="s">
        <v>5949</v>
      </c>
      <c r="I2173" s="10">
        <v>45617</v>
      </c>
    </row>
    <row r="2174" spans="1:9" x14ac:dyDescent="0.15">
      <c r="A2174" s="9">
        <v>2173</v>
      </c>
      <c r="B2174" s="9" t="s">
        <v>9</v>
      </c>
      <c r="C2174" s="9">
        <v>1923</v>
      </c>
      <c r="D2174" s="10">
        <v>45701</v>
      </c>
      <c r="E2174" s="13" t="str">
        <f>+HYPERLINK("http://trademark.i-assist.jp/data/china/image_1923th/82105610.pdf","82105610")</f>
        <v>82105610</v>
      </c>
      <c r="F2174" s="9" t="s">
        <v>5950</v>
      </c>
      <c r="G2174" s="9" t="s">
        <v>5951</v>
      </c>
      <c r="H2174" s="11" t="s">
        <v>5952</v>
      </c>
      <c r="I2174" s="10">
        <v>45617</v>
      </c>
    </row>
    <row r="2175" spans="1:9" x14ac:dyDescent="0.15">
      <c r="A2175" s="9">
        <v>2174</v>
      </c>
      <c r="B2175" s="9" t="s">
        <v>9</v>
      </c>
      <c r="C2175" s="9">
        <v>1923</v>
      </c>
      <c r="D2175" s="10">
        <v>45701</v>
      </c>
      <c r="E2175" s="13" t="str">
        <f>+HYPERLINK("http://trademark.i-assist.jp/data/china/image_1923th/82105622.pdf","82105622")</f>
        <v>82105622</v>
      </c>
      <c r="F2175" s="9" t="s">
        <v>5953</v>
      </c>
      <c r="G2175" s="9" t="s">
        <v>5954</v>
      </c>
      <c r="H2175" s="9" t="s">
        <v>5955</v>
      </c>
      <c r="I2175" s="10">
        <v>45617</v>
      </c>
    </row>
    <row r="2176" spans="1:9" x14ac:dyDescent="0.15">
      <c r="A2176" s="9">
        <v>2175</v>
      </c>
      <c r="B2176" s="9" t="s">
        <v>9</v>
      </c>
      <c r="C2176" s="9">
        <v>1923</v>
      </c>
      <c r="D2176" s="10">
        <v>45701</v>
      </c>
      <c r="E2176" s="13" t="str">
        <f>+HYPERLINK("http://trademark.i-assist.jp/data/china/image_1923th/82106204.pdf","82106204")</f>
        <v>82106204</v>
      </c>
      <c r="F2176" s="11" t="s">
        <v>5956</v>
      </c>
      <c r="G2176" s="11" t="s">
        <v>5957</v>
      </c>
      <c r="H2176" s="11" t="s">
        <v>5958</v>
      </c>
      <c r="I2176" s="10">
        <v>45617</v>
      </c>
    </row>
    <row r="2177" spans="1:9" x14ac:dyDescent="0.15">
      <c r="A2177" s="9">
        <v>2176</v>
      </c>
      <c r="B2177" s="9" t="s">
        <v>9</v>
      </c>
      <c r="C2177" s="9">
        <v>1923</v>
      </c>
      <c r="D2177" s="10">
        <v>45701</v>
      </c>
      <c r="E2177" s="13" t="str">
        <f>+HYPERLINK("http://trademark.i-assist.jp/data/china/image_1923th/82106271.pdf","82106271")</f>
        <v>82106271</v>
      </c>
      <c r="F2177" s="9" t="s">
        <v>5959</v>
      </c>
      <c r="G2177" s="11" t="s">
        <v>2580</v>
      </c>
      <c r="H2177" s="9" t="s">
        <v>5960</v>
      </c>
      <c r="I2177" s="10">
        <v>45617</v>
      </c>
    </row>
    <row r="2178" spans="1:9" x14ac:dyDescent="0.15">
      <c r="A2178" s="9">
        <v>2177</v>
      </c>
      <c r="B2178" s="9" t="s">
        <v>9</v>
      </c>
      <c r="C2178" s="9">
        <v>1923</v>
      </c>
      <c r="D2178" s="10">
        <v>45701</v>
      </c>
      <c r="E2178" s="13" t="str">
        <f>+HYPERLINK("http://trademark.i-assist.jp/data/china/image_1923th/82107976.pdf","82107976")</f>
        <v>82107976</v>
      </c>
      <c r="F2178" s="9" t="s">
        <v>5961</v>
      </c>
      <c r="G2178" s="11" t="s">
        <v>5865</v>
      </c>
      <c r="H2178" s="9" t="s">
        <v>5962</v>
      </c>
      <c r="I2178" s="10">
        <v>45617</v>
      </c>
    </row>
    <row r="2179" spans="1:9" x14ac:dyDescent="0.15">
      <c r="A2179" s="9">
        <v>2178</v>
      </c>
      <c r="B2179" s="9" t="s">
        <v>9</v>
      </c>
      <c r="C2179" s="9">
        <v>1923</v>
      </c>
      <c r="D2179" s="10">
        <v>45701</v>
      </c>
      <c r="E2179" s="13" t="str">
        <f>+HYPERLINK("http://trademark.i-assist.jp/data/china/image_1923th/82109993.pdf","82109993")</f>
        <v>82109993</v>
      </c>
      <c r="F2179" s="11" t="s">
        <v>126</v>
      </c>
      <c r="G2179" s="9" t="s">
        <v>5963</v>
      </c>
      <c r="H2179" s="11" t="s">
        <v>5964</v>
      </c>
      <c r="I2179" s="10">
        <v>45617</v>
      </c>
    </row>
    <row r="2180" spans="1:9" x14ac:dyDescent="0.15">
      <c r="A2180" s="9">
        <v>2179</v>
      </c>
      <c r="B2180" s="9" t="s">
        <v>9</v>
      </c>
      <c r="C2180" s="9">
        <v>1923</v>
      </c>
      <c r="D2180" s="10">
        <v>45701</v>
      </c>
      <c r="E2180" s="13" t="str">
        <f>+HYPERLINK("http://trademark.i-assist.jp/data/china/image_1923th/82110304.pdf","82110304")</f>
        <v>82110304</v>
      </c>
      <c r="F2180" s="12" t="s">
        <v>5965</v>
      </c>
      <c r="G2180" s="9" t="s">
        <v>5868</v>
      </c>
      <c r="H2180" s="11" t="s">
        <v>5966</v>
      </c>
      <c r="I2180" s="10">
        <v>45617</v>
      </c>
    </row>
    <row r="2181" spans="1:9" x14ac:dyDescent="0.15">
      <c r="A2181" s="9">
        <v>2180</v>
      </c>
      <c r="B2181" s="9" t="s">
        <v>9</v>
      </c>
      <c r="C2181" s="9">
        <v>1923</v>
      </c>
      <c r="D2181" s="10">
        <v>45701</v>
      </c>
      <c r="E2181" s="13" t="str">
        <f>+HYPERLINK("http://trademark.i-assist.jp/data/china/image_1923th/82110621.pdf","82110621")</f>
        <v>82110621</v>
      </c>
      <c r="F2181" s="11" t="s">
        <v>5967</v>
      </c>
      <c r="G2181" s="9" t="s">
        <v>5930</v>
      </c>
      <c r="H2181" s="9" t="s">
        <v>5968</v>
      </c>
      <c r="I2181" s="10">
        <v>45617</v>
      </c>
    </row>
    <row r="2182" spans="1:9" x14ac:dyDescent="0.15">
      <c r="A2182" s="9">
        <v>2181</v>
      </c>
      <c r="B2182" s="9" t="s">
        <v>9</v>
      </c>
      <c r="C2182" s="9">
        <v>1923</v>
      </c>
      <c r="D2182" s="10">
        <v>45701</v>
      </c>
      <c r="E2182" s="13" t="str">
        <f>+HYPERLINK("http://trademark.i-assist.jp/data/china/image_1923th/82113216.pdf","82113216")</f>
        <v>82113216</v>
      </c>
      <c r="F2182" s="9" t="s">
        <v>5969</v>
      </c>
      <c r="G2182" s="9" t="s">
        <v>5970</v>
      </c>
      <c r="H2182" s="9" t="s">
        <v>5971</v>
      </c>
      <c r="I2182" s="10">
        <v>45617</v>
      </c>
    </row>
    <row r="2183" spans="1:9" x14ac:dyDescent="0.15">
      <c r="A2183" s="9">
        <v>2182</v>
      </c>
      <c r="B2183" s="9" t="s">
        <v>9</v>
      </c>
      <c r="C2183" s="9">
        <v>1923</v>
      </c>
      <c r="D2183" s="10">
        <v>45701</v>
      </c>
      <c r="E2183" s="13" t="str">
        <f>+HYPERLINK("http://trademark.i-assist.jp/data/china/image_1923th/82113914.pdf","82113914")</f>
        <v>82113914</v>
      </c>
      <c r="F2183" s="9" t="s">
        <v>5972</v>
      </c>
      <c r="G2183" s="9" t="s">
        <v>5868</v>
      </c>
      <c r="H2183" s="9" t="s">
        <v>5973</v>
      </c>
      <c r="I2183" s="10">
        <v>45617</v>
      </c>
    </row>
    <row r="2184" spans="1:9" x14ac:dyDescent="0.15">
      <c r="A2184" s="9">
        <v>2183</v>
      </c>
      <c r="B2184" s="9" t="s">
        <v>9</v>
      </c>
      <c r="C2184" s="9">
        <v>1923</v>
      </c>
      <c r="D2184" s="10">
        <v>45701</v>
      </c>
      <c r="E2184" s="13" t="str">
        <f>+HYPERLINK("http://trademark.i-assist.jp/data/china/image_1923th/82114553.pdf","82114553")</f>
        <v>82114553</v>
      </c>
      <c r="F2184" s="9" t="s">
        <v>5974</v>
      </c>
      <c r="G2184" s="11" t="s">
        <v>2580</v>
      </c>
      <c r="H2184" s="9" t="s">
        <v>5975</v>
      </c>
      <c r="I2184" s="10">
        <v>45617</v>
      </c>
    </row>
    <row r="2185" spans="1:9" x14ac:dyDescent="0.15">
      <c r="A2185" s="9">
        <v>2184</v>
      </c>
      <c r="B2185" s="9" t="s">
        <v>9</v>
      </c>
      <c r="C2185" s="9">
        <v>1923</v>
      </c>
      <c r="D2185" s="10">
        <v>45701</v>
      </c>
      <c r="E2185" s="13" t="str">
        <f>+HYPERLINK("http://trademark.i-assist.jp/data/china/image_1923th/82114581.pdf","82114581")</f>
        <v>82114581</v>
      </c>
      <c r="F2185" s="9" t="s">
        <v>5976</v>
      </c>
      <c r="G2185" s="11" t="s">
        <v>2580</v>
      </c>
      <c r="H2185" s="9" t="s">
        <v>5977</v>
      </c>
      <c r="I2185" s="10">
        <v>45617</v>
      </c>
    </row>
    <row r="2186" spans="1:9" x14ac:dyDescent="0.15">
      <c r="A2186" s="9">
        <v>2185</v>
      </c>
      <c r="B2186" s="9" t="s">
        <v>9</v>
      </c>
      <c r="C2186" s="9">
        <v>1923</v>
      </c>
      <c r="D2186" s="10">
        <v>45701</v>
      </c>
      <c r="E2186" s="13" t="str">
        <f>+HYPERLINK("http://trademark.i-assist.jp/data/china/image_1923th/82115007.pdf","82115007")</f>
        <v>82115007</v>
      </c>
      <c r="F2186" s="11" t="s">
        <v>5978</v>
      </c>
      <c r="G2186" s="11" t="s">
        <v>5979</v>
      </c>
      <c r="H2186" s="9" t="s">
        <v>5980</v>
      </c>
      <c r="I2186" s="10">
        <v>45617</v>
      </c>
    </row>
    <row r="2187" spans="1:9" x14ac:dyDescent="0.15">
      <c r="A2187" s="9">
        <v>2186</v>
      </c>
      <c r="B2187" s="9" t="s">
        <v>9</v>
      </c>
      <c r="C2187" s="9">
        <v>1923</v>
      </c>
      <c r="D2187" s="10">
        <v>45701</v>
      </c>
      <c r="E2187" s="13" t="str">
        <f>+HYPERLINK("http://trademark.i-assist.jp/data/china/image_1923th/82115018.pdf","82115018")</f>
        <v>82115018</v>
      </c>
      <c r="F2187" s="9" t="s">
        <v>5981</v>
      </c>
      <c r="G2187" s="9" t="s">
        <v>5868</v>
      </c>
      <c r="H2187" s="9" t="s">
        <v>5982</v>
      </c>
      <c r="I2187" s="10">
        <v>45617</v>
      </c>
    </row>
    <row r="2188" spans="1:9" x14ac:dyDescent="0.15">
      <c r="A2188" s="9">
        <v>2187</v>
      </c>
      <c r="B2188" s="9" t="s">
        <v>9</v>
      </c>
      <c r="C2188" s="9">
        <v>1923</v>
      </c>
      <c r="D2188" s="10">
        <v>45701</v>
      </c>
      <c r="E2188" s="13" t="str">
        <f>+HYPERLINK("http://trademark.i-assist.jp/data/china/image_1923th/82115136.pdf","82115136")</f>
        <v>82115136</v>
      </c>
      <c r="F2188" s="9" t="s">
        <v>5983</v>
      </c>
      <c r="G2188" s="9" t="s">
        <v>5984</v>
      </c>
      <c r="H2188" s="9" t="s">
        <v>5985</v>
      </c>
      <c r="I2188" s="10">
        <v>45617</v>
      </c>
    </row>
    <row r="2189" spans="1:9" x14ac:dyDescent="0.15">
      <c r="A2189" s="9">
        <v>2188</v>
      </c>
      <c r="B2189" s="9" t="s">
        <v>9</v>
      </c>
      <c r="C2189" s="9">
        <v>1923</v>
      </c>
      <c r="D2189" s="10">
        <v>45701</v>
      </c>
      <c r="E2189" s="13" t="str">
        <f>+HYPERLINK("http://trademark.i-assist.jp/data/china/image_1923th/82115511.pdf","82115511")</f>
        <v>82115511</v>
      </c>
      <c r="F2189" s="11" t="s">
        <v>126</v>
      </c>
      <c r="G2189" s="9" t="s">
        <v>5986</v>
      </c>
      <c r="H2189" s="11" t="s">
        <v>5987</v>
      </c>
      <c r="I2189" s="10">
        <v>45617</v>
      </c>
    </row>
    <row r="2190" spans="1:9" x14ac:dyDescent="0.15">
      <c r="A2190" s="9">
        <v>2189</v>
      </c>
      <c r="B2190" s="9" t="s">
        <v>9</v>
      </c>
      <c r="C2190" s="9">
        <v>1923</v>
      </c>
      <c r="D2190" s="10">
        <v>45701</v>
      </c>
      <c r="E2190" s="13" t="str">
        <f>+HYPERLINK("http://trademark.i-assist.jp/data/china/image_1923th/82116196.pdf","82116196")</f>
        <v>82116196</v>
      </c>
      <c r="F2190" s="9" t="s">
        <v>5988</v>
      </c>
      <c r="G2190" s="11" t="s">
        <v>2580</v>
      </c>
      <c r="H2190" s="9" t="s">
        <v>5989</v>
      </c>
      <c r="I2190" s="10">
        <v>45617</v>
      </c>
    </row>
    <row r="2191" spans="1:9" x14ac:dyDescent="0.15">
      <c r="A2191" s="9">
        <v>2190</v>
      </c>
      <c r="B2191" s="9" t="s">
        <v>9</v>
      </c>
      <c r="C2191" s="9">
        <v>1923</v>
      </c>
      <c r="D2191" s="10">
        <v>45701</v>
      </c>
      <c r="E2191" s="13" t="str">
        <f>+HYPERLINK("http://trademark.i-assist.jp/data/china/image_1923th/82116708.pdf","82116708")</f>
        <v>82116708</v>
      </c>
      <c r="F2191" s="9" t="s">
        <v>5990</v>
      </c>
      <c r="G2191" s="9" t="s">
        <v>5874</v>
      </c>
      <c r="H2191" s="9" t="s">
        <v>5991</v>
      </c>
      <c r="I2191" s="10">
        <v>45617</v>
      </c>
    </row>
    <row r="2192" spans="1:9" x14ac:dyDescent="0.15">
      <c r="A2192" s="9">
        <v>2191</v>
      </c>
      <c r="B2192" s="9" t="s">
        <v>9</v>
      </c>
      <c r="C2192" s="9">
        <v>1923</v>
      </c>
      <c r="D2192" s="10">
        <v>45701</v>
      </c>
      <c r="E2192" s="13" t="str">
        <f>+HYPERLINK("http://trademark.i-assist.jp/data/china/image_1923th/82117205.pdf","82117205")</f>
        <v>82117205</v>
      </c>
      <c r="F2192" s="9" t="s">
        <v>5992</v>
      </c>
      <c r="G2192" s="9" t="s">
        <v>5993</v>
      </c>
      <c r="H2192" s="9" t="s">
        <v>5994</v>
      </c>
      <c r="I2192" s="10">
        <v>45618</v>
      </c>
    </row>
    <row r="2193" spans="1:9" x14ac:dyDescent="0.15">
      <c r="A2193" s="9">
        <v>2192</v>
      </c>
      <c r="B2193" s="9" t="s">
        <v>9</v>
      </c>
      <c r="C2193" s="9">
        <v>1923</v>
      </c>
      <c r="D2193" s="10">
        <v>45701</v>
      </c>
      <c r="E2193" s="13" t="str">
        <f>+HYPERLINK("http://trademark.i-assist.jp/data/china/image_1923th/82117262.pdf","82117262")</f>
        <v>82117262</v>
      </c>
      <c r="F2193" s="9" t="s">
        <v>5995</v>
      </c>
      <c r="G2193" s="11" t="s">
        <v>5996</v>
      </c>
      <c r="H2193" s="9" t="s">
        <v>5997</v>
      </c>
      <c r="I2193" s="10">
        <v>45618</v>
      </c>
    </row>
    <row r="2194" spans="1:9" x14ac:dyDescent="0.15">
      <c r="A2194" s="9">
        <v>2193</v>
      </c>
      <c r="B2194" s="9" t="s">
        <v>9</v>
      </c>
      <c r="C2194" s="9">
        <v>1923</v>
      </c>
      <c r="D2194" s="10">
        <v>45701</v>
      </c>
      <c r="E2194" s="13" t="str">
        <f>+HYPERLINK("http://trademark.i-assist.jp/data/china/image_1923th/82117701.pdf","82117701")</f>
        <v>82117701</v>
      </c>
      <c r="F2194" s="9" t="s">
        <v>5998</v>
      </c>
      <c r="G2194" s="9" t="s">
        <v>5999</v>
      </c>
      <c r="H2194" s="9" t="s">
        <v>6000</v>
      </c>
      <c r="I2194" s="10">
        <v>45618</v>
      </c>
    </row>
    <row r="2195" spans="1:9" x14ac:dyDescent="0.15">
      <c r="A2195" s="9">
        <v>2194</v>
      </c>
      <c r="B2195" s="9" t="s">
        <v>9</v>
      </c>
      <c r="C2195" s="9">
        <v>1923</v>
      </c>
      <c r="D2195" s="10">
        <v>45701</v>
      </c>
      <c r="E2195" s="13" t="str">
        <f>+HYPERLINK("http://trademark.i-assist.jp/data/china/image_1923th/82118007.pdf","82118007")</f>
        <v>82118007</v>
      </c>
      <c r="F2195" s="9" t="s">
        <v>6001</v>
      </c>
      <c r="G2195" s="9" t="s">
        <v>6002</v>
      </c>
      <c r="H2195" s="9" t="s">
        <v>6003</v>
      </c>
      <c r="I2195" s="10">
        <v>45618</v>
      </c>
    </row>
    <row r="2196" spans="1:9" x14ac:dyDescent="0.15">
      <c r="A2196" s="9">
        <v>2195</v>
      </c>
      <c r="B2196" s="9" t="s">
        <v>9</v>
      </c>
      <c r="C2196" s="9">
        <v>1923</v>
      </c>
      <c r="D2196" s="10">
        <v>45701</v>
      </c>
      <c r="E2196" s="13" t="str">
        <f>+HYPERLINK("http://trademark.i-assist.jp/data/china/image_1923th/82118152.pdf","82118152")</f>
        <v>82118152</v>
      </c>
      <c r="F2196" s="9" t="s">
        <v>6004</v>
      </c>
      <c r="G2196" s="9" t="s">
        <v>6005</v>
      </c>
      <c r="H2196" s="11" t="s">
        <v>6006</v>
      </c>
      <c r="I2196" s="10">
        <v>45618</v>
      </c>
    </row>
    <row r="2197" spans="1:9" x14ac:dyDescent="0.15">
      <c r="A2197" s="9">
        <v>2196</v>
      </c>
      <c r="B2197" s="9" t="s">
        <v>9</v>
      </c>
      <c r="C2197" s="9">
        <v>1923</v>
      </c>
      <c r="D2197" s="10">
        <v>45701</v>
      </c>
      <c r="E2197" s="13" t="str">
        <f>+HYPERLINK("http://trademark.i-assist.jp/data/china/image_1923th/82118471.pdf","82118471")</f>
        <v>82118471</v>
      </c>
      <c r="F2197" s="9" t="s">
        <v>6007</v>
      </c>
      <c r="G2197" s="11" t="s">
        <v>6008</v>
      </c>
      <c r="H2197" s="9" t="s">
        <v>6009</v>
      </c>
      <c r="I2197" s="10">
        <v>45618</v>
      </c>
    </row>
    <row r="2198" spans="1:9" x14ac:dyDescent="0.15">
      <c r="A2198" s="9">
        <v>2197</v>
      </c>
      <c r="B2198" s="9" t="s">
        <v>9</v>
      </c>
      <c r="C2198" s="9">
        <v>1923</v>
      </c>
      <c r="D2198" s="10">
        <v>45701</v>
      </c>
      <c r="E2198" s="13" t="str">
        <f>+HYPERLINK("http://trademark.i-assist.jp/data/china/image_1923th/82118901.pdf","82118901")</f>
        <v>82118901</v>
      </c>
      <c r="F2198" s="11" t="s">
        <v>126</v>
      </c>
      <c r="G2198" s="9" t="s">
        <v>6010</v>
      </c>
      <c r="H2198" s="9" t="s">
        <v>6011</v>
      </c>
      <c r="I2198" s="10">
        <v>45618</v>
      </c>
    </row>
    <row r="2199" spans="1:9" x14ac:dyDescent="0.15">
      <c r="A2199" s="9">
        <v>2198</v>
      </c>
      <c r="B2199" s="9" t="s">
        <v>9</v>
      </c>
      <c r="C2199" s="9">
        <v>1923</v>
      </c>
      <c r="D2199" s="10">
        <v>45701</v>
      </c>
      <c r="E2199" s="13" t="str">
        <f>+HYPERLINK("http://trademark.i-assist.jp/data/china/image_1923th/82119257.pdf","82119257")</f>
        <v>82119257</v>
      </c>
      <c r="F2199" s="9" t="s">
        <v>6012</v>
      </c>
      <c r="G2199" s="9" t="s">
        <v>6013</v>
      </c>
      <c r="H2199" s="9" t="s">
        <v>6014</v>
      </c>
      <c r="I2199" s="10">
        <v>45618</v>
      </c>
    </row>
    <row r="2200" spans="1:9" x14ac:dyDescent="0.15">
      <c r="A2200" s="9">
        <v>2199</v>
      </c>
      <c r="B2200" s="9" t="s">
        <v>9</v>
      </c>
      <c r="C2200" s="9">
        <v>1923</v>
      </c>
      <c r="D2200" s="10">
        <v>45701</v>
      </c>
      <c r="E2200" s="13" t="str">
        <f>+HYPERLINK("http://trademark.i-assist.jp/data/china/image_1923th/82119680.pdf","82119680")</f>
        <v>82119680</v>
      </c>
      <c r="F2200" s="9" t="s">
        <v>6015</v>
      </c>
      <c r="G2200" s="9" t="s">
        <v>6016</v>
      </c>
      <c r="H2200" s="9" t="s">
        <v>6017</v>
      </c>
      <c r="I2200" s="10">
        <v>45618</v>
      </c>
    </row>
    <row r="2201" spans="1:9" x14ac:dyDescent="0.15">
      <c r="A2201" s="9">
        <v>2200</v>
      </c>
      <c r="B2201" s="9" t="s">
        <v>9</v>
      </c>
      <c r="C2201" s="9">
        <v>1923</v>
      </c>
      <c r="D2201" s="10">
        <v>45701</v>
      </c>
      <c r="E2201" s="13" t="str">
        <f>+HYPERLINK("http://trademark.i-assist.jp/data/china/image_1923th/82120386.pdf","82120386")</f>
        <v>82120386</v>
      </c>
      <c r="F2201" s="9" t="s">
        <v>6018</v>
      </c>
      <c r="G2201" s="9" t="s">
        <v>6019</v>
      </c>
      <c r="H2201" s="9" t="s">
        <v>6020</v>
      </c>
      <c r="I2201" s="10">
        <v>45618</v>
      </c>
    </row>
    <row r="2202" spans="1:9" x14ac:dyDescent="0.15">
      <c r="A2202" s="9">
        <v>2201</v>
      </c>
      <c r="B2202" s="9" t="s">
        <v>9</v>
      </c>
      <c r="C2202" s="9">
        <v>1923</v>
      </c>
      <c r="D2202" s="10">
        <v>45701</v>
      </c>
      <c r="E2202" s="13" t="str">
        <f>+HYPERLINK("http://trademark.i-assist.jp/data/china/image_1923th/82120488.pdf","82120488")</f>
        <v>82120488</v>
      </c>
      <c r="F2202" s="9" t="s">
        <v>6021</v>
      </c>
      <c r="G2202" s="9" t="s">
        <v>6022</v>
      </c>
      <c r="H2202" s="11" t="s">
        <v>6023</v>
      </c>
      <c r="I2202" s="10">
        <v>45618</v>
      </c>
    </row>
    <row r="2203" spans="1:9" x14ac:dyDescent="0.15">
      <c r="A2203" s="9">
        <v>2202</v>
      </c>
      <c r="B2203" s="9" t="s">
        <v>9</v>
      </c>
      <c r="C2203" s="9">
        <v>1923</v>
      </c>
      <c r="D2203" s="10">
        <v>45701</v>
      </c>
      <c r="E2203" s="13" t="str">
        <f>+HYPERLINK("http://trademark.i-assist.jp/data/china/image_1923th/82121223.pdf","82121223")</f>
        <v>82121223</v>
      </c>
      <c r="F2203" s="9" t="s">
        <v>6024</v>
      </c>
      <c r="G2203" s="9" t="s">
        <v>6025</v>
      </c>
      <c r="H2203" s="9" t="s">
        <v>6026</v>
      </c>
      <c r="I2203" s="10">
        <v>45618</v>
      </c>
    </row>
    <row r="2204" spans="1:9" x14ac:dyDescent="0.15">
      <c r="A2204" s="9">
        <v>2203</v>
      </c>
      <c r="B2204" s="9" t="s">
        <v>9</v>
      </c>
      <c r="C2204" s="9">
        <v>1923</v>
      </c>
      <c r="D2204" s="10">
        <v>45701</v>
      </c>
      <c r="E2204" s="13" t="str">
        <f>+HYPERLINK("http://trademark.i-assist.jp/data/china/image_1923th/82121417.pdf","82121417")</f>
        <v>82121417</v>
      </c>
      <c r="F2204" s="9" t="s">
        <v>6027</v>
      </c>
      <c r="G2204" s="9" t="s">
        <v>6028</v>
      </c>
      <c r="H2204" s="9" t="s">
        <v>6029</v>
      </c>
      <c r="I2204" s="10">
        <v>45618</v>
      </c>
    </row>
    <row r="2205" spans="1:9" x14ac:dyDescent="0.15">
      <c r="A2205" s="9">
        <v>2204</v>
      </c>
      <c r="B2205" s="9" t="s">
        <v>9</v>
      </c>
      <c r="C2205" s="9">
        <v>1923</v>
      </c>
      <c r="D2205" s="10">
        <v>45701</v>
      </c>
      <c r="E2205" s="13" t="str">
        <f>+HYPERLINK("http://trademark.i-assist.jp/data/china/image_1923th/82122156.pdf","82122156")</f>
        <v>82122156</v>
      </c>
      <c r="F2205" s="9" t="s">
        <v>6030</v>
      </c>
      <c r="G2205" s="11" t="s">
        <v>6031</v>
      </c>
      <c r="H2205" s="9" t="s">
        <v>6032</v>
      </c>
      <c r="I2205" s="10">
        <v>45618</v>
      </c>
    </row>
    <row r="2206" spans="1:9" x14ac:dyDescent="0.15">
      <c r="A2206" s="9">
        <v>2205</v>
      </c>
      <c r="B2206" s="9" t="s">
        <v>9</v>
      </c>
      <c r="C2206" s="9">
        <v>1923</v>
      </c>
      <c r="D2206" s="10">
        <v>45701</v>
      </c>
      <c r="E2206" s="13" t="str">
        <f>+HYPERLINK("http://trademark.i-assist.jp/data/china/image_1923th/82122254.pdf","82122254")</f>
        <v>82122254</v>
      </c>
      <c r="F2206" s="11" t="s">
        <v>6033</v>
      </c>
      <c r="G2206" s="11" t="s">
        <v>6008</v>
      </c>
      <c r="H2206" s="9" t="s">
        <v>6034</v>
      </c>
      <c r="I2206" s="10">
        <v>45618</v>
      </c>
    </row>
    <row r="2207" spans="1:9" x14ac:dyDescent="0.15">
      <c r="A2207" s="9">
        <v>2206</v>
      </c>
      <c r="B2207" s="9" t="s">
        <v>9</v>
      </c>
      <c r="C2207" s="9">
        <v>1923</v>
      </c>
      <c r="D2207" s="10">
        <v>45701</v>
      </c>
      <c r="E2207" s="13" t="str">
        <f>+HYPERLINK("http://trademark.i-assist.jp/data/china/image_1923th/82122328.pdf","82122328")</f>
        <v>82122328</v>
      </c>
      <c r="F2207" s="9" t="s">
        <v>6035</v>
      </c>
      <c r="G2207" s="9" t="s">
        <v>2258</v>
      </c>
      <c r="H2207" s="9" t="s">
        <v>6036</v>
      </c>
      <c r="I2207" s="10">
        <v>45618</v>
      </c>
    </row>
    <row r="2208" spans="1:9" x14ac:dyDescent="0.15">
      <c r="A2208" s="9">
        <v>2207</v>
      </c>
      <c r="B2208" s="9" t="s">
        <v>9</v>
      </c>
      <c r="C2208" s="9">
        <v>1923</v>
      </c>
      <c r="D2208" s="10">
        <v>45701</v>
      </c>
      <c r="E2208" s="13" t="str">
        <f>+HYPERLINK("http://trademark.i-assist.jp/data/china/image_1923th/82122390.pdf","82122390")</f>
        <v>82122390</v>
      </c>
      <c r="F2208" s="9" t="s">
        <v>6037</v>
      </c>
      <c r="G2208" s="9" t="s">
        <v>6038</v>
      </c>
      <c r="H2208" s="9" t="s">
        <v>6039</v>
      </c>
      <c r="I2208" s="10">
        <v>45618</v>
      </c>
    </row>
    <row r="2209" spans="1:9" x14ac:dyDescent="0.15">
      <c r="A2209" s="9">
        <v>2208</v>
      </c>
      <c r="B2209" s="9" t="s">
        <v>9</v>
      </c>
      <c r="C2209" s="9">
        <v>1923</v>
      </c>
      <c r="D2209" s="10">
        <v>45701</v>
      </c>
      <c r="E2209" s="13" t="str">
        <f>+HYPERLINK("http://trademark.i-assist.jp/data/china/image_1923th/82122637.pdf","82122637")</f>
        <v>82122637</v>
      </c>
      <c r="F2209" s="9" t="s">
        <v>6040</v>
      </c>
      <c r="G2209" s="9" t="s">
        <v>6041</v>
      </c>
      <c r="H2209" s="9" t="s">
        <v>6042</v>
      </c>
      <c r="I2209" s="10">
        <v>45618</v>
      </c>
    </row>
    <row r="2210" spans="1:9" x14ac:dyDescent="0.15">
      <c r="A2210" s="9">
        <v>2209</v>
      </c>
      <c r="B2210" s="9" t="s">
        <v>9</v>
      </c>
      <c r="C2210" s="9">
        <v>1923</v>
      </c>
      <c r="D2210" s="10">
        <v>45701</v>
      </c>
      <c r="E2210" s="13" t="str">
        <f>+HYPERLINK("http://trademark.i-assist.jp/data/china/image_1923th/82123025.pdf","82123025")</f>
        <v>82123025</v>
      </c>
      <c r="F2210" s="9" t="s">
        <v>6043</v>
      </c>
      <c r="G2210" s="9" t="s">
        <v>6044</v>
      </c>
      <c r="H2210" s="9" t="s">
        <v>6045</v>
      </c>
      <c r="I2210" s="10">
        <v>45618</v>
      </c>
    </row>
    <row r="2211" spans="1:9" x14ac:dyDescent="0.15">
      <c r="A2211" s="9">
        <v>2210</v>
      </c>
      <c r="B2211" s="9" t="s">
        <v>9</v>
      </c>
      <c r="C2211" s="9">
        <v>1923</v>
      </c>
      <c r="D2211" s="10">
        <v>45701</v>
      </c>
      <c r="E2211" s="13" t="str">
        <f>+HYPERLINK("http://trademark.i-assist.jp/data/china/image_1923th/82125027.pdf","82125027")</f>
        <v>82125027</v>
      </c>
      <c r="F2211" s="9" t="s">
        <v>6046</v>
      </c>
      <c r="G2211" s="9" t="s">
        <v>6047</v>
      </c>
      <c r="H2211" s="9" t="s">
        <v>6048</v>
      </c>
      <c r="I2211" s="10">
        <v>45618</v>
      </c>
    </row>
    <row r="2212" spans="1:9" x14ac:dyDescent="0.15">
      <c r="A2212" s="9">
        <v>2211</v>
      </c>
      <c r="B2212" s="9" t="s">
        <v>9</v>
      </c>
      <c r="C2212" s="9">
        <v>1923</v>
      </c>
      <c r="D2212" s="10">
        <v>45701</v>
      </c>
      <c r="E2212" s="13" t="str">
        <f>+HYPERLINK("http://trademark.i-assist.jp/data/china/image_1923th/82125179.pdf","82125179")</f>
        <v>82125179</v>
      </c>
      <c r="F2212" s="9" t="s">
        <v>6049</v>
      </c>
      <c r="G2212" s="11" t="s">
        <v>5996</v>
      </c>
      <c r="H2212" s="11" t="s">
        <v>6050</v>
      </c>
      <c r="I2212" s="10">
        <v>45618</v>
      </c>
    </row>
    <row r="2213" spans="1:9" x14ac:dyDescent="0.15">
      <c r="A2213" s="9">
        <v>2212</v>
      </c>
      <c r="B2213" s="9" t="s">
        <v>9</v>
      </c>
      <c r="C2213" s="9">
        <v>1923</v>
      </c>
      <c r="D2213" s="10">
        <v>45701</v>
      </c>
      <c r="E2213" s="13" t="str">
        <f>+HYPERLINK("http://trademark.i-assist.jp/data/china/image_1923th/82125257.pdf","82125257")</f>
        <v>82125257</v>
      </c>
      <c r="F2213" s="9" t="s">
        <v>6051</v>
      </c>
      <c r="G2213" s="9" t="s">
        <v>6052</v>
      </c>
      <c r="H2213" s="9" t="s">
        <v>6053</v>
      </c>
      <c r="I2213" s="10">
        <v>45618</v>
      </c>
    </row>
    <row r="2214" spans="1:9" x14ac:dyDescent="0.15">
      <c r="A2214" s="9">
        <v>2213</v>
      </c>
      <c r="B2214" s="9" t="s">
        <v>9</v>
      </c>
      <c r="C2214" s="9">
        <v>1923</v>
      </c>
      <c r="D2214" s="10">
        <v>45701</v>
      </c>
      <c r="E2214" s="13" t="str">
        <f>+HYPERLINK("http://trademark.i-assist.jp/data/china/image_1923th/82125643.pdf","82125643")</f>
        <v>82125643</v>
      </c>
      <c r="F2214" s="9" t="s">
        <v>6054</v>
      </c>
      <c r="G2214" s="9" t="s">
        <v>6055</v>
      </c>
      <c r="H2214" s="9" t="s">
        <v>6056</v>
      </c>
      <c r="I2214" s="10">
        <v>45618</v>
      </c>
    </row>
    <row r="2215" spans="1:9" x14ac:dyDescent="0.15">
      <c r="A2215" s="9">
        <v>2214</v>
      </c>
      <c r="B2215" s="9" t="s">
        <v>9</v>
      </c>
      <c r="C2215" s="9">
        <v>1923</v>
      </c>
      <c r="D2215" s="10">
        <v>45701</v>
      </c>
      <c r="E2215" s="13" t="str">
        <f>+HYPERLINK("http://trademark.i-assist.jp/data/china/image_1923th/82127863.pdf","82127863")</f>
        <v>82127863</v>
      </c>
      <c r="F2215" s="9" t="s">
        <v>6057</v>
      </c>
      <c r="G2215" s="9" t="s">
        <v>6038</v>
      </c>
      <c r="H2215" s="9" t="s">
        <v>6058</v>
      </c>
      <c r="I2215" s="10">
        <v>45618</v>
      </c>
    </row>
    <row r="2216" spans="1:9" x14ac:dyDescent="0.15">
      <c r="A2216" s="9">
        <v>2215</v>
      </c>
      <c r="B2216" s="9" t="s">
        <v>9</v>
      </c>
      <c r="C2216" s="9">
        <v>1923</v>
      </c>
      <c r="D2216" s="10">
        <v>45701</v>
      </c>
      <c r="E2216" s="13" t="str">
        <f>+HYPERLINK("http://trademark.i-assist.jp/data/china/image_1923th/82128058.pdf","82128058")</f>
        <v>82128058</v>
      </c>
      <c r="F2216" s="11" t="s">
        <v>6059</v>
      </c>
      <c r="G2216" s="11" t="s">
        <v>6008</v>
      </c>
      <c r="H2216" s="9" t="s">
        <v>6060</v>
      </c>
      <c r="I2216" s="10">
        <v>45618</v>
      </c>
    </row>
    <row r="2217" spans="1:9" x14ac:dyDescent="0.15">
      <c r="A2217" s="9">
        <v>2216</v>
      </c>
      <c r="B2217" s="9" t="s">
        <v>9</v>
      </c>
      <c r="C2217" s="9">
        <v>1923</v>
      </c>
      <c r="D2217" s="10">
        <v>45701</v>
      </c>
      <c r="E2217" s="13" t="str">
        <f>+HYPERLINK("http://trademark.i-assist.jp/data/china/image_1923th/82128617.pdf","82128617")</f>
        <v>82128617</v>
      </c>
      <c r="F2217" s="11" t="s">
        <v>6061</v>
      </c>
      <c r="G2217" s="9" t="s">
        <v>6062</v>
      </c>
      <c r="H2217" s="9" t="s">
        <v>6063</v>
      </c>
      <c r="I2217" s="10">
        <v>45618</v>
      </c>
    </row>
    <row r="2218" spans="1:9" x14ac:dyDescent="0.15">
      <c r="A2218" s="9">
        <v>2217</v>
      </c>
      <c r="B2218" s="9" t="s">
        <v>9</v>
      </c>
      <c r="C2218" s="9">
        <v>1923</v>
      </c>
      <c r="D2218" s="10">
        <v>45701</v>
      </c>
      <c r="E2218" s="13" t="str">
        <f>+HYPERLINK("http://trademark.i-assist.jp/data/china/image_1923th/82129273.pdf","82129273")</f>
        <v>82129273</v>
      </c>
      <c r="F2218" s="9" t="s">
        <v>6064</v>
      </c>
      <c r="G2218" s="9" t="s">
        <v>6065</v>
      </c>
      <c r="H2218" s="9" t="s">
        <v>6066</v>
      </c>
      <c r="I2218" s="10">
        <v>45618</v>
      </c>
    </row>
    <row r="2219" spans="1:9" x14ac:dyDescent="0.15">
      <c r="A2219" s="9">
        <v>2218</v>
      </c>
      <c r="B2219" s="9" t="s">
        <v>9</v>
      </c>
      <c r="C2219" s="9">
        <v>1923</v>
      </c>
      <c r="D2219" s="10">
        <v>45701</v>
      </c>
      <c r="E2219" s="13" t="str">
        <f>+HYPERLINK("http://trademark.i-assist.jp/data/china/image_1923th/82130451.pdf","82130451")</f>
        <v>82130451</v>
      </c>
      <c r="F2219" s="9" t="s">
        <v>6067</v>
      </c>
      <c r="G2219" s="9" t="s">
        <v>6013</v>
      </c>
      <c r="H2219" s="9" t="s">
        <v>6068</v>
      </c>
      <c r="I2219" s="10">
        <v>45618</v>
      </c>
    </row>
    <row r="2220" spans="1:9" x14ac:dyDescent="0.15">
      <c r="A2220" s="9">
        <v>2219</v>
      </c>
      <c r="B2220" s="9" t="s">
        <v>9</v>
      </c>
      <c r="C2220" s="9">
        <v>1923</v>
      </c>
      <c r="D2220" s="10">
        <v>45701</v>
      </c>
      <c r="E2220" s="13" t="str">
        <f>+HYPERLINK("http://trademark.i-assist.jp/data/china/image_1923th/82131213.pdf","82131213")</f>
        <v>82131213</v>
      </c>
      <c r="F2220" s="9" t="s">
        <v>6069</v>
      </c>
      <c r="G2220" s="9" t="s">
        <v>6070</v>
      </c>
      <c r="H2220" s="9" t="s">
        <v>6071</v>
      </c>
      <c r="I2220" s="10">
        <v>45618</v>
      </c>
    </row>
    <row r="2221" spans="1:9" x14ac:dyDescent="0.15">
      <c r="A2221" s="9">
        <v>2220</v>
      </c>
      <c r="B2221" s="9" t="s">
        <v>9</v>
      </c>
      <c r="C2221" s="9">
        <v>1923</v>
      </c>
      <c r="D2221" s="10">
        <v>45701</v>
      </c>
      <c r="E2221" s="13" t="str">
        <f>+HYPERLINK("http://trademark.i-assist.jp/data/china/image_1923th/82133680.pdf","82133680")</f>
        <v>82133680</v>
      </c>
      <c r="F2221" s="11" t="s">
        <v>126</v>
      </c>
      <c r="G2221" s="11" t="s">
        <v>6072</v>
      </c>
      <c r="H2221" s="9" t="s">
        <v>6073</v>
      </c>
      <c r="I2221" s="10">
        <v>45618</v>
      </c>
    </row>
    <row r="2222" spans="1:9" x14ac:dyDescent="0.15">
      <c r="A2222" s="9">
        <v>2221</v>
      </c>
      <c r="B2222" s="9" t="s">
        <v>9</v>
      </c>
      <c r="C2222" s="9">
        <v>1923</v>
      </c>
      <c r="D2222" s="10">
        <v>45701</v>
      </c>
      <c r="E2222" s="13" t="str">
        <f>+HYPERLINK("http://trademark.i-assist.jp/data/china/image_1923th/82134344.pdf","82134344")</f>
        <v>82134344</v>
      </c>
      <c r="F2222" s="9" t="s">
        <v>6074</v>
      </c>
      <c r="G2222" s="9" t="s">
        <v>6022</v>
      </c>
      <c r="H2222" s="9" t="s">
        <v>6075</v>
      </c>
      <c r="I2222" s="10">
        <v>45618</v>
      </c>
    </row>
    <row r="2223" spans="1:9" x14ac:dyDescent="0.15">
      <c r="A2223" s="9">
        <v>2222</v>
      </c>
      <c r="B2223" s="9" t="s">
        <v>9</v>
      </c>
      <c r="C2223" s="9">
        <v>1923</v>
      </c>
      <c r="D2223" s="10">
        <v>45701</v>
      </c>
      <c r="E2223" s="13" t="str">
        <f>+HYPERLINK("http://trademark.i-assist.jp/data/china/image_1923th/82134384.pdf","82134384")</f>
        <v>82134384</v>
      </c>
      <c r="F2223" s="9" t="s">
        <v>6076</v>
      </c>
      <c r="G2223" s="9" t="s">
        <v>6077</v>
      </c>
      <c r="H2223" s="9" t="s">
        <v>6078</v>
      </c>
      <c r="I2223" s="10">
        <v>45618</v>
      </c>
    </row>
    <row r="2224" spans="1:9" x14ac:dyDescent="0.15">
      <c r="A2224" s="9">
        <v>2223</v>
      </c>
      <c r="B2224" s="9" t="s">
        <v>9</v>
      </c>
      <c r="C2224" s="9">
        <v>1923</v>
      </c>
      <c r="D2224" s="10">
        <v>45701</v>
      </c>
      <c r="E2224" s="13" t="str">
        <f>+HYPERLINK("http://trademark.i-assist.jp/data/china/image_1923th/82134845.pdf","82134845")</f>
        <v>82134845</v>
      </c>
      <c r="F2224" s="9" t="s">
        <v>6079</v>
      </c>
      <c r="G2224" s="9" t="s">
        <v>2258</v>
      </c>
      <c r="H2224" s="9" t="s">
        <v>6080</v>
      </c>
      <c r="I2224" s="10">
        <v>45618</v>
      </c>
    </row>
    <row r="2225" spans="1:9" x14ac:dyDescent="0.15">
      <c r="A2225" s="9">
        <v>2224</v>
      </c>
      <c r="B2225" s="9" t="s">
        <v>9</v>
      </c>
      <c r="C2225" s="9">
        <v>1923</v>
      </c>
      <c r="D2225" s="10">
        <v>45701</v>
      </c>
      <c r="E2225" s="13" t="str">
        <f>+HYPERLINK("http://trademark.i-assist.jp/data/china/image_1923th/82135183.pdf","82135183")</f>
        <v>82135183</v>
      </c>
      <c r="F2225" s="9" t="s">
        <v>6081</v>
      </c>
      <c r="G2225" s="9" t="s">
        <v>6022</v>
      </c>
      <c r="H2225" s="9" t="s">
        <v>6082</v>
      </c>
      <c r="I2225" s="10">
        <v>45618</v>
      </c>
    </row>
    <row r="2226" spans="1:9" x14ac:dyDescent="0.15">
      <c r="A2226" s="9">
        <v>2225</v>
      </c>
      <c r="B2226" s="9" t="s">
        <v>9</v>
      </c>
      <c r="C2226" s="9">
        <v>1923</v>
      </c>
      <c r="D2226" s="10">
        <v>45701</v>
      </c>
      <c r="E2226" s="13" t="str">
        <f>+HYPERLINK("http://trademark.i-assist.jp/data/china/image_1923th/82135203.pdf","82135203")</f>
        <v>82135203</v>
      </c>
      <c r="F2226" s="9" t="s">
        <v>6083</v>
      </c>
      <c r="G2226" s="9" t="s">
        <v>6022</v>
      </c>
      <c r="H2226" s="9" t="s">
        <v>6084</v>
      </c>
      <c r="I2226" s="10">
        <v>45618</v>
      </c>
    </row>
    <row r="2227" spans="1:9" x14ac:dyDescent="0.15">
      <c r="A2227" s="9">
        <v>2226</v>
      </c>
      <c r="B2227" s="9" t="s">
        <v>9</v>
      </c>
      <c r="C2227" s="9">
        <v>1923</v>
      </c>
      <c r="D2227" s="10">
        <v>45701</v>
      </c>
      <c r="E2227" s="13" t="str">
        <f>+HYPERLINK("http://trademark.i-assist.jp/data/china/image_1923th/82135760.pdf","82135760")</f>
        <v>82135760</v>
      </c>
      <c r="F2227" s="9" t="s">
        <v>6085</v>
      </c>
      <c r="G2227" s="9" t="s">
        <v>6086</v>
      </c>
      <c r="H2227" s="9" t="s">
        <v>6087</v>
      </c>
      <c r="I2227" s="10">
        <v>45618</v>
      </c>
    </row>
    <row r="2228" spans="1:9" x14ac:dyDescent="0.15">
      <c r="A2228" s="9">
        <v>2227</v>
      </c>
      <c r="B2228" s="9" t="s">
        <v>9</v>
      </c>
      <c r="C2228" s="9">
        <v>1923</v>
      </c>
      <c r="D2228" s="10">
        <v>45701</v>
      </c>
      <c r="E2228" s="13" t="str">
        <f>+HYPERLINK("http://trademark.i-assist.jp/data/china/image_1923th/82135974.pdf","82135974")</f>
        <v>82135974</v>
      </c>
      <c r="F2228" s="9" t="s">
        <v>6088</v>
      </c>
      <c r="G2228" s="9" t="s">
        <v>6089</v>
      </c>
      <c r="H2228" s="9" t="s">
        <v>6090</v>
      </c>
      <c r="I2228" s="10">
        <v>45618</v>
      </c>
    </row>
    <row r="2229" spans="1:9" x14ac:dyDescent="0.15">
      <c r="A2229" s="9">
        <v>2228</v>
      </c>
      <c r="B2229" s="9" t="s">
        <v>9</v>
      </c>
      <c r="C2229" s="9">
        <v>1923</v>
      </c>
      <c r="D2229" s="10">
        <v>45701</v>
      </c>
      <c r="E2229" s="13" t="str">
        <f>+HYPERLINK("http://trademark.i-assist.jp/data/china/image_1923th/82136781.pdf","82136781")</f>
        <v>82136781</v>
      </c>
      <c r="F2229" s="11" t="s">
        <v>6091</v>
      </c>
      <c r="G2229" s="9" t="s">
        <v>6092</v>
      </c>
      <c r="H2229" s="9" t="s">
        <v>6093</v>
      </c>
      <c r="I2229" s="10">
        <v>45618</v>
      </c>
    </row>
    <row r="2230" spans="1:9" x14ac:dyDescent="0.15">
      <c r="A2230" s="9">
        <v>2229</v>
      </c>
      <c r="B2230" s="9" t="s">
        <v>9</v>
      </c>
      <c r="C2230" s="9">
        <v>1923</v>
      </c>
      <c r="D2230" s="10">
        <v>45701</v>
      </c>
      <c r="E2230" s="13" t="str">
        <f>+HYPERLINK("http://trademark.i-assist.jp/data/china/image_1923th/82137416.pdf","82137416")</f>
        <v>82137416</v>
      </c>
      <c r="F2230" s="9" t="s">
        <v>6094</v>
      </c>
      <c r="G2230" s="9" t="s">
        <v>6095</v>
      </c>
      <c r="H2230" s="9" t="s">
        <v>6096</v>
      </c>
      <c r="I2230" s="10">
        <v>45618</v>
      </c>
    </row>
    <row r="2231" spans="1:9" x14ac:dyDescent="0.15">
      <c r="A2231" s="9">
        <v>2230</v>
      </c>
      <c r="B2231" s="9" t="s">
        <v>9</v>
      </c>
      <c r="C2231" s="9">
        <v>1923</v>
      </c>
      <c r="D2231" s="10">
        <v>45701</v>
      </c>
      <c r="E2231" s="13" t="str">
        <f>+HYPERLINK("http://trademark.i-assist.jp/data/china/image_1923th/82137685.pdf","82137685")</f>
        <v>82137685</v>
      </c>
      <c r="F2231" s="9" t="s">
        <v>6097</v>
      </c>
      <c r="G2231" s="9" t="s">
        <v>6098</v>
      </c>
      <c r="H2231" s="9" t="s">
        <v>6099</v>
      </c>
      <c r="I2231" s="10">
        <v>45618</v>
      </c>
    </row>
    <row r="2232" spans="1:9" x14ac:dyDescent="0.15">
      <c r="A2232" s="9">
        <v>2231</v>
      </c>
      <c r="B2232" s="9" t="s">
        <v>9</v>
      </c>
      <c r="C2232" s="9">
        <v>1923</v>
      </c>
      <c r="D2232" s="10">
        <v>45701</v>
      </c>
      <c r="E2232" s="13" t="str">
        <f>+HYPERLINK("http://trademark.i-assist.jp/data/china/image_1923th/82138196.pdf","82138196")</f>
        <v>82138196</v>
      </c>
      <c r="F2232" s="9" t="s">
        <v>6100</v>
      </c>
      <c r="G2232" s="9" t="s">
        <v>6101</v>
      </c>
      <c r="H2232" s="9" t="s">
        <v>6102</v>
      </c>
      <c r="I2232" s="10">
        <v>45618</v>
      </c>
    </row>
    <row r="2233" spans="1:9" x14ac:dyDescent="0.15">
      <c r="A2233" s="9">
        <v>2232</v>
      </c>
      <c r="B2233" s="9" t="s">
        <v>9</v>
      </c>
      <c r="C2233" s="9">
        <v>1923</v>
      </c>
      <c r="D2233" s="10">
        <v>45701</v>
      </c>
      <c r="E2233" s="13" t="str">
        <f>+HYPERLINK("http://trademark.i-assist.jp/data/china/image_1923th/82139076.pdf","82139076")</f>
        <v>82139076</v>
      </c>
      <c r="F2233" s="9" t="s">
        <v>6103</v>
      </c>
      <c r="G2233" s="9" t="s">
        <v>6038</v>
      </c>
      <c r="H2233" s="9" t="s">
        <v>6104</v>
      </c>
      <c r="I2233" s="10">
        <v>45618</v>
      </c>
    </row>
    <row r="2234" spans="1:9" x14ac:dyDescent="0.15">
      <c r="A2234" s="9">
        <v>2233</v>
      </c>
      <c r="B2234" s="9" t="s">
        <v>9</v>
      </c>
      <c r="C2234" s="9">
        <v>1923</v>
      </c>
      <c r="D2234" s="10">
        <v>45701</v>
      </c>
      <c r="E2234" s="13" t="str">
        <f>+HYPERLINK("http://trademark.i-assist.jp/data/china/image_1923th/82139297.pdf","82139297")</f>
        <v>82139297</v>
      </c>
      <c r="F2234" s="9" t="s">
        <v>6105</v>
      </c>
      <c r="G2234" s="9" t="s">
        <v>6028</v>
      </c>
      <c r="H2234" s="9" t="s">
        <v>6106</v>
      </c>
      <c r="I2234" s="10">
        <v>45618</v>
      </c>
    </row>
    <row r="2235" spans="1:9" x14ac:dyDescent="0.15">
      <c r="A2235" s="9">
        <v>2234</v>
      </c>
      <c r="B2235" s="9" t="s">
        <v>9</v>
      </c>
      <c r="C2235" s="9">
        <v>1923</v>
      </c>
      <c r="D2235" s="10">
        <v>45701</v>
      </c>
      <c r="E2235" s="13" t="str">
        <f>+HYPERLINK("http://trademark.i-assist.jp/data/china/image_1923th/82140335.pdf","82140335")</f>
        <v>82140335</v>
      </c>
      <c r="F2235" s="11" t="s">
        <v>6107</v>
      </c>
      <c r="G2235" s="9" t="s">
        <v>6108</v>
      </c>
      <c r="H2235" s="9" t="s">
        <v>6109</v>
      </c>
      <c r="I2235" s="10">
        <v>45618</v>
      </c>
    </row>
    <row r="2236" spans="1:9" x14ac:dyDescent="0.15">
      <c r="A2236" s="9">
        <v>2235</v>
      </c>
      <c r="B2236" s="9" t="s">
        <v>9</v>
      </c>
      <c r="C2236" s="9">
        <v>1923</v>
      </c>
      <c r="D2236" s="10">
        <v>45701</v>
      </c>
      <c r="E2236" s="13" t="str">
        <f>+HYPERLINK("http://trademark.i-assist.jp/data/china/image_1923th/82142102.pdf","82142102")</f>
        <v>82142102</v>
      </c>
      <c r="F2236" s="9" t="s">
        <v>6110</v>
      </c>
      <c r="G2236" s="9" t="s">
        <v>6111</v>
      </c>
      <c r="H2236" s="9" t="s">
        <v>6112</v>
      </c>
      <c r="I2236" s="10">
        <v>45618</v>
      </c>
    </row>
    <row r="2237" spans="1:9" x14ac:dyDescent="0.15">
      <c r="A2237" s="9">
        <v>2236</v>
      </c>
      <c r="B2237" s="9" t="s">
        <v>9</v>
      </c>
      <c r="C2237" s="9">
        <v>1923</v>
      </c>
      <c r="D2237" s="10">
        <v>45701</v>
      </c>
      <c r="E2237" s="13" t="str">
        <f>+HYPERLINK("http://trademark.i-assist.jp/data/china/image_1923th/82142361.pdf","82142361")</f>
        <v>82142361</v>
      </c>
      <c r="F2237" s="9" t="s">
        <v>6113</v>
      </c>
      <c r="G2237" s="9" t="s">
        <v>6077</v>
      </c>
      <c r="H2237" s="9" t="s">
        <v>6114</v>
      </c>
      <c r="I2237" s="10">
        <v>45618</v>
      </c>
    </row>
    <row r="2238" spans="1:9" x14ac:dyDescent="0.15">
      <c r="A2238" s="9">
        <v>2237</v>
      </c>
      <c r="B2238" s="9" t="s">
        <v>9</v>
      </c>
      <c r="C2238" s="9">
        <v>1923</v>
      </c>
      <c r="D2238" s="10">
        <v>45701</v>
      </c>
      <c r="E2238" s="13" t="str">
        <f>+HYPERLINK("http://trademark.i-assist.jp/data/china/image_1923th/82143367.pdf","82143367")</f>
        <v>82143367</v>
      </c>
      <c r="F2238" s="9" t="s">
        <v>6115</v>
      </c>
      <c r="G2238" s="9" t="s">
        <v>6116</v>
      </c>
      <c r="H2238" s="11" t="s">
        <v>6117</v>
      </c>
      <c r="I2238" s="10">
        <v>45620</v>
      </c>
    </row>
    <row r="2239" spans="1:9" x14ac:dyDescent="0.15">
      <c r="A2239" s="9">
        <v>2238</v>
      </c>
      <c r="B2239" s="9" t="s">
        <v>9</v>
      </c>
      <c r="C2239" s="9">
        <v>1923</v>
      </c>
      <c r="D2239" s="10">
        <v>45701</v>
      </c>
      <c r="E2239" s="13" t="str">
        <f>+HYPERLINK("http://trademark.i-assist.jp/data/china/image_1923th/82143556.pdf","82143556")</f>
        <v>82143556</v>
      </c>
      <c r="F2239" s="9" t="s">
        <v>6118</v>
      </c>
      <c r="G2239" s="9" t="s">
        <v>6119</v>
      </c>
      <c r="H2239" s="9" t="s">
        <v>6120</v>
      </c>
      <c r="I2239" s="10">
        <v>45620</v>
      </c>
    </row>
    <row r="2240" spans="1:9" x14ac:dyDescent="0.15">
      <c r="A2240" s="9">
        <v>2239</v>
      </c>
      <c r="B2240" s="9" t="s">
        <v>9</v>
      </c>
      <c r="C2240" s="9">
        <v>1923</v>
      </c>
      <c r="D2240" s="10">
        <v>45701</v>
      </c>
      <c r="E2240" s="13" t="str">
        <f>+HYPERLINK("http://trademark.i-assist.jp/data/china/image_1923th/82144004.pdf","82144004")</f>
        <v>82144004</v>
      </c>
      <c r="F2240" s="9" t="s">
        <v>6118</v>
      </c>
      <c r="G2240" s="9" t="s">
        <v>6119</v>
      </c>
      <c r="H2240" s="9" t="s">
        <v>6121</v>
      </c>
      <c r="I2240" s="10">
        <v>45620</v>
      </c>
    </row>
    <row r="2241" spans="1:9" x14ac:dyDescent="0.15">
      <c r="A2241" s="9">
        <v>2240</v>
      </c>
      <c r="B2241" s="9" t="s">
        <v>9</v>
      </c>
      <c r="C2241" s="9">
        <v>1923</v>
      </c>
      <c r="D2241" s="10">
        <v>45701</v>
      </c>
      <c r="E2241" s="13" t="str">
        <f>+HYPERLINK("http://trademark.i-assist.jp/data/china/image_1923th/82144683.pdf","82144683")</f>
        <v>82144683</v>
      </c>
      <c r="F2241" s="12" t="s">
        <v>6122</v>
      </c>
      <c r="G2241" s="9" t="s">
        <v>6123</v>
      </c>
      <c r="H2241" s="9" t="s">
        <v>6124</v>
      </c>
      <c r="I2241" s="10">
        <v>45621</v>
      </c>
    </row>
    <row r="2242" spans="1:9" x14ac:dyDescent="0.15">
      <c r="A2242" s="9">
        <v>2241</v>
      </c>
      <c r="B2242" s="9" t="s">
        <v>9</v>
      </c>
      <c r="C2242" s="9">
        <v>1923</v>
      </c>
      <c r="D2242" s="10">
        <v>45701</v>
      </c>
      <c r="E2242" s="13" t="str">
        <f>+HYPERLINK("http://trademark.i-assist.jp/data/china/image_1923th/82146482.pdf","82146482")</f>
        <v>82146482</v>
      </c>
      <c r="F2242" s="9" t="s">
        <v>6125</v>
      </c>
      <c r="G2242" s="9" t="s">
        <v>6126</v>
      </c>
      <c r="H2242" s="11" t="s">
        <v>6127</v>
      </c>
      <c r="I2242" s="10">
        <v>45621</v>
      </c>
    </row>
    <row r="2243" spans="1:9" x14ac:dyDescent="0.15">
      <c r="A2243" s="9">
        <v>2242</v>
      </c>
      <c r="B2243" s="9" t="s">
        <v>9</v>
      </c>
      <c r="C2243" s="9">
        <v>1923</v>
      </c>
      <c r="D2243" s="10">
        <v>45701</v>
      </c>
      <c r="E2243" s="13" t="str">
        <f>+HYPERLINK("http://trademark.i-assist.jp/data/china/image_1923th/82146902.pdf","82146902")</f>
        <v>82146902</v>
      </c>
      <c r="F2243" s="9" t="s">
        <v>6128</v>
      </c>
      <c r="G2243" s="9" t="s">
        <v>740</v>
      </c>
      <c r="H2243" s="9" t="s">
        <v>6129</v>
      </c>
      <c r="I2243" s="10">
        <v>45621</v>
      </c>
    </row>
    <row r="2244" spans="1:9" x14ac:dyDescent="0.15">
      <c r="A2244" s="9">
        <v>2243</v>
      </c>
      <c r="B2244" s="9" t="s">
        <v>9</v>
      </c>
      <c r="C2244" s="9">
        <v>1923</v>
      </c>
      <c r="D2244" s="10">
        <v>45701</v>
      </c>
      <c r="E2244" s="13" t="str">
        <f>+HYPERLINK("http://trademark.i-assist.jp/data/china/image_1923th/82146928.pdf","82146928")</f>
        <v>82146928</v>
      </c>
      <c r="F2244" s="9" t="s">
        <v>6130</v>
      </c>
      <c r="G2244" s="9" t="s">
        <v>6131</v>
      </c>
      <c r="H2244" s="9" t="s">
        <v>6132</v>
      </c>
      <c r="I2244" s="10">
        <v>45621</v>
      </c>
    </row>
    <row r="2245" spans="1:9" x14ac:dyDescent="0.15">
      <c r="A2245" s="9">
        <v>2244</v>
      </c>
      <c r="B2245" s="9" t="s">
        <v>9</v>
      </c>
      <c r="C2245" s="9">
        <v>1923</v>
      </c>
      <c r="D2245" s="10">
        <v>45701</v>
      </c>
      <c r="E2245" s="13" t="str">
        <f>+HYPERLINK("http://trademark.i-assist.jp/data/china/image_1923th/82147048.pdf","82147048")</f>
        <v>82147048</v>
      </c>
      <c r="F2245" s="9" t="s">
        <v>6133</v>
      </c>
      <c r="G2245" s="9" t="s">
        <v>6134</v>
      </c>
      <c r="H2245" s="9" t="s">
        <v>6135</v>
      </c>
      <c r="I2245" s="10">
        <v>45621</v>
      </c>
    </row>
    <row r="2246" spans="1:9" x14ac:dyDescent="0.15">
      <c r="A2246" s="9">
        <v>2245</v>
      </c>
      <c r="B2246" s="9" t="s">
        <v>9</v>
      </c>
      <c r="C2246" s="9">
        <v>1923</v>
      </c>
      <c r="D2246" s="10">
        <v>45701</v>
      </c>
      <c r="E2246" s="13" t="str">
        <f>+HYPERLINK("http://trademark.i-assist.jp/data/china/image_1923th/82148578.pdf","82148578")</f>
        <v>82148578</v>
      </c>
      <c r="F2246" s="9" t="s">
        <v>6136</v>
      </c>
      <c r="G2246" s="9" t="s">
        <v>6137</v>
      </c>
      <c r="H2246" s="9" t="s">
        <v>6138</v>
      </c>
      <c r="I2246" s="10">
        <v>45621</v>
      </c>
    </row>
    <row r="2247" spans="1:9" x14ac:dyDescent="0.15">
      <c r="A2247" s="9">
        <v>2246</v>
      </c>
      <c r="B2247" s="9" t="s">
        <v>9</v>
      </c>
      <c r="C2247" s="9">
        <v>1923</v>
      </c>
      <c r="D2247" s="10">
        <v>45701</v>
      </c>
      <c r="E2247" s="13" t="str">
        <f>+HYPERLINK("http://trademark.i-assist.jp/data/china/image_1923th/82149211.pdf","82149211")</f>
        <v>82149211</v>
      </c>
      <c r="F2247" s="11" t="s">
        <v>6139</v>
      </c>
      <c r="G2247" s="11" t="s">
        <v>6140</v>
      </c>
      <c r="H2247" s="9" t="s">
        <v>6141</v>
      </c>
      <c r="I2247" s="10">
        <v>45621</v>
      </c>
    </row>
    <row r="2248" spans="1:9" x14ac:dyDescent="0.15">
      <c r="A2248" s="9">
        <v>2247</v>
      </c>
      <c r="B2248" s="9" t="s">
        <v>9</v>
      </c>
      <c r="C2248" s="9">
        <v>1923</v>
      </c>
      <c r="D2248" s="10">
        <v>45701</v>
      </c>
      <c r="E2248" s="13" t="str">
        <f>+HYPERLINK("http://trademark.i-assist.jp/data/china/image_1923th/82150713.pdf","82150713")</f>
        <v>82150713</v>
      </c>
      <c r="F2248" s="9" t="s">
        <v>6142</v>
      </c>
      <c r="G2248" s="9" t="s">
        <v>6143</v>
      </c>
      <c r="H2248" s="9" t="s">
        <v>6144</v>
      </c>
      <c r="I2248" s="10">
        <v>45621</v>
      </c>
    </row>
    <row r="2249" spans="1:9" x14ac:dyDescent="0.15">
      <c r="A2249" s="9">
        <v>2248</v>
      </c>
      <c r="B2249" s="9" t="s">
        <v>9</v>
      </c>
      <c r="C2249" s="9">
        <v>1923</v>
      </c>
      <c r="D2249" s="10">
        <v>45701</v>
      </c>
      <c r="E2249" s="13" t="str">
        <f>+HYPERLINK("http://trademark.i-assist.jp/data/china/image_1923th/82150923.pdf","82150923")</f>
        <v>82150923</v>
      </c>
      <c r="F2249" s="9" t="s">
        <v>6145</v>
      </c>
      <c r="G2249" s="9" t="s">
        <v>6146</v>
      </c>
      <c r="H2249" s="11" t="s">
        <v>6147</v>
      </c>
      <c r="I2249" s="10">
        <v>45621</v>
      </c>
    </row>
    <row r="2250" spans="1:9" x14ac:dyDescent="0.15">
      <c r="A2250" s="9">
        <v>2249</v>
      </c>
      <c r="B2250" s="9" t="s">
        <v>9</v>
      </c>
      <c r="C2250" s="9">
        <v>1923</v>
      </c>
      <c r="D2250" s="10">
        <v>45701</v>
      </c>
      <c r="E2250" s="13" t="str">
        <f>+HYPERLINK("http://trademark.i-assist.jp/data/china/image_1923th/82151721.pdf","82151721")</f>
        <v>82151721</v>
      </c>
      <c r="F2250" s="9" t="s">
        <v>6148</v>
      </c>
      <c r="G2250" s="9" t="s">
        <v>6149</v>
      </c>
      <c r="H2250" s="9" t="s">
        <v>6150</v>
      </c>
      <c r="I2250" s="10">
        <v>45621</v>
      </c>
    </row>
    <row r="2251" spans="1:9" x14ac:dyDescent="0.15">
      <c r="A2251" s="9">
        <v>2250</v>
      </c>
      <c r="B2251" s="9" t="s">
        <v>9</v>
      </c>
      <c r="C2251" s="9">
        <v>1923</v>
      </c>
      <c r="D2251" s="10">
        <v>45701</v>
      </c>
      <c r="E2251" s="13" t="str">
        <f>+HYPERLINK("http://trademark.i-assist.jp/data/china/image_1923th/82151743.pdf","82151743")</f>
        <v>82151743</v>
      </c>
      <c r="F2251" s="11" t="s">
        <v>6151</v>
      </c>
      <c r="G2251" s="9" t="s">
        <v>6152</v>
      </c>
      <c r="H2251" s="9" t="s">
        <v>6153</v>
      </c>
      <c r="I2251" s="10">
        <v>45621</v>
      </c>
    </row>
    <row r="2252" spans="1:9" x14ac:dyDescent="0.15">
      <c r="A2252" s="9">
        <v>2251</v>
      </c>
      <c r="B2252" s="9" t="s">
        <v>9</v>
      </c>
      <c r="C2252" s="9">
        <v>1923</v>
      </c>
      <c r="D2252" s="10">
        <v>45701</v>
      </c>
      <c r="E2252" s="13" t="str">
        <f>+HYPERLINK("http://trademark.i-assist.jp/data/china/image_1923th/82151752.pdf","82151752")</f>
        <v>82151752</v>
      </c>
      <c r="F2252" s="11" t="s">
        <v>6154</v>
      </c>
      <c r="G2252" s="9" t="s">
        <v>6152</v>
      </c>
      <c r="H2252" s="11" t="s">
        <v>6155</v>
      </c>
      <c r="I2252" s="10">
        <v>45621</v>
      </c>
    </row>
    <row r="2253" spans="1:9" x14ac:dyDescent="0.15">
      <c r="A2253" s="9">
        <v>2252</v>
      </c>
      <c r="B2253" s="9" t="s">
        <v>9</v>
      </c>
      <c r="C2253" s="9">
        <v>1923</v>
      </c>
      <c r="D2253" s="10">
        <v>45701</v>
      </c>
      <c r="E2253" s="13" t="str">
        <f>+HYPERLINK("http://trademark.i-assist.jp/data/china/image_1923th/82152579.pdf","82152579")</f>
        <v>82152579</v>
      </c>
      <c r="F2253" s="11" t="s">
        <v>6156</v>
      </c>
      <c r="G2253" s="9" t="s">
        <v>6157</v>
      </c>
      <c r="H2253" s="9" t="s">
        <v>6158</v>
      </c>
      <c r="I2253" s="10">
        <v>45621</v>
      </c>
    </row>
    <row r="2254" spans="1:9" x14ac:dyDescent="0.15">
      <c r="A2254" s="9">
        <v>2253</v>
      </c>
      <c r="B2254" s="9" t="s">
        <v>9</v>
      </c>
      <c r="C2254" s="9">
        <v>1923</v>
      </c>
      <c r="D2254" s="10">
        <v>45701</v>
      </c>
      <c r="E2254" s="13" t="str">
        <f>+HYPERLINK("http://trademark.i-assist.jp/data/china/image_1923th/82152641.pdf","82152641")</f>
        <v>82152641</v>
      </c>
      <c r="F2254" s="9" t="s">
        <v>6159</v>
      </c>
      <c r="G2254" s="11" t="s">
        <v>6160</v>
      </c>
      <c r="H2254" s="9" t="s">
        <v>6161</v>
      </c>
      <c r="I2254" s="10">
        <v>45621</v>
      </c>
    </row>
    <row r="2255" spans="1:9" x14ac:dyDescent="0.15">
      <c r="A2255" s="9">
        <v>2254</v>
      </c>
      <c r="B2255" s="9" t="s">
        <v>9</v>
      </c>
      <c r="C2255" s="9">
        <v>1923</v>
      </c>
      <c r="D2255" s="10">
        <v>45701</v>
      </c>
      <c r="E2255" s="13" t="str">
        <f>+HYPERLINK("http://trademark.i-assist.jp/data/china/image_1923th/82152656.pdf","82152656")</f>
        <v>82152656</v>
      </c>
      <c r="F2255" s="9" t="s">
        <v>6162</v>
      </c>
      <c r="G2255" s="11" t="s">
        <v>6163</v>
      </c>
      <c r="H2255" s="9" t="s">
        <v>6164</v>
      </c>
      <c r="I2255" s="10">
        <v>45621</v>
      </c>
    </row>
    <row r="2256" spans="1:9" x14ac:dyDescent="0.15">
      <c r="A2256" s="9">
        <v>2255</v>
      </c>
      <c r="B2256" s="9" t="s">
        <v>9</v>
      </c>
      <c r="C2256" s="9">
        <v>1923</v>
      </c>
      <c r="D2256" s="10">
        <v>45701</v>
      </c>
      <c r="E2256" s="13" t="str">
        <f>+HYPERLINK("http://trademark.i-assist.jp/data/china/image_1923th/82153225.pdf","82153225")</f>
        <v>82153225</v>
      </c>
      <c r="F2256" s="11" t="s">
        <v>6165</v>
      </c>
      <c r="G2256" s="9" t="s">
        <v>6166</v>
      </c>
      <c r="H2256" s="9" t="s">
        <v>6167</v>
      </c>
      <c r="I2256" s="10">
        <v>45621</v>
      </c>
    </row>
    <row r="2257" spans="1:9" x14ac:dyDescent="0.15">
      <c r="A2257" s="9">
        <v>2256</v>
      </c>
      <c r="B2257" s="9" t="s">
        <v>9</v>
      </c>
      <c r="C2257" s="9">
        <v>1923</v>
      </c>
      <c r="D2257" s="10">
        <v>45701</v>
      </c>
      <c r="E2257" s="13" t="str">
        <f>+HYPERLINK("http://trademark.i-assist.jp/data/china/image_1923th/82153762.pdf","82153762")</f>
        <v>82153762</v>
      </c>
      <c r="F2257" s="9" t="s">
        <v>6168</v>
      </c>
      <c r="G2257" s="9" t="s">
        <v>6169</v>
      </c>
      <c r="H2257" s="9" t="s">
        <v>6170</v>
      </c>
      <c r="I2257" s="10">
        <v>45621</v>
      </c>
    </row>
    <row r="2258" spans="1:9" x14ac:dyDescent="0.15">
      <c r="A2258" s="9">
        <v>2257</v>
      </c>
      <c r="B2258" s="9" t="s">
        <v>9</v>
      </c>
      <c r="C2258" s="9">
        <v>1923</v>
      </c>
      <c r="D2258" s="10">
        <v>45701</v>
      </c>
      <c r="E2258" s="13" t="str">
        <f>+HYPERLINK("http://trademark.i-assist.jp/data/china/image_1923th/82153958.pdf","82153958")</f>
        <v>82153958</v>
      </c>
      <c r="F2258" s="9" t="s">
        <v>6171</v>
      </c>
      <c r="G2258" s="9" t="s">
        <v>6172</v>
      </c>
      <c r="H2258" s="9" t="s">
        <v>6173</v>
      </c>
      <c r="I2258" s="10">
        <v>45621</v>
      </c>
    </row>
    <row r="2259" spans="1:9" x14ac:dyDescent="0.15">
      <c r="A2259" s="9">
        <v>2258</v>
      </c>
      <c r="B2259" s="9" t="s">
        <v>9</v>
      </c>
      <c r="C2259" s="9">
        <v>1923</v>
      </c>
      <c r="D2259" s="10">
        <v>45701</v>
      </c>
      <c r="E2259" s="13" t="str">
        <f>+HYPERLINK("http://trademark.i-assist.jp/data/china/image_1923th/82154124.pdf","82154124")</f>
        <v>82154124</v>
      </c>
      <c r="F2259" s="9" t="s">
        <v>6174</v>
      </c>
      <c r="G2259" s="9" t="s">
        <v>6175</v>
      </c>
      <c r="H2259" s="9" t="s">
        <v>6176</v>
      </c>
      <c r="I2259" s="10">
        <v>45621</v>
      </c>
    </row>
    <row r="2260" spans="1:9" x14ac:dyDescent="0.15">
      <c r="A2260" s="9">
        <v>2259</v>
      </c>
      <c r="B2260" s="9" t="s">
        <v>9</v>
      </c>
      <c r="C2260" s="9">
        <v>1923</v>
      </c>
      <c r="D2260" s="10">
        <v>45701</v>
      </c>
      <c r="E2260" s="13" t="str">
        <f>+HYPERLINK("http://trademark.i-assist.jp/data/china/image_1923th/82154754.pdf","82154754")</f>
        <v>82154754</v>
      </c>
      <c r="F2260" s="9" t="s">
        <v>6177</v>
      </c>
      <c r="G2260" s="9" t="s">
        <v>6178</v>
      </c>
      <c r="H2260" s="9" t="s">
        <v>6179</v>
      </c>
      <c r="I2260" s="10">
        <v>45621</v>
      </c>
    </row>
    <row r="2261" spans="1:9" x14ac:dyDescent="0.15">
      <c r="A2261" s="9">
        <v>2260</v>
      </c>
      <c r="B2261" s="9" t="s">
        <v>9</v>
      </c>
      <c r="C2261" s="9">
        <v>1923</v>
      </c>
      <c r="D2261" s="10">
        <v>45701</v>
      </c>
      <c r="E2261" s="13" t="str">
        <f>+HYPERLINK("http://trademark.i-assist.jp/data/china/image_1923th/82155084.pdf","82155084")</f>
        <v>82155084</v>
      </c>
      <c r="F2261" s="11" t="s">
        <v>6180</v>
      </c>
      <c r="G2261" s="9" t="s">
        <v>6152</v>
      </c>
      <c r="H2261" s="9" t="s">
        <v>6181</v>
      </c>
      <c r="I2261" s="10">
        <v>45621</v>
      </c>
    </row>
    <row r="2262" spans="1:9" x14ac:dyDescent="0.15">
      <c r="A2262" s="9">
        <v>2261</v>
      </c>
      <c r="B2262" s="9" t="s">
        <v>9</v>
      </c>
      <c r="C2262" s="9">
        <v>1923</v>
      </c>
      <c r="D2262" s="10">
        <v>45701</v>
      </c>
      <c r="E2262" s="13" t="str">
        <f>+HYPERLINK("http://trademark.i-assist.jp/data/china/image_1923th/82155090.pdf","82155090")</f>
        <v>82155090</v>
      </c>
      <c r="F2262" s="11" t="s">
        <v>6182</v>
      </c>
      <c r="G2262" s="9" t="s">
        <v>6152</v>
      </c>
      <c r="H2262" s="9" t="s">
        <v>6183</v>
      </c>
      <c r="I2262" s="10">
        <v>45621</v>
      </c>
    </row>
    <row r="2263" spans="1:9" x14ac:dyDescent="0.15">
      <c r="A2263" s="9">
        <v>2262</v>
      </c>
      <c r="B2263" s="9" t="s">
        <v>9</v>
      </c>
      <c r="C2263" s="9">
        <v>1923</v>
      </c>
      <c r="D2263" s="10">
        <v>45701</v>
      </c>
      <c r="E2263" s="13" t="str">
        <f>+HYPERLINK("http://trademark.i-assist.jp/data/china/image_1923th/82156281.pdf","82156281")</f>
        <v>82156281</v>
      </c>
      <c r="F2263" s="9" t="s">
        <v>6184</v>
      </c>
      <c r="G2263" s="9" t="s">
        <v>6185</v>
      </c>
      <c r="H2263" s="9" t="s">
        <v>6186</v>
      </c>
      <c r="I2263" s="10">
        <v>45621</v>
      </c>
    </row>
    <row r="2264" spans="1:9" x14ac:dyDescent="0.15">
      <c r="A2264" s="9">
        <v>2263</v>
      </c>
      <c r="B2264" s="9" t="s">
        <v>9</v>
      </c>
      <c r="C2264" s="9">
        <v>1923</v>
      </c>
      <c r="D2264" s="10">
        <v>45701</v>
      </c>
      <c r="E2264" s="13" t="str">
        <f>+HYPERLINK("http://trademark.i-assist.jp/data/china/image_1923th/82156416.pdf","82156416")</f>
        <v>82156416</v>
      </c>
      <c r="F2264" s="9" t="s">
        <v>6187</v>
      </c>
      <c r="G2264" s="9" t="s">
        <v>6188</v>
      </c>
      <c r="H2264" s="9" t="s">
        <v>6189</v>
      </c>
      <c r="I2264" s="10">
        <v>45621</v>
      </c>
    </row>
    <row r="2265" spans="1:9" x14ac:dyDescent="0.15">
      <c r="A2265" s="9">
        <v>2264</v>
      </c>
      <c r="B2265" s="9" t="s">
        <v>9</v>
      </c>
      <c r="C2265" s="9">
        <v>1923</v>
      </c>
      <c r="D2265" s="10">
        <v>45701</v>
      </c>
      <c r="E2265" s="13" t="str">
        <f>+HYPERLINK("http://trademark.i-assist.jp/data/china/image_1923th/82156904.pdf","82156904")</f>
        <v>82156904</v>
      </c>
      <c r="F2265" s="9" t="s">
        <v>6190</v>
      </c>
      <c r="G2265" s="9" t="s">
        <v>6191</v>
      </c>
      <c r="H2265" s="9" t="s">
        <v>6192</v>
      </c>
      <c r="I2265" s="10">
        <v>45621</v>
      </c>
    </row>
    <row r="2266" spans="1:9" x14ac:dyDescent="0.15">
      <c r="A2266" s="9">
        <v>2265</v>
      </c>
      <c r="B2266" s="9" t="s">
        <v>9</v>
      </c>
      <c r="C2266" s="9">
        <v>1923</v>
      </c>
      <c r="D2266" s="10">
        <v>45701</v>
      </c>
      <c r="E2266" s="13" t="str">
        <f>+HYPERLINK("http://trademark.i-assist.jp/data/china/image_1923th/82157221.pdf","82157221")</f>
        <v>82157221</v>
      </c>
      <c r="F2266" s="9" t="s">
        <v>6193</v>
      </c>
      <c r="G2266" s="9" t="s">
        <v>6194</v>
      </c>
      <c r="H2266" s="9" t="s">
        <v>6195</v>
      </c>
      <c r="I2266" s="10">
        <v>45621</v>
      </c>
    </row>
    <row r="2267" spans="1:9" x14ac:dyDescent="0.15">
      <c r="A2267" s="9">
        <v>2266</v>
      </c>
      <c r="B2267" s="9" t="s">
        <v>9</v>
      </c>
      <c r="C2267" s="9">
        <v>1923</v>
      </c>
      <c r="D2267" s="10">
        <v>45701</v>
      </c>
      <c r="E2267" s="13" t="str">
        <f>+HYPERLINK("http://trademark.i-assist.jp/data/china/image_1923th/82158547.pdf","82158547")</f>
        <v>82158547</v>
      </c>
      <c r="F2267" s="11" t="s">
        <v>6196</v>
      </c>
      <c r="G2267" s="9" t="s">
        <v>6152</v>
      </c>
      <c r="H2267" s="11" t="s">
        <v>6197</v>
      </c>
      <c r="I2267" s="10">
        <v>45621</v>
      </c>
    </row>
    <row r="2268" spans="1:9" x14ac:dyDescent="0.15">
      <c r="A2268" s="9">
        <v>2267</v>
      </c>
      <c r="B2268" s="9" t="s">
        <v>9</v>
      </c>
      <c r="C2268" s="9">
        <v>1923</v>
      </c>
      <c r="D2268" s="10">
        <v>45701</v>
      </c>
      <c r="E2268" s="13" t="str">
        <f>+HYPERLINK("http://trademark.i-assist.jp/data/china/image_1923th/82159330.pdf","82159330")</f>
        <v>82159330</v>
      </c>
      <c r="F2268" s="11" t="s">
        <v>126</v>
      </c>
      <c r="G2268" s="9" t="s">
        <v>6198</v>
      </c>
      <c r="H2268" s="9" t="s">
        <v>6199</v>
      </c>
      <c r="I2268" s="10">
        <v>45621</v>
      </c>
    </row>
    <row r="2269" spans="1:9" x14ac:dyDescent="0.15">
      <c r="A2269" s="9">
        <v>2268</v>
      </c>
      <c r="B2269" s="9" t="s">
        <v>9</v>
      </c>
      <c r="C2269" s="9">
        <v>1923</v>
      </c>
      <c r="D2269" s="10">
        <v>45701</v>
      </c>
      <c r="E2269" s="13" t="str">
        <f>+HYPERLINK("http://trademark.i-assist.jp/data/china/image_1923th/82160728.pdf","82160728")</f>
        <v>82160728</v>
      </c>
      <c r="F2269" s="11" t="s">
        <v>6200</v>
      </c>
      <c r="G2269" s="9" t="s">
        <v>6201</v>
      </c>
      <c r="H2269" s="9" t="s">
        <v>6202</v>
      </c>
      <c r="I2269" s="10">
        <v>45621</v>
      </c>
    </row>
    <row r="2270" spans="1:9" x14ac:dyDescent="0.15">
      <c r="A2270" s="9">
        <v>2269</v>
      </c>
      <c r="B2270" s="9" t="s">
        <v>9</v>
      </c>
      <c r="C2270" s="9">
        <v>1923</v>
      </c>
      <c r="D2270" s="10">
        <v>45701</v>
      </c>
      <c r="E2270" s="13" t="str">
        <f>+HYPERLINK("http://trademark.i-assist.jp/data/china/image_1923th/82161461.pdf","82161461")</f>
        <v>82161461</v>
      </c>
      <c r="F2270" s="11" t="s">
        <v>6203</v>
      </c>
      <c r="G2270" s="9" t="s">
        <v>6152</v>
      </c>
      <c r="H2270" s="9" t="s">
        <v>6204</v>
      </c>
      <c r="I2270" s="10">
        <v>45621</v>
      </c>
    </row>
    <row r="2271" spans="1:9" x14ac:dyDescent="0.15">
      <c r="A2271" s="9">
        <v>2270</v>
      </c>
      <c r="B2271" s="9" t="s">
        <v>9</v>
      </c>
      <c r="C2271" s="9">
        <v>1923</v>
      </c>
      <c r="D2271" s="10">
        <v>45701</v>
      </c>
      <c r="E2271" s="13" t="str">
        <f>+HYPERLINK("http://trademark.i-assist.jp/data/china/image_1923th/82161757.pdf","82161757")</f>
        <v>82161757</v>
      </c>
      <c r="F2271" s="9" t="s">
        <v>6205</v>
      </c>
      <c r="G2271" s="9" t="s">
        <v>6206</v>
      </c>
      <c r="H2271" s="9" t="s">
        <v>6207</v>
      </c>
      <c r="I2271" s="10">
        <v>45621</v>
      </c>
    </row>
    <row r="2272" spans="1:9" x14ac:dyDescent="0.15">
      <c r="A2272" s="9">
        <v>2271</v>
      </c>
      <c r="B2272" s="9" t="s">
        <v>9</v>
      </c>
      <c r="C2272" s="9">
        <v>1923</v>
      </c>
      <c r="D2272" s="10">
        <v>45701</v>
      </c>
      <c r="E2272" s="13" t="str">
        <f>+HYPERLINK("http://trademark.i-assist.jp/data/china/image_1923th/82162523.pdf","82162523")</f>
        <v>82162523</v>
      </c>
      <c r="F2272" s="9" t="s">
        <v>6208</v>
      </c>
      <c r="G2272" s="9" t="s">
        <v>2061</v>
      </c>
      <c r="H2272" s="9" t="s">
        <v>6209</v>
      </c>
      <c r="I2272" s="10">
        <v>45621</v>
      </c>
    </row>
    <row r="2273" spans="1:9" x14ac:dyDescent="0.15">
      <c r="A2273" s="9">
        <v>2272</v>
      </c>
      <c r="B2273" s="9" t="s">
        <v>9</v>
      </c>
      <c r="C2273" s="9">
        <v>1923</v>
      </c>
      <c r="D2273" s="10">
        <v>45701</v>
      </c>
      <c r="E2273" s="13" t="str">
        <f>+HYPERLINK("http://trademark.i-assist.jp/data/china/image_1923th/82162864.pdf","82162864")</f>
        <v>82162864</v>
      </c>
      <c r="F2273" s="9" t="s">
        <v>6210</v>
      </c>
      <c r="G2273" s="9" t="s">
        <v>6131</v>
      </c>
      <c r="H2273" s="9" t="s">
        <v>6211</v>
      </c>
      <c r="I2273" s="10">
        <v>45621</v>
      </c>
    </row>
    <row r="2274" spans="1:9" x14ac:dyDescent="0.15">
      <c r="A2274" s="9">
        <v>2273</v>
      </c>
      <c r="B2274" s="9" t="s">
        <v>9</v>
      </c>
      <c r="C2274" s="9">
        <v>1923</v>
      </c>
      <c r="D2274" s="10">
        <v>45701</v>
      </c>
      <c r="E2274" s="13" t="str">
        <f>+HYPERLINK("http://trademark.i-assist.jp/data/china/image_1923th/82162897.pdf","82162897")</f>
        <v>82162897</v>
      </c>
      <c r="F2274" s="9" t="s">
        <v>6212</v>
      </c>
      <c r="G2274" s="9" t="s">
        <v>6131</v>
      </c>
      <c r="H2274" s="9" t="s">
        <v>6213</v>
      </c>
      <c r="I2274" s="10">
        <v>45621</v>
      </c>
    </row>
    <row r="2275" spans="1:9" x14ac:dyDescent="0.15">
      <c r="A2275" s="9">
        <v>2274</v>
      </c>
      <c r="B2275" s="9" t="s">
        <v>9</v>
      </c>
      <c r="C2275" s="9">
        <v>1923</v>
      </c>
      <c r="D2275" s="10">
        <v>45701</v>
      </c>
      <c r="E2275" s="13" t="str">
        <f>+HYPERLINK("http://trademark.i-assist.jp/data/china/image_1923th/82162962.pdf","82162962")</f>
        <v>82162962</v>
      </c>
      <c r="F2275" s="11" t="s">
        <v>6214</v>
      </c>
      <c r="G2275" s="9" t="s">
        <v>6152</v>
      </c>
      <c r="H2275" s="9" t="s">
        <v>6215</v>
      </c>
      <c r="I2275" s="10">
        <v>45621</v>
      </c>
    </row>
    <row r="2276" spans="1:9" x14ac:dyDescent="0.15">
      <c r="A2276" s="9">
        <v>2275</v>
      </c>
      <c r="B2276" s="9" t="s">
        <v>9</v>
      </c>
      <c r="C2276" s="9">
        <v>1923</v>
      </c>
      <c r="D2276" s="10">
        <v>45701</v>
      </c>
      <c r="E2276" s="13" t="str">
        <f>+HYPERLINK("http://trademark.i-assist.jp/data/china/image_1923th/82162971.pdf","82162971")</f>
        <v>82162971</v>
      </c>
      <c r="F2276" s="11" t="s">
        <v>6216</v>
      </c>
      <c r="G2276" s="9" t="s">
        <v>6152</v>
      </c>
      <c r="H2276" s="11" t="s">
        <v>6217</v>
      </c>
      <c r="I2276" s="10">
        <v>45621</v>
      </c>
    </row>
    <row r="2277" spans="1:9" x14ac:dyDescent="0.15">
      <c r="A2277" s="9">
        <v>2276</v>
      </c>
      <c r="B2277" s="9" t="s">
        <v>9</v>
      </c>
      <c r="C2277" s="9">
        <v>1923</v>
      </c>
      <c r="D2277" s="10">
        <v>45701</v>
      </c>
      <c r="E2277" s="13" t="str">
        <f>+HYPERLINK("http://trademark.i-assist.jp/data/china/image_1923th/82162974.pdf","82162974")</f>
        <v>82162974</v>
      </c>
      <c r="F2277" s="11" t="s">
        <v>6218</v>
      </c>
      <c r="G2277" s="9" t="s">
        <v>6152</v>
      </c>
      <c r="H2277" s="9" t="s">
        <v>6219</v>
      </c>
      <c r="I2277" s="10">
        <v>45621</v>
      </c>
    </row>
    <row r="2278" spans="1:9" x14ac:dyDescent="0.15">
      <c r="A2278" s="9">
        <v>2277</v>
      </c>
      <c r="B2278" s="9" t="s">
        <v>9</v>
      </c>
      <c r="C2278" s="9">
        <v>1923</v>
      </c>
      <c r="D2278" s="10">
        <v>45701</v>
      </c>
      <c r="E2278" s="13" t="str">
        <f>+HYPERLINK("http://trademark.i-assist.jp/data/china/image_1923th/82165103.pdf","82165103")</f>
        <v>82165103</v>
      </c>
      <c r="F2278" s="9" t="s">
        <v>6220</v>
      </c>
      <c r="G2278" s="9" t="s">
        <v>6221</v>
      </c>
      <c r="H2278" s="9" t="s">
        <v>6222</v>
      </c>
      <c r="I2278" s="10">
        <v>45621</v>
      </c>
    </row>
    <row r="2279" spans="1:9" x14ac:dyDescent="0.15">
      <c r="A2279" s="9">
        <v>2278</v>
      </c>
      <c r="B2279" s="9" t="s">
        <v>9</v>
      </c>
      <c r="C2279" s="9">
        <v>1923</v>
      </c>
      <c r="D2279" s="10">
        <v>45701</v>
      </c>
      <c r="E2279" s="13" t="str">
        <f>+HYPERLINK("http://trademark.i-assist.jp/data/china/image_1923th/82165280.pdf","82165280")</f>
        <v>82165280</v>
      </c>
      <c r="F2279" s="11" t="s">
        <v>6223</v>
      </c>
      <c r="G2279" s="9" t="s">
        <v>6224</v>
      </c>
      <c r="H2279" s="9" t="s">
        <v>6225</v>
      </c>
      <c r="I2279" s="10">
        <v>45621</v>
      </c>
    </row>
    <row r="2280" spans="1:9" x14ac:dyDescent="0.15">
      <c r="A2280" s="9">
        <v>2279</v>
      </c>
      <c r="B2280" s="9" t="s">
        <v>9</v>
      </c>
      <c r="C2280" s="9">
        <v>1923</v>
      </c>
      <c r="D2280" s="10">
        <v>45701</v>
      </c>
      <c r="E2280" s="13" t="str">
        <f>+HYPERLINK("http://trademark.i-assist.jp/data/china/image_1923th/82166006.pdf","82166006")</f>
        <v>82166006</v>
      </c>
      <c r="F2280" s="11" t="s">
        <v>6226</v>
      </c>
      <c r="G2280" s="9" t="s">
        <v>6227</v>
      </c>
      <c r="H2280" s="11" t="s">
        <v>6228</v>
      </c>
      <c r="I2280" s="10">
        <v>45621</v>
      </c>
    </row>
    <row r="2281" spans="1:9" x14ac:dyDescent="0.15">
      <c r="A2281" s="9">
        <v>2280</v>
      </c>
      <c r="B2281" s="9" t="s">
        <v>9</v>
      </c>
      <c r="C2281" s="9">
        <v>1923</v>
      </c>
      <c r="D2281" s="10">
        <v>45701</v>
      </c>
      <c r="E2281" s="13" t="str">
        <f>+HYPERLINK("http://trademark.i-assist.jp/data/china/image_1923th/82166011.pdf","82166011")</f>
        <v>82166011</v>
      </c>
      <c r="F2281" s="9" t="s">
        <v>6229</v>
      </c>
      <c r="G2281" s="11" t="s">
        <v>6230</v>
      </c>
      <c r="H2281" s="9" t="s">
        <v>6231</v>
      </c>
      <c r="I2281" s="10">
        <v>45621</v>
      </c>
    </row>
    <row r="2282" spans="1:9" x14ac:dyDescent="0.15">
      <c r="A2282" s="9">
        <v>2281</v>
      </c>
      <c r="B2282" s="9" t="s">
        <v>9</v>
      </c>
      <c r="C2282" s="9">
        <v>1923</v>
      </c>
      <c r="D2282" s="10">
        <v>45701</v>
      </c>
      <c r="E2282" s="13" t="str">
        <f>+HYPERLINK("http://trademark.i-assist.jp/data/china/image_1923th/82167053.pdf","82167053")</f>
        <v>82167053</v>
      </c>
      <c r="F2282" s="11" t="s">
        <v>6232</v>
      </c>
      <c r="G2282" s="9" t="s">
        <v>6152</v>
      </c>
      <c r="H2282" s="9" t="s">
        <v>6233</v>
      </c>
      <c r="I2282" s="10">
        <v>45621</v>
      </c>
    </row>
    <row r="2283" spans="1:9" x14ac:dyDescent="0.15">
      <c r="A2283" s="9">
        <v>2282</v>
      </c>
      <c r="B2283" s="9" t="s">
        <v>9</v>
      </c>
      <c r="C2283" s="9">
        <v>1923</v>
      </c>
      <c r="D2283" s="10">
        <v>45701</v>
      </c>
      <c r="E2283" s="13" t="str">
        <f>+HYPERLINK("http://trademark.i-assist.jp/data/china/image_1923th/82167079.pdf","82167079")</f>
        <v>82167079</v>
      </c>
      <c r="F2283" s="11" t="s">
        <v>6234</v>
      </c>
      <c r="G2283" s="9" t="s">
        <v>6152</v>
      </c>
      <c r="H2283" s="11" t="s">
        <v>6235</v>
      </c>
      <c r="I2283" s="10">
        <v>45621</v>
      </c>
    </row>
    <row r="2284" spans="1:9" x14ac:dyDescent="0.15">
      <c r="A2284" s="9">
        <v>2283</v>
      </c>
      <c r="B2284" s="9" t="s">
        <v>9</v>
      </c>
      <c r="C2284" s="9">
        <v>1923</v>
      </c>
      <c r="D2284" s="10">
        <v>45701</v>
      </c>
      <c r="E2284" s="13" t="str">
        <f>+HYPERLINK("http://trademark.i-assist.jp/data/china/image_1923th/82168287.pdf","82168287")</f>
        <v>82168287</v>
      </c>
      <c r="F2284" s="9" t="s">
        <v>6236</v>
      </c>
      <c r="G2284" s="9" t="s">
        <v>6237</v>
      </c>
      <c r="H2284" s="9" t="s">
        <v>6238</v>
      </c>
      <c r="I2284" s="10">
        <v>45621</v>
      </c>
    </row>
    <row r="2285" spans="1:9" x14ac:dyDescent="0.15">
      <c r="A2285" s="9">
        <v>2284</v>
      </c>
      <c r="B2285" s="9" t="s">
        <v>9</v>
      </c>
      <c r="C2285" s="9">
        <v>1923</v>
      </c>
      <c r="D2285" s="10">
        <v>45701</v>
      </c>
      <c r="E2285" s="13" t="str">
        <f>+HYPERLINK("http://trademark.i-assist.jp/data/china/image_1923th/82168407.pdf","82168407")</f>
        <v>82168407</v>
      </c>
      <c r="F2285" s="9" t="s">
        <v>6239</v>
      </c>
      <c r="G2285" s="9" t="s">
        <v>6131</v>
      </c>
      <c r="H2285" s="9" t="s">
        <v>6240</v>
      </c>
      <c r="I2285" s="10">
        <v>45621</v>
      </c>
    </row>
    <row r="2286" spans="1:9" x14ac:dyDescent="0.15">
      <c r="A2286" s="9">
        <v>2285</v>
      </c>
      <c r="B2286" s="9" t="s">
        <v>9</v>
      </c>
      <c r="C2286" s="9">
        <v>1923</v>
      </c>
      <c r="D2286" s="10">
        <v>45701</v>
      </c>
      <c r="E2286" s="13" t="str">
        <f>+HYPERLINK("http://trademark.i-assist.jp/data/china/image_1923th/82168554.pdf","82168554")</f>
        <v>82168554</v>
      </c>
      <c r="F2286" s="9" t="s">
        <v>6241</v>
      </c>
      <c r="G2286" s="9" t="s">
        <v>6242</v>
      </c>
      <c r="H2286" s="9" t="s">
        <v>6243</v>
      </c>
      <c r="I2286" s="10">
        <v>45621</v>
      </c>
    </row>
    <row r="2287" spans="1:9" x14ac:dyDescent="0.15">
      <c r="A2287" s="9">
        <v>2286</v>
      </c>
      <c r="B2287" s="9" t="s">
        <v>9</v>
      </c>
      <c r="C2287" s="9">
        <v>1923</v>
      </c>
      <c r="D2287" s="10">
        <v>45701</v>
      </c>
      <c r="E2287" s="13" t="str">
        <f>+HYPERLINK("http://trademark.i-assist.jp/data/china/image_1923th/82169196.pdf","82169196")</f>
        <v>82169196</v>
      </c>
      <c r="F2287" s="9" t="s">
        <v>6244</v>
      </c>
      <c r="G2287" s="9" t="s">
        <v>6178</v>
      </c>
      <c r="H2287" s="9" t="s">
        <v>6245</v>
      </c>
      <c r="I2287" s="10">
        <v>45621</v>
      </c>
    </row>
    <row r="2288" spans="1:9" x14ac:dyDescent="0.15">
      <c r="A2288" s="9">
        <v>2287</v>
      </c>
      <c r="B2288" s="9" t="s">
        <v>9</v>
      </c>
      <c r="C2288" s="9">
        <v>1923</v>
      </c>
      <c r="D2288" s="10">
        <v>45701</v>
      </c>
      <c r="E2288" s="13" t="str">
        <f>+HYPERLINK("http://trademark.i-assist.jp/data/china/image_1923th/82169739.pdf","82169739")</f>
        <v>82169739</v>
      </c>
      <c r="F2288" s="9" t="s">
        <v>6246</v>
      </c>
      <c r="G2288" s="9" t="s">
        <v>6247</v>
      </c>
      <c r="H2288" s="9" t="s">
        <v>6248</v>
      </c>
      <c r="I2288" s="10">
        <v>45621</v>
      </c>
    </row>
    <row r="2289" spans="1:9" x14ac:dyDescent="0.15">
      <c r="A2289" s="9">
        <v>2288</v>
      </c>
      <c r="B2289" s="9" t="s">
        <v>9</v>
      </c>
      <c r="C2289" s="9">
        <v>1923</v>
      </c>
      <c r="D2289" s="10">
        <v>45701</v>
      </c>
      <c r="E2289" s="13" t="str">
        <f>+HYPERLINK("http://trademark.i-assist.jp/data/china/image_1923th/82172740.pdf","82172740")</f>
        <v>82172740</v>
      </c>
      <c r="F2289" s="9" t="s">
        <v>6249</v>
      </c>
      <c r="G2289" s="9" t="s">
        <v>6250</v>
      </c>
      <c r="H2289" s="9" t="s">
        <v>6251</v>
      </c>
      <c r="I2289" s="10">
        <v>45621</v>
      </c>
    </row>
    <row r="2290" spans="1:9" x14ac:dyDescent="0.15">
      <c r="A2290" s="9">
        <v>2289</v>
      </c>
      <c r="B2290" s="9" t="s">
        <v>9</v>
      </c>
      <c r="C2290" s="9">
        <v>1923</v>
      </c>
      <c r="D2290" s="10">
        <v>45701</v>
      </c>
      <c r="E2290" s="13" t="str">
        <f>+HYPERLINK("http://trademark.i-assist.jp/data/china/image_1923th/82172784.pdf","82172784")</f>
        <v>82172784</v>
      </c>
      <c r="F2290" s="11" t="s">
        <v>6252</v>
      </c>
      <c r="G2290" s="9" t="s">
        <v>6152</v>
      </c>
      <c r="H2290" s="9" t="s">
        <v>6253</v>
      </c>
      <c r="I2290" s="10">
        <v>45621</v>
      </c>
    </row>
    <row r="2291" spans="1:9" x14ac:dyDescent="0.15">
      <c r="A2291" s="9">
        <v>2290</v>
      </c>
      <c r="B2291" s="9" t="s">
        <v>9</v>
      </c>
      <c r="C2291" s="9">
        <v>1923</v>
      </c>
      <c r="D2291" s="10">
        <v>45701</v>
      </c>
      <c r="E2291" s="13" t="str">
        <f>+HYPERLINK("http://trademark.i-assist.jp/data/china/image_1923th/82172808.pdf","82172808")</f>
        <v>82172808</v>
      </c>
      <c r="F2291" s="11" t="s">
        <v>6254</v>
      </c>
      <c r="G2291" s="9" t="s">
        <v>6152</v>
      </c>
      <c r="H2291" s="9" t="s">
        <v>6255</v>
      </c>
      <c r="I2291" s="10">
        <v>45621</v>
      </c>
    </row>
    <row r="2292" spans="1:9" x14ac:dyDescent="0.15">
      <c r="A2292" s="9">
        <v>2291</v>
      </c>
      <c r="B2292" s="9" t="s">
        <v>9</v>
      </c>
      <c r="C2292" s="9">
        <v>1923</v>
      </c>
      <c r="D2292" s="10">
        <v>45701</v>
      </c>
      <c r="E2292" s="13" t="str">
        <f>+HYPERLINK("http://trademark.i-assist.jp/data/china/image_1923th/82173907.pdf","82173907")</f>
        <v>82173907</v>
      </c>
      <c r="F2292" s="11" t="s">
        <v>6256</v>
      </c>
      <c r="G2292" s="9" t="s">
        <v>6257</v>
      </c>
      <c r="H2292" s="9" t="s">
        <v>6258</v>
      </c>
      <c r="I2292" s="10">
        <v>45621</v>
      </c>
    </row>
    <row r="2293" spans="1:9" x14ac:dyDescent="0.15">
      <c r="A2293" s="9">
        <v>2292</v>
      </c>
      <c r="B2293" s="9" t="s">
        <v>9</v>
      </c>
      <c r="C2293" s="9">
        <v>1923</v>
      </c>
      <c r="D2293" s="10">
        <v>45701</v>
      </c>
      <c r="E2293" s="13" t="str">
        <f>+HYPERLINK("http://trademark.i-assist.jp/data/china/image_1923th/82174613.pdf","82174613")</f>
        <v>82174613</v>
      </c>
      <c r="F2293" s="9" t="s">
        <v>6259</v>
      </c>
      <c r="G2293" s="9" t="s">
        <v>6260</v>
      </c>
      <c r="H2293" s="9" t="s">
        <v>6261</v>
      </c>
      <c r="I2293" s="10">
        <v>45621</v>
      </c>
    </row>
    <row r="2294" spans="1:9" x14ac:dyDescent="0.15">
      <c r="A2294" s="9">
        <v>2293</v>
      </c>
      <c r="B2294" s="9" t="s">
        <v>9</v>
      </c>
      <c r="C2294" s="9">
        <v>1923</v>
      </c>
      <c r="D2294" s="10">
        <v>45701</v>
      </c>
      <c r="E2294" s="13" t="str">
        <f>+HYPERLINK("http://trademark.i-assist.jp/data/china/image_1923th/82176059.pdf","82176059")</f>
        <v>82176059</v>
      </c>
      <c r="F2294" s="9" t="s">
        <v>6262</v>
      </c>
      <c r="G2294" s="9" t="s">
        <v>6263</v>
      </c>
      <c r="H2294" s="11" t="s">
        <v>6264</v>
      </c>
      <c r="I2294" s="10">
        <v>45622</v>
      </c>
    </row>
    <row r="2295" spans="1:9" x14ac:dyDescent="0.15">
      <c r="A2295" s="9">
        <v>2294</v>
      </c>
      <c r="B2295" s="9" t="s">
        <v>9</v>
      </c>
      <c r="C2295" s="9">
        <v>1923</v>
      </c>
      <c r="D2295" s="10">
        <v>45701</v>
      </c>
      <c r="E2295" s="13" t="str">
        <f>+HYPERLINK("http://trademark.i-assist.jp/data/china/image_1923th/82176947.pdf","82176947")</f>
        <v>82176947</v>
      </c>
      <c r="F2295" s="9" t="s">
        <v>6265</v>
      </c>
      <c r="G2295" s="9" t="s">
        <v>6266</v>
      </c>
      <c r="H2295" s="9" t="s">
        <v>6267</v>
      </c>
      <c r="I2295" s="10">
        <v>45622</v>
      </c>
    </row>
    <row r="2296" spans="1:9" x14ac:dyDescent="0.15">
      <c r="A2296" s="9">
        <v>2295</v>
      </c>
      <c r="B2296" s="9" t="s">
        <v>9</v>
      </c>
      <c r="C2296" s="9">
        <v>1923</v>
      </c>
      <c r="D2296" s="10">
        <v>45701</v>
      </c>
      <c r="E2296" s="13" t="str">
        <f>+HYPERLINK("http://trademark.i-assist.jp/data/china/image_1923th/82177276.pdf","82177276")</f>
        <v>82177276</v>
      </c>
      <c r="F2296" s="11" t="s">
        <v>6268</v>
      </c>
      <c r="G2296" s="9" t="s">
        <v>6269</v>
      </c>
      <c r="H2296" s="9" t="s">
        <v>6270</v>
      </c>
      <c r="I2296" s="10">
        <v>45622</v>
      </c>
    </row>
    <row r="2297" spans="1:9" x14ac:dyDescent="0.15">
      <c r="A2297" s="9">
        <v>2296</v>
      </c>
      <c r="B2297" s="9" t="s">
        <v>9</v>
      </c>
      <c r="C2297" s="9">
        <v>1923</v>
      </c>
      <c r="D2297" s="10">
        <v>45701</v>
      </c>
      <c r="E2297" s="13" t="str">
        <f>+HYPERLINK("http://trademark.i-assist.jp/data/china/image_1923th/82177522.pdf","82177522")</f>
        <v>82177522</v>
      </c>
      <c r="F2297" s="9" t="s">
        <v>6271</v>
      </c>
      <c r="G2297" s="11" t="s">
        <v>6272</v>
      </c>
      <c r="H2297" s="9" t="s">
        <v>6273</v>
      </c>
      <c r="I2297" s="10">
        <v>45622</v>
      </c>
    </row>
    <row r="2298" spans="1:9" x14ac:dyDescent="0.15">
      <c r="A2298" s="9">
        <v>2297</v>
      </c>
      <c r="B2298" s="9" t="s">
        <v>9</v>
      </c>
      <c r="C2298" s="9">
        <v>1923</v>
      </c>
      <c r="D2298" s="10">
        <v>45701</v>
      </c>
      <c r="E2298" s="13" t="str">
        <f>+HYPERLINK("http://trademark.i-assist.jp/data/china/image_1923th/82177564.pdf","82177564")</f>
        <v>82177564</v>
      </c>
      <c r="F2298" s="11" t="s">
        <v>126</v>
      </c>
      <c r="G2298" s="9" t="s">
        <v>6274</v>
      </c>
      <c r="H2298" s="9" t="s">
        <v>6275</v>
      </c>
      <c r="I2298" s="10">
        <v>45622</v>
      </c>
    </row>
    <row r="2299" spans="1:9" x14ac:dyDescent="0.15">
      <c r="A2299" s="9">
        <v>2298</v>
      </c>
      <c r="B2299" s="9" t="s">
        <v>9</v>
      </c>
      <c r="C2299" s="9">
        <v>1923</v>
      </c>
      <c r="D2299" s="10">
        <v>45701</v>
      </c>
      <c r="E2299" s="13" t="str">
        <f>+HYPERLINK("http://trademark.i-assist.jp/data/china/image_1923th/82177657.pdf","82177657")</f>
        <v>82177657</v>
      </c>
      <c r="F2299" s="9" t="s">
        <v>6276</v>
      </c>
      <c r="G2299" s="9" t="s">
        <v>6277</v>
      </c>
      <c r="H2299" s="9" t="s">
        <v>6278</v>
      </c>
      <c r="I2299" s="10">
        <v>45622</v>
      </c>
    </row>
    <row r="2300" spans="1:9" x14ac:dyDescent="0.15">
      <c r="A2300" s="9">
        <v>2299</v>
      </c>
      <c r="B2300" s="9" t="s">
        <v>9</v>
      </c>
      <c r="C2300" s="9">
        <v>1923</v>
      </c>
      <c r="D2300" s="10">
        <v>45701</v>
      </c>
      <c r="E2300" s="13" t="str">
        <f>+HYPERLINK("http://trademark.i-assist.jp/data/china/image_1923th/82177895.pdf","82177895")</f>
        <v>82177895</v>
      </c>
      <c r="F2300" s="9" t="s">
        <v>6279</v>
      </c>
      <c r="G2300" s="9" t="s">
        <v>6280</v>
      </c>
      <c r="H2300" s="9" t="s">
        <v>6281</v>
      </c>
      <c r="I2300" s="10">
        <v>45622</v>
      </c>
    </row>
    <row r="2301" spans="1:9" x14ac:dyDescent="0.15">
      <c r="A2301" s="9">
        <v>2300</v>
      </c>
      <c r="B2301" s="9" t="s">
        <v>9</v>
      </c>
      <c r="C2301" s="9">
        <v>1923</v>
      </c>
      <c r="D2301" s="10">
        <v>45701</v>
      </c>
      <c r="E2301" s="13" t="str">
        <f>+HYPERLINK("http://trademark.i-assist.jp/data/china/image_1923th/82178684.pdf","82178684")</f>
        <v>82178684</v>
      </c>
      <c r="F2301" s="9" t="s">
        <v>6282</v>
      </c>
      <c r="G2301" s="9" t="s">
        <v>6283</v>
      </c>
      <c r="H2301" s="9" t="s">
        <v>6284</v>
      </c>
      <c r="I2301" s="10">
        <v>45622</v>
      </c>
    </row>
    <row r="2302" spans="1:9" x14ac:dyDescent="0.15">
      <c r="A2302" s="9">
        <v>2301</v>
      </c>
      <c r="B2302" s="9" t="s">
        <v>9</v>
      </c>
      <c r="C2302" s="9">
        <v>1923</v>
      </c>
      <c r="D2302" s="10">
        <v>45701</v>
      </c>
      <c r="E2302" s="13" t="str">
        <f>+HYPERLINK("http://trademark.i-assist.jp/data/china/image_1923th/82178788.pdf","82178788")</f>
        <v>82178788</v>
      </c>
      <c r="F2302" s="9" t="s">
        <v>6285</v>
      </c>
      <c r="G2302" s="9" t="s">
        <v>6286</v>
      </c>
      <c r="H2302" s="9" t="s">
        <v>6287</v>
      </c>
      <c r="I2302" s="10">
        <v>45622</v>
      </c>
    </row>
    <row r="2303" spans="1:9" x14ac:dyDescent="0.15">
      <c r="A2303" s="9">
        <v>2302</v>
      </c>
      <c r="B2303" s="9" t="s">
        <v>9</v>
      </c>
      <c r="C2303" s="9">
        <v>1923</v>
      </c>
      <c r="D2303" s="10">
        <v>45701</v>
      </c>
      <c r="E2303" s="13" t="str">
        <f>+HYPERLINK("http://trademark.i-assist.jp/data/china/image_1923th/82180255.pdf","82180255")</f>
        <v>82180255</v>
      </c>
      <c r="F2303" s="9" t="s">
        <v>6288</v>
      </c>
      <c r="G2303" s="9" t="s">
        <v>6289</v>
      </c>
      <c r="H2303" s="9" t="s">
        <v>6290</v>
      </c>
      <c r="I2303" s="10">
        <v>45622</v>
      </c>
    </row>
    <row r="2304" spans="1:9" x14ac:dyDescent="0.15">
      <c r="A2304" s="9">
        <v>2303</v>
      </c>
      <c r="B2304" s="9" t="s">
        <v>9</v>
      </c>
      <c r="C2304" s="9">
        <v>1923</v>
      </c>
      <c r="D2304" s="10">
        <v>45701</v>
      </c>
      <c r="E2304" s="13" t="str">
        <f>+HYPERLINK("http://trademark.i-assist.jp/data/china/image_1923th/82183103.pdf","82183103")</f>
        <v>82183103</v>
      </c>
      <c r="F2304" s="9" t="s">
        <v>6291</v>
      </c>
      <c r="G2304" s="9" t="s">
        <v>6280</v>
      </c>
      <c r="H2304" s="9" t="s">
        <v>6292</v>
      </c>
      <c r="I2304" s="10">
        <v>45622</v>
      </c>
    </row>
    <row r="2305" spans="1:9" x14ac:dyDescent="0.15">
      <c r="A2305" s="9">
        <v>2304</v>
      </c>
      <c r="B2305" s="9" t="s">
        <v>9</v>
      </c>
      <c r="C2305" s="9">
        <v>1923</v>
      </c>
      <c r="D2305" s="10">
        <v>45701</v>
      </c>
      <c r="E2305" s="13" t="str">
        <f>+HYPERLINK("http://trademark.i-assist.jp/data/china/image_1923th/82183706.pdf","82183706")</f>
        <v>82183706</v>
      </c>
      <c r="F2305" s="9" t="s">
        <v>6293</v>
      </c>
      <c r="G2305" s="9" t="s">
        <v>6294</v>
      </c>
      <c r="H2305" s="9" t="s">
        <v>6295</v>
      </c>
      <c r="I2305" s="10">
        <v>45622</v>
      </c>
    </row>
    <row r="2306" spans="1:9" x14ac:dyDescent="0.15">
      <c r="A2306" s="9">
        <v>2305</v>
      </c>
      <c r="B2306" s="9" t="s">
        <v>9</v>
      </c>
      <c r="C2306" s="9">
        <v>1923</v>
      </c>
      <c r="D2306" s="10">
        <v>45701</v>
      </c>
      <c r="E2306" s="13" t="str">
        <f>+HYPERLINK("http://trademark.i-assist.jp/data/china/image_1923th/82183878.pdf","82183878")</f>
        <v>82183878</v>
      </c>
      <c r="F2306" s="11" t="s">
        <v>126</v>
      </c>
      <c r="G2306" s="9" t="s">
        <v>6296</v>
      </c>
      <c r="H2306" s="9" t="s">
        <v>6297</v>
      </c>
      <c r="I2306" s="10">
        <v>45622</v>
      </c>
    </row>
    <row r="2307" spans="1:9" x14ac:dyDescent="0.15">
      <c r="A2307" s="9">
        <v>2306</v>
      </c>
      <c r="B2307" s="9" t="s">
        <v>9</v>
      </c>
      <c r="C2307" s="9">
        <v>1923</v>
      </c>
      <c r="D2307" s="10">
        <v>45701</v>
      </c>
      <c r="E2307" s="13" t="str">
        <f>+HYPERLINK("http://trademark.i-assist.jp/data/china/image_1923th/82184698.pdf","82184698")</f>
        <v>82184698</v>
      </c>
      <c r="F2307" s="9" t="s">
        <v>6298</v>
      </c>
      <c r="G2307" s="11" t="s">
        <v>6299</v>
      </c>
      <c r="H2307" s="9" t="s">
        <v>6300</v>
      </c>
      <c r="I2307" s="10">
        <v>45622</v>
      </c>
    </row>
    <row r="2308" spans="1:9" x14ac:dyDescent="0.15">
      <c r="A2308" s="9">
        <v>2307</v>
      </c>
      <c r="B2308" s="9" t="s">
        <v>9</v>
      </c>
      <c r="C2308" s="9">
        <v>1923</v>
      </c>
      <c r="D2308" s="10">
        <v>45701</v>
      </c>
      <c r="E2308" s="13" t="str">
        <f>+HYPERLINK("http://trademark.i-assist.jp/data/china/image_1923th/82185307.pdf","82185307")</f>
        <v>82185307</v>
      </c>
      <c r="F2308" s="9" t="s">
        <v>6301</v>
      </c>
      <c r="G2308" s="9" t="s">
        <v>6302</v>
      </c>
      <c r="H2308" s="9" t="s">
        <v>6303</v>
      </c>
      <c r="I2308" s="10">
        <v>45622</v>
      </c>
    </row>
    <row r="2309" spans="1:9" x14ac:dyDescent="0.15">
      <c r="A2309" s="9">
        <v>2308</v>
      </c>
      <c r="B2309" s="9" t="s">
        <v>9</v>
      </c>
      <c r="C2309" s="9">
        <v>1923</v>
      </c>
      <c r="D2309" s="10">
        <v>45701</v>
      </c>
      <c r="E2309" s="13" t="str">
        <f>+HYPERLINK("http://trademark.i-assist.jp/data/china/image_1923th/82185916.pdf","82185916")</f>
        <v>82185916</v>
      </c>
      <c r="F2309" s="11" t="s">
        <v>6304</v>
      </c>
      <c r="G2309" s="9" t="s">
        <v>6305</v>
      </c>
      <c r="H2309" s="9" t="s">
        <v>6306</v>
      </c>
      <c r="I2309" s="10">
        <v>45622</v>
      </c>
    </row>
    <row r="2310" spans="1:9" x14ac:dyDescent="0.15">
      <c r="A2310" s="9">
        <v>2309</v>
      </c>
      <c r="B2310" s="9" t="s">
        <v>9</v>
      </c>
      <c r="C2310" s="9">
        <v>1923</v>
      </c>
      <c r="D2310" s="10">
        <v>45701</v>
      </c>
      <c r="E2310" s="13" t="str">
        <f>+HYPERLINK("http://trademark.i-assist.jp/data/china/image_1923th/82186226.pdf","82186226")</f>
        <v>82186226</v>
      </c>
      <c r="F2310" s="9" t="s">
        <v>6307</v>
      </c>
      <c r="G2310" s="9" t="s">
        <v>6280</v>
      </c>
      <c r="H2310" s="9" t="s">
        <v>6308</v>
      </c>
      <c r="I2310" s="10">
        <v>45622</v>
      </c>
    </row>
    <row r="2311" spans="1:9" x14ac:dyDescent="0.15">
      <c r="A2311" s="9">
        <v>2310</v>
      </c>
      <c r="B2311" s="9" t="s">
        <v>9</v>
      </c>
      <c r="C2311" s="9">
        <v>1923</v>
      </c>
      <c r="D2311" s="10">
        <v>45701</v>
      </c>
      <c r="E2311" s="13" t="str">
        <f>+HYPERLINK("http://trademark.i-assist.jp/data/china/image_1923th/82189490.pdf","82189490")</f>
        <v>82189490</v>
      </c>
      <c r="F2311" s="9" t="s">
        <v>6309</v>
      </c>
      <c r="G2311" s="9" t="s">
        <v>6310</v>
      </c>
      <c r="H2311" s="9" t="s">
        <v>6311</v>
      </c>
      <c r="I2311" s="10">
        <v>45622</v>
      </c>
    </row>
    <row r="2312" spans="1:9" x14ac:dyDescent="0.15">
      <c r="A2312" s="9">
        <v>2311</v>
      </c>
      <c r="B2312" s="9" t="s">
        <v>9</v>
      </c>
      <c r="C2312" s="9">
        <v>1923</v>
      </c>
      <c r="D2312" s="10">
        <v>45701</v>
      </c>
      <c r="E2312" s="13" t="str">
        <f>+HYPERLINK("http://trademark.i-assist.jp/data/china/image_1923th/82189491.pdf","82189491")</f>
        <v>82189491</v>
      </c>
      <c r="F2312" s="9" t="s">
        <v>6312</v>
      </c>
      <c r="G2312" s="9" t="s">
        <v>6313</v>
      </c>
      <c r="H2312" s="9" t="s">
        <v>6314</v>
      </c>
      <c r="I2312" s="10">
        <v>45622</v>
      </c>
    </row>
    <row r="2313" spans="1:9" x14ac:dyDescent="0.15">
      <c r="A2313" s="9">
        <v>2312</v>
      </c>
      <c r="B2313" s="9" t="s">
        <v>9</v>
      </c>
      <c r="C2313" s="9">
        <v>1923</v>
      </c>
      <c r="D2313" s="10">
        <v>45701</v>
      </c>
      <c r="E2313" s="13" t="str">
        <f>+HYPERLINK("http://trademark.i-assist.jp/data/china/image_1923th/82191118.pdf","82191118")</f>
        <v>82191118</v>
      </c>
      <c r="F2313" s="11" t="s">
        <v>6315</v>
      </c>
      <c r="G2313" s="9" t="s">
        <v>6316</v>
      </c>
      <c r="H2313" s="9" t="s">
        <v>6317</v>
      </c>
      <c r="I2313" s="10">
        <v>45622</v>
      </c>
    </row>
    <row r="2314" spans="1:9" x14ac:dyDescent="0.15">
      <c r="A2314" s="9">
        <v>2313</v>
      </c>
      <c r="B2314" s="9" t="s">
        <v>9</v>
      </c>
      <c r="C2314" s="9">
        <v>1923</v>
      </c>
      <c r="D2314" s="10">
        <v>45701</v>
      </c>
      <c r="E2314" s="13" t="str">
        <f>+HYPERLINK("http://trademark.i-assist.jp/data/china/image_1923th/82191438.pdf","82191438")</f>
        <v>82191438</v>
      </c>
      <c r="F2314" s="9" t="s">
        <v>6318</v>
      </c>
      <c r="G2314" s="11" t="s">
        <v>3279</v>
      </c>
      <c r="H2314" s="9" t="s">
        <v>6319</v>
      </c>
      <c r="I2314" s="10">
        <v>45622</v>
      </c>
    </row>
    <row r="2315" spans="1:9" x14ac:dyDescent="0.15">
      <c r="A2315" s="9">
        <v>2314</v>
      </c>
      <c r="B2315" s="9" t="s">
        <v>9</v>
      </c>
      <c r="C2315" s="9">
        <v>1923</v>
      </c>
      <c r="D2315" s="10">
        <v>45701</v>
      </c>
      <c r="E2315" s="13" t="str">
        <f>+HYPERLINK("http://trademark.i-assist.jp/data/china/image_1923th/82192471.pdf","82192471")</f>
        <v>82192471</v>
      </c>
      <c r="F2315" s="11" t="s">
        <v>126</v>
      </c>
      <c r="G2315" s="9" t="s">
        <v>6320</v>
      </c>
      <c r="H2315" s="9" t="s">
        <v>6321</v>
      </c>
      <c r="I2315" s="10">
        <v>45622</v>
      </c>
    </row>
    <row r="2316" spans="1:9" x14ac:dyDescent="0.15">
      <c r="A2316" s="9">
        <v>2315</v>
      </c>
      <c r="B2316" s="9" t="s">
        <v>9</v>
      </c>
      <c r="C2316" s="9">
        <v>1923</v>
      </c>
      <c r="D2316" s="10">
        <v>45701</v>
      </c>
      <c r="E2316" s="13" t="str">
        <f>+HYPERLINK("http://trademark.i-assist.jp/data/china/image_1923th/82194357.pdf","82194357")</f>
        <v>82194357</v>
      </c>
      <c r="F2316" s="9" t="s">
        <v>6322</v>
      </c>
      <c r="G2316" s="11" t="s">
        <v>6299</v>
      </c>
      <c r="H2316" s="9" t="s">
        <v>6323</v>
      </c>
      <c r="I2316" s="10">
        <v>45622</v>
      </c>
    </row>
    <row r="2317" spans="1:9" x14ac:dyDescent="0.15">
      <c r="A2317" s="9">
        <v>2316</v>
      </c>
      <c r="B2317" s="9" t="s">
        <v>9</v>
      </c>
      <c r="C2317" s="9">
        <v>1923</v>
      </c>
      <c r="D2317" s="10">
        <v>45701</v>
      </c>
      <c r="E2317" s="13" t="str">
        <f>+HYPERLINK("http://trademark.i-assist.jp/data/china/image_1923th/82194812.pdf","82194812")</f>
        <v>82194812</v>
      </c>
      <c r="F2317" s="9" t="s">
        <v>6324</v>
      </c>
      <c r="G2317" s="9" t="s">
        <v>6325</v>
      </c>
      <c r="H2317" s="9" t="s">
        <v>6326</v>
      </c>
      <c r="I2317" s="10">
        <v>45622</v>
      </c>
    </row>
    <row r="2318" spans="1:9" x14ac:dyDescent="0.15">
      <c r="A2318" s="9">
        <v>2317</v>
      </c>
      <c r="B2318" s="9" t="s">
        <v>9</v>
      </c>
      <c r="C2318" s="9">
        <v>1923</v>
      </c>
      <c r="D2318" s="10">
        <v>45701</v>
      </c>
      <c r="E2318" s="13" t="str">
        <f>+HYPERLINK("http://trademark.i-assist.jp/data/china/image_1923th/82197333.pdf","82197333")</f>
        <v>82197333</v>
      </c>
      <c r="F2318" s="11" t="s">
        <v>6327</v>
      </c>
      <c r="G2318" s="9" t="s">
        <v>6305</v>
      </c>
      <c r="H2318" s="9" t="s">
        <v>6328</v>
      </c>
      <c r="I2318" s="10">
        <v>45622</v>
      </c>
    </row>
    <row r="2319" spans="1:9" x14ac:dyDescent="0.15">
      <c r="A2319" s="9">
        <v>2318</v>
      </c>
      <c r="B2319" s="9" t="s">
        <v>9</v>
      </c>
      <c r="C2319" s="9">
        <v>1923</v>
      </c>
      <c r="D2319" s="10">
        <v>45701</v>
      </c>
      <c r="E2319" s="13" t="str">
        <f>+HYPERLINK("http://trademark.i-assist.jp/data/china/image_1923th/82200115.pdf","82200115")</f>
        <v>82200115</v>
      </c>
      <c r="F2319" s="9" t="s">
        <v>6329</v>
      </c>
      <c r="G2319" s="9" t="s">
        <v>42</v>
      </c>
      <c r="H2319" s="9" t="s">
        <v>6330</v>
      </c>
      <c r="I2319" s="10">
        <v>45622</v>
      </c>
    </row>
    <row r="2320" spans="1:9" x14ac:dyDescent="0.15">
      <c r="A2320" s="9">
        <v>2319</v>
      </c>
      <c r="B2320" s="9" t="s">
        <v>9</v>
      </c>
      <c r="C2320" s="9">
        <v>1923</v>
      </c>
      <c r="D2320" s="10">
        <v>45701</v>
      </c>
      <c r="E2320" s="13" t="str">
        <f>+HYPERLINK("http://trademark.i-assist.jp/data/china/image_1923th/82200121.pdf","82200121")</f>
        <v>82200121</v>
      </c>
      <c r="F2320" s="9" t="s">
        <v>6331</v>
      </c>
      <c r="G2320" s="9" t="s">
        <v>6332</v>
      </c>
      <c r="H2320" s="9" t="s">
        <v>6333</v>
      </c>
      <c r="I2320" s="10">
        <v>45622</v>
      </c>
    </row>
    <row r="2321" spans="1:9" x14ac:dyDescent="0.15">
      <c r="A2321" s="9">
        <v>2320</v>
      </c>
      <c r="B2321" s="9" t="s">
        <v>9</v>
      </c>
      <c r="C2321" s="9">
        <v>1923</v>
      </c>
      <c r="D2321" s="10">
        <v>45701</v>
      </c>
      <c r="E2321" s="13" t="str">
        <f>+HYPERLINK("http://trademark.i-assist.jp/data/china/image_1923th/82200551.pdf","82200551")</f>
        <v>82200551</v>
      </c>
      <c r="F2321" s="11" t="s">
        <v>126</v>
      </c>
      <c r="G2321" s="9" t="s">
        <v>6334</v>
      </c>
      <c r="H2321" s="9" t="s">
        <v>6335</v>
      </c>
      <c r="I2321" s="10">
        <v>45622</v>
      </c>
    </row>
    <row r="2322" spans="1:9" x14ac:dyDescent="0.15">
      <c r="A2322" s="9">
        <v>2321</v>
      </c>
      <c r="B2322" s="9" t="s">
        <v>9</v>
      </c>
      <c r="C2322" s="9">
        <v>1923</v>
      </c>
      <c r="D2322" s="10">
        <v>45701</v>
      </c>
      <c r="E2322" s="13" t="str">
        <f>+HYPERLINK("http://trademark.i-assist.jp/data/china/image_1923th/82203483.pdf","82203483")</f>
        <v>82203483</v>
      </c>
      <c r="F2322" s="11" t="s">
        <v>126</v>
      </c>
      <c r="G2322" s="9" t="s">
        <v>6336</v>
      </c>
      <c r="H2322" s="9" t="s">
        <v>6337</v>
      </c>
      <c r="I2322" s="10">
        <v>45623</v>
      </c>
    </row>
    <row r="2323" spans="1:9" x14ac:dyDescent="0.15">
      <c r="A2323" s="9">
        <v>2322</v>
      </c>
      <c r="B2323" s="9" t="s">
        <v>9</v>
      </c>
      <c r="C2323" s="9">
        <v>1923</v>
      </c>
      <c r="D2323" s="10">
        <v>45701</v>
      </c>
      <c r="E2323" s="13" t="str">
        <f>+HYPERLINK("http://trademark.i-assist.jp/data/china/image_1923th/82204713.pdf","82204713")</f>
        <v>82204713</v>
      </c>
      <c r="F2323" s="9" t="s">
        <v>6338</v>
      </c>
      <c r="G2323" s="9" t="s">
        <v>6339</v>
      </c>
      <c r="H2323" s="9" t="s">
        <v>6340</v>
      </c>
      <c r="I2323" s="10">
        <v>45623</v>
      </c>
    </row>
    <row r="2324" spans="1:9" x14ac:dyDescent="0.15">
      <c r="A2324" s="9">
        <v>2323</v>
      </c>
      <c r="B2324" s="9" t="s">
        <v>9</v>
      </c>
      <c r="C2324" s="9">
        <v>1923</v>
      </c>
      <c r="D2324" s="10">
        <v>45701</v>
      </c>
      <c r="E2324" s="13" t="str">
        <f>+HYPERLINK("http://trademark.i-assist.jp/data/china/image_1923th/82206807.pdf","82206807")</f>
        <v>82206807</v>
      </c>
      <c r="F2324" s="9" t="s">
        <v>6341</v>
      </c>
      <c r="G2324" s="9" t="s">
        <v>6342</v>
      </c>
      <c r="H2324" s="9" t="s">
        <v>6343</v>
      </c>
      <c r="I2324" s="10">
        <v>45623</v>
      </c>
    </row>
    <row r="2325" spans="1:9" x14ac:dyDescent="0.15">
      <c r="A2325" s="9">
        <v>2324</v>
      </c>
      <c r="B2325" s="9" t="s">
        <v>9</v>
      </c>
      <c r="C2325" s="9">
        <v>1923</v>
      </c>
      <c r="D2325" s="10">
        <v>45701</v>
      </c>
      <c r="E2325" s="13" t="str">
        <f>+HYPERLINK("http://trademark.i-assist.jp/data/china/image_1923th/82206981.pdf","82206981")</f>
        <v>82206981</v>
      </c>
      <c r="F2325" s="9" t="s">
        <v>6344</v>
      </c>
      <c r="G2325" s="9" t="s">
        <v>6345</v>
      </c>
      <c r="H2325" s="9" t="s">
        <v>6346</v>
      </c>
      <c r="I2325" s="10">
        <v>45623</v>
      </c>
    </row>
    <row r="2326" spans="1:9" x14ac:dyDescent="0.15">
      <c r="A2326" s="9">
        <v>2325</v>
      </c>
      <c r="B2326" s="9" t="s">
        <v>9</v>
      </c>
      <c r="C2326" s="9">
        <v>1923</v>
      </c>
      <c r="D2326" s="10">
        <v>45701</v>
      </c>
      <c r="E2326" s="13" t="str">
        <f>+HYPERLINK("http://trademark.i-assist.jp/data/china/image_1923th/82208264.pdf","82208264")</f>
        <v>82208264</v>
      </c>
      <c r="F2326" s="11" t="s">
        <v>6347</v>
      </c>
      <c r="G2326" s="11" t="s">
        <v>6348</v>
      </c>
      <c r="H2326" s="9" t="s">
        <v>6349</v>
      </c>
      <c r="I2326" s="10">
        <v>45623</v>
      </c>
    </row>
    <row r="2327" spans="1:9" x14ac:dyDescent="0.15">
      <c r="A2327" s="9">
        <v>2326</v>
      </c>
      <c r="B2327" s="9" t="s">
        <v>9</v>
      </c>
      <c r="C2327" s="9">
        <v>1923</v>
      </c>
      <c r="D2327" s="10">
        <v>45701</v>
      </c>
      <c r="E2327" s="13" t="str">
        <f>+HYPERLINK("http://trademark.i-assist.jp/data/china/image_1923th/82209268.pdf","82209268")</f>
        <v>82209268</v>
      </c>
      <c r="F2327" s="11" t="s">
        <v>6350</v>
      </c>
      <c r="G2327" s="9" t="s">
        <v>6351</v>
      </c>
      <c r="H2327" s="9" t="s">
        <v>6352</v>
      </c>
      <c r="I2327" s="10">
        <v>45623</v>
      </c>
    </row>
    <row r="2328" spans="1:9" x14ac:dyDescent="0.15">
      <c r="A2328" s="9">
        <v>2327</v>
      </c>
      <c r="B2328" s="9" t="s">
        <v>9</v>
      </c>
      <c r="C2328" s="9">
        <v>1923</v>
      </c>
      <c r="D2328" s="10">
        <v>45701</v>
      </c>
      <c r="E2328" s="13" t="str">
        <f>+HYPERLINK("http://trademark.i-assist.jp/data/china/image_1923th/82210620.pdf","82210620")</f>
        <v>82210620</v>
      </c>
      <c r="F2328" s="9" t="s">
        <v>6353</v>
      </c>
      <c r="G2328" s="9" t="s">
        <v>6354</v>
      </c>
      <c r="H2328" s="9" t="s">
        <v>6355</v>
      </c>
      <c r="I2328" s="10">
        <v>45623</v>
      </c>
    </row>
    <row r="2329" spans="1:9" x14ac:dyDescent="0.15">
      <c r="A2329" s="9">
        <v>2328</v>
      </c>
      <c r="B2329" s="9" t="s">
        <v>9</v>
      </c>
      <c r="C2329" s="9">
        <v>1923</v>
      </c>
      <c r="D2329" s="10">
        <v>45701</v>
      </c>
      <c r="E2329" s="13" t="str">
        <f>+HYPERLINK("http://trademark.i-assist.jp/data/china/image_1923th/82211343.pdf","82211343")</f>
        <v>82211343</v>
      </c>
      <c r="F2329" s="9" t="s">
        <v>6356</v>
      </c>
      <c r="G2329" s="11" t="s">
        <v>6357</v>
      </c>
      <c r="H2329" s="9" t="s">
        <v>6358</v>
      </c>
      <c r="I2329" s="10">
        <v>45623</v>
      </c>
    </row>
    <row r="2330" spans="1:9" x14ac:dyDescent="0.15">
      <c r="A2330" s="9">
        <v>2329</v>
      </c>
      <c r="B2330" s="9" t="s">
        <v>9</v>
      </c>
      <c r="C2330" s="9">
        <v>1923</v>
      </c>
      <c r="D2330" s="10">
        <v>45701</v>
      </c>
      <c r="E2330" s="13" t="str">
        <f>+HYPERLINK("http://trademark.i-assist.jp/data/china/image_1923th/82213026.pdf","82213026")</f>
        <v>82213026</v>
      </c>
      <c r="F2330" s="9" t="s">
        <v>6359</v>
      </c>
      <c r="G2330" s="9" t="s">
        <v>6360</v>
      </c>
      <c r="H2330" s="9" t="s">
        <v>6361</v>
      </c>
      <c r="I2330" s="10">
        <v>45623</v>
      </c>
    </row>
    <row r="2331" spans="1:9" x14ac:dyDescent="0.15">
      <c r="A2331" s="9">
        <v>2330</v>
      </c>
      <c r="B2331" s="9" t="s">
        <v>9</v>
      </c>
      <c r="C2331" s="9">
        <v>1923</v>
      </c>
      <c r="D2331" s="10">
        <v>45701</v>
      </c>
      <c r="E2331" s="13" t="str">
        <f>+HYPERLINK("http://trademark.i-assist.jp/data/china/image_1923th/82213788.pdf","82213788")</f>
        <v>82213788</v>
      </c>
      <c r="F2331" s="9" t="s">
        <v>6362</v>
      </c>
      <c r="G2331" s="9" t="s">
        <v>6363</v>
      </c>
      <c r="H2331" s="9" t="s">
        <v>6364</v>
      </c>
      <c r="I2331" s="10">
        <v>45623</v>
      </c>
    </row>
    <row r="2332" spans="1:9" x14ac:dyDescent="0.15">
      <c r="A2332" s="9">
        <v>2331</v>
      </c>
      <c r="B2332" s="9" t="s">
        <v>9</v>
      </c>
      <c r="C2332" s="9">
        <v>1923</v>
      </c>
      <c r="D2332" s="10">
        <v>45701</v>
      </c>
      <c r="E2332" s="13" t="str">
        <f>+HYPERLINK("http://trademark.i-assist.jp/data/china/image_1923th/82215632.pdf","82215632")</f>
        <v>82215632</v>
      </c>
      <c r="F2332" s="9" t="s">
        <v>6365</v>
      </c>
      <c r="G2332" s="9" t="s">
        <v>6366</v>
      </c>
      <c r="H2332" s="9" t="s">
        <v>6367</v>
      </c>
      <c r="I2332" s="10">
        <v>45623</v>
      </c>
    </row>
    <row r="2333" spans="1:9" x14ac:dyDescent="0.15">
      <c r="A2333" s="9">
        <v>2332</v>
      </c>
      <c r="B2333" s="9" t="s">
        <v>9</v>
      </c>
      <c r="C2333" s="9">
        <v>1923</v>
      </c>
      <c r="D2333" s="10">
        <v>45701</v>
      </c>
      <c r="E2333" s="13" t="str">
        <f>+HYPERLINK("http://trademark.i-assist.jp/data/china/image_1923th/82215944.pdf","82215944")</f>
        <v>82215944</v>
      </c>
      <c r="F2333" s="9" t="s">
        <v>6368</v>
      </c>
      <c r="G2333" s="9" t="s">
        <v>6369</v>
      </c>
      <c r="H2333" s="9" t="s">
        <v>6370</v>
      </c>
      <c r="I2333" s="10">
        <v>45623</v>
      </c>
    </row>
    <row r="2334" spans="1:9" x14ac:dyDescent="0.15">
      <c r="A2334" s="9">
        <v>2333</v>
      </c>
      <c r="B2334" s="9" t="s">
        <v>9</v>
      </c>
      <c r="C2334" s="9">
        <v>1923</v>
      </c>
      <c r="D2334" s="10">
        <v>45701</v>
      </c>
      <c r="E2334" s="13" t="str">
        <f>+HYPERLINK("http://trademark.i-assist.jp/data/china/image_1923th/82216947.pdf","82216947")</f>
        <v>82216947</v>
      </c>
      <c r="F2334" s="9" t="s">
        <v>6371</v>
      </c>
      <c r="G2334" s="9" t="s">
        <v>6345</v>
      </c>
      <c r="H2334" s="11" t="s">
        <v>6372</v>
      </c>
      <c r="I2334" s="10">
        <v>45623</v>
      </c>
    </row>
    <row r="2335" spans="1:9" x14ac:dyDescent="0.15">
      <c r="A2335" s="9">
        <v>2334</v>
      </c>
      <c r="B2335" s="9" t="s">
        <v>9</v>
      </c>
      <c r="C2335" s="9">
        <v>1923</v>
      </c>
      <c r="D2335" s="10">
        <v>45701</v>
      </c>
      <c r="E2335" s="13" t="str">
        <f>+HYPERLINK("http://trademark.i-assist.jp/data/china/image_1923th/82218105.pdf","82218105")</f>
        <v>82218105</v>
      </c>
      <c r="F2335" s="11" t="s">
        <v>126</v>
      </c>
      <c r="G2335" s="9" t="s">
        <v>6373</v>
      </c>
      <c r="H2335" s="9" t="s">
        <v>6374</v>
      </c>
      <c r="I2335" s="10">
        <v>45623</v>
      </c>
    </row>
    <row r="2336" spans="1:9" x14ac:dyDescent="0.15">
      <c r="A2336" s="9">
        <v>2335</v>
      </c>
      <c r="B2336" s="9" t="s">
        <v>9</v>
      </c>
      <c r="C2336" s="9">
        <v>1923</v>
      </c>
      <c r="D2336" s="10">
        <v>45701</v>
      </c>
      <c r="E2336" s="13" t="str">
        <f>+HYPERLINK("http://trademark.i-assist.jp/data/china/image_1923th/82220196.pdf","82220196")</f>
        <v>82220196</v>
      </c>
      <c r="F2336" s="11" t="s">
        <v>126</v>
      </c>
      <c r="G2336" s="9" t="s">
        <v>6375</v>
      </c>
      <c r="H2336" s="9" t="s">
        <v>6376</v>
      </c>
      <c r="I2336" s="10">
        <v>45623</v>
      </c>
    </row>
    <row r="2337" spans="1:9" x14ac:dyDescent="0.15">
      <c r="A2337" s="9">
        <v>2336</v>
      </c>
      <c r="B2337" s="9" t="s">
        <v>9</v>
      </c>
      <c r="C2337" s="9">
        <v>1923</v>
      </c>
      <c r="D2337" s="10">
        <v>45701</v>
      </c>
      <c r="E2337" s="13" t="str">
        <f>+HYPERLINK("http://trademark.i-assist.jp/data/china/image_1923th/82222290.pdf","82222290")</f>
        <v>82222290</v>
      </c>
      <c r="F2337" s="11" t="s">
        <v>6377</v>
      </c>
      <c r="G2337" s="9" t="s">
        <v>6378</v>
      </c>
      <c r="H2337" s="9" t="s">
        <v>6379</v>
      </c>
      <c r="I2337" s="10">
        <v>45623</v>
      </c>
    </row>
    <row r="2338" spans="1:9" x14ac:dyDescent="0.15">
      <c r="A2338" s="9">
        <v>2337</v>
      </c>
      <c r="B2338" s="9" t="s">
        <v>9</v>
      </c>
      <c r="C2338" s="9">
        <v>1923</v>
      </c>
      <c r="D2338" s="10">
        <v>45701</v>
      </c>
      <c r="E2338" s="13" t="str">
        <f>+HYPERLINK("http://trademark.i-assist.jp/data/china/image_1923th/82223437.pdf","82223437")</f>
        <v>82223437</v>
      </c>
      <c r="F2338" s="9" t="s">
        <v>6380</v>
      </c>
      <c r="G2338" s="11" t="s">
        <v>6381</v>
      </c>
      <c r="H2338" s="9" t="s">
        <v>6382</v>
      </c>
      <c r="I2338" s="10">
        <v>45623</v>
      </c>
    </row>
    <row r="2339" spans="1:9" x14ac:dyDescent="0.15">
      <c r="A2339" s="9">
        <v>2338</v>
      </c>
      <c r="B2339" s="9" t="s">
        <v>9</v>
      </c>
      <c r="C2339" s="9">
        <v>1923</v>
      </c>
      <c r="D2339" s="10">
        <v>45701</v>
      </c>
      <c r="E2339" s="13" t="str">
        <f>+HYPERLINK("http://trademark.i-assist.jp/data/china/image_1923th/82224134.pdf","82224134")</f>
        <v>82224134</v>
      </c>
      <c r="F2339" s="9" t="s">
        <v>6383</v>
      </c>
      <c r="G2339" s="9" t="s">
        <v>6257</v>
      </c>
      <c r="H2339" s="9" t="s">
        <v>6384</v>
      </c>
      <c r="I2339" s="10">
        <v>45623</v>
      </c>
    </row>
    <row r="2340" spans="1:9" x14ac:dyDescent="0.15">
      <c r="A2340" s="9">
        <v>2339</v>
      </c>
      <c r="B2340" s="9" t="s">
        <v>9</v>
      </c>
      <c r="C2340" s="9">
        <v>1923</v>
      </c>
      <c r="D2340" s="10">
        <v>45701</v>
      </c>
      <c r="E2340" s="13" t="str">
        <f>+HYPERLINK("http://trademark.i-assist.jp/data/china/image_1923th/82225458.pdf","82225458")</f>
        <v>82225458</v>
      </c>
      <c r="F2340" s="9" t="s">
        <v>6385</v>
      </c>
      <c r="G2340" s="9" t="s">
        <v>6336</v>
      </c>
      <c r="H2340" s="9" t="s">
        <v>6386</v>
      </c>
      <c r="I2340" s="10">
        <v>45623</v>
      </c>
    </row>
    <row r="2341" spans="1:9" x14ac:dyDescent="0.15">
      <c r="A2341" s="9">
        <v>2340</v>
      </c>
      <c r="B2341" s="9" t="s">
        <v>9</v>
      </c>
      <c r="C2341" s="9">
        <v>1923</v>
      </c>
      <c r="D2341" s="10">
        <v>45701</v>
      </c>
      <c r="E2341" s="13" t="str">
        <f>+HYPERLINK("http://trademark.i-assist.jp/data/china/image_1923th/82226623.pdf","82226623")</f>
        <v>82226623</v>
      </c>
      <c r="F2341" s="11" t="s">
        <v>6387</v>
      </c>
      <c r="G2341" s="9" t="s">
        <v>6388</v>
      </c>
      <c r="H2341" s="9" t="s">
        <v>6389</v>
      </c>
      <c r="I2341" s="10">
        <v>45623</v>
      </c>
    </row>
    <row r="2342" spans="1:9" x14ac:dyDescent="0.15">
      <c r="A2342" s="9">
        <v>2341</v>
      </c>
      <c r="B2342" s="9" t="s">
        <v>9</v>
      </c>
      <c r="C2342" s="9">
        <v>1923</v>
      </c>
      <c r="D2342" s="10">
        <v>45701</v>
      </c>
      <c r="E2342" s="13" t="str">
        <f>+HYPERLINK("http://trademark.i-assist.jp/data/china/image_1923th/82396834.pdf","82396834")</f>
        <v>82396834</v>
      </c>
      <c r="F2342" s="9" t="s">
        <v>6390</v>
      </c>
      <c r="G2342" s="9" t="s">
        <v>6391</v>
      </c>
      <c r="H2342" s="9" t="s">
        <v>6392</v>
      </c>
      <c r="I2342" s="10">
        <v>45632</v>
      </c>
    </row>
  </sheetData>
  <autoFilter ref="A1:I1" xr:uid="{3B0FB343-47C0-4CE0-8FAB-E7608847F386}"/>
  <phoneticPr fontId="2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1923th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IA-99</cp:lastModifiedBy>
  <dcterms:created xsi:type="dcterms:W3CDTF">2018-08-31T07:51:48Z</dcterms:created>
  <dcterms:modified xsi:type="dcterms:W3CDTF">2025-04-01T01:35:58Z</dcterms:modified>
</cp:coreProperties>
</file>