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IA-99\Desktop\1920\"/>
    </mc:Choice>
  </mc:AlternateContent>
  <xr:revisionPtr revIDLastSave="0" documentId="13_ncr:1_{37AD8B29-ACD3-4F91-BF27-2F6109EF8FEB}" xr6:coauthVersionLast="47" xr6:coauthVersionMax="47" xr10:uidLastSave="{00000000-0000-0000-0000-000000000000}"/>
  <bookViews>
    <workbookView xWindow="4185" yWindow="2115" windowWidth="24165" windowHeight="13230" xr2:uid="{00000000-000D-0000-FFFF-FFFF00000000}"/>
  </bookViews>
  <sheets>
    <sheet name="1920th" sheetId="2" r:id="rId1"/>
  </sheets>
  <definedNames>
    <definedName name="_xlnm._FilterDatabase" localSheetId="0" hidden="1">'1920th'!$A$1:$I$1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62" i="2" l="1"/>
  <c r="E1961" i="2"/>
  <c r="E1960" i="2"/>
  <c r="E1959" i="2"/>
  <c r="E1958" i="2"/>
  <c r="E1957" i="2"/>
  <c r="E1956" i="2"/>
  <c r="E1955" i="2"/>
  <c r="E1954" i="2"/>
  <c r="E1953" i="2"/>
  <c r="E1952" i="2"/>
  <c r="E1951" i="2"/>
  <c r="E1950" i="2"/>
  <c r="E1949" i="2"/>
  <c r="E1948" i="2"/>
  <c r="E1947" i="2"/>
  <c r="E1946" i="2"/>
  <c r="E1945" i="2"/>
  <c r="E1944" i="2"/>
  <c r="E1943" i="2"/>
  <c r="E1942" i="2"/>
  <c r="E1941" i="2"/>
  <c r="E1940" i="2"/>
  <c r="E1939" i="2"/>
  <c r="E1938" i="2"/>
  <c r="E1937" i="2"/>
  <c r="E1936" i="2"/>
  <c r="E1935" i="2"/>
  <c r="E1934" i="2"/>
  <c r="E1933" i="2"/>
  <c r="E1932" i="2"/>
  <c r="E1931" i="2"/>
  <c r="E1930" i="2"/>
  <c r="E1929" i="2"/>
  <c r="E1928" i="2"/>
  <c r="E1927" i="2"/>
  <c r="E1926" i="2"/>
  <c r="E1925" i="2"/>
  <c r="E1924" i="2"/>
  <c r="E1923" i="2"/>
  <c r="E1922" i="2"/>
  <c r="E1921" i="2"/>
  <c r="E1920" i="2"/>
  <c r="E1919" i="2"/>
  <c r="E1918" i="2"/>
  <c r="E1917" i="2"/>
  <c r="E1916" i="2"/>
  <c r="E1915" i="2"/>
  <c r="E1914" i="2"/>
  <c r="E1913" i="2"/>
  <c r="E1912" i="2"/>
  <c r="E1911" i="2"/>
  <c r="E1910" i="2"/>
  <c r="E1909" i="2"/>
  <c r="E1908" i="2"/>
  <c r="E1907" i="2"/>
  <c r="E1906" i="2"/>
  <c r="E1905" i="2"/>
  <c r="E1904" i="2"/>
  <c r="E1903" i="2"/>
  <c r="E1902" i="2"/>
  <c r="E1901" i="2"/>
  <c r="E1900" i="2"/>
  <c r="E1899" i="2"/>
  <c r="E1898" i="2"/>
  <c r="E1897" i="2"/>
  <c r="E1896" i="2"/>
  <c r="E1895" i="2"/>
  <c r="E1894" i="2"/>
  <c r="E1893" i="2"/>
  <c r="E1892" i="2"/>
  <c r="E1891" i="2"/>
  <c r="E1890" i="2"/>
  <c r="E1889" i="2"/>
  <c r="E1888" i="2"/>
  <c r="E1887" i="2"/>
  <c r="E1886" i="2"/>
  <c r="E1885" i="2"/>
  <c r="E1884" i="2"/>
  <c r="E1883" i="2"/>
  <c r="E1882" i="2"/>
  <c r="E1881" i="2"/>
  <c r="E1880" i="2"/>
  <c r="E1879" i="2"/>
  <c r="E1878" i="2"/>
  <c r="E1877" i="2"/>
  <c r="E1876" i="2"/>
  <c r="E1875" i="2"/>
  <c r="E1874" i="2"/>
  <c r="E1873" i="2"/>
  <c r="E1872" i="2"/>
  <c r="E1871" i="2"/>
  <c r="E1870" i="2"/>
  <c r="E1869" i="2"/>
  <c r="E1868" i="2"/>
  <c r="E1867" i="2"/>
  <c r="E1866" i="2"/>
  <c r="E1865" i="2"/>
  <c r="E1864" i="2"/>
  <c r="E1863" i="2"/>
  <c r="E1862" i="2"/>
  <c r="E1861" i="2"/>
  <c r="E1860" i="2"/>
  <c r="E1859" i="2"/>
  <c r="E1858" i="2"/>
  <c r="E1857" i="2"/>
  <c r="E1856" i="2"/>
  <c r="E1855" i="2"/>
  <c r="E1854" i="2"/>
  <c r="E1853" i="2"/>
  <c r="E1852" i="2"/>
  <c r="E1851" i="2"/>
  <c r="E1850" i="2"/>
  <c r="E1849" i="2"/>
  <c r="E1848" i="2"/>
  <c r="E1847" i="2"/>
  <c r="E1846" i="2"/>
  <c r="E1845" i="2"/>
  <c r="E1844" i="2"/>
  <c r="E1843" i="2"/>
  <c r="E1842" i="2"/>
  <c r="E1841" i="2"/>
  <c r="E1840" i="2"/>
  <c r="E1839" i="2"/>
  <c r="E1838" i="2"/>
  <c r="E1837" i="2"/>
  <c r="E1836" i="2"/>
  <c r="E1835" i="2"/>
  <c r="E1834" i="2"/>
  <c r="E1833" i="2"/>
  <c r="E1832" i="2"/>
  <c r="E1831" i="2"/>
  <c r="E1830" i="2"/>
  <c r="E1829" i="2"/>
  <c r="E1828" i="2"/>
  <c r="E1827" i="2"/>
  <c r="E1826" i="2"/>
  <c r="E1825" i="2"/>
  <c r="E1824" i="2"/>
  <c r="E1823" i="2"/>
  <c r="E1822" i="2"/>
  <c r="E1821" i="2"/>
  <c r="E1820" i="2"/>
  <c r="E1819" i="2"/>
  <c r="E1818" i="2"/>
  <c r="E1817" i="2"/>
  <c r="E1816" i="2"/>
  <c r="E1815" i="2"/>
  <c r="E1814" i="2"/>
  <c r="E1813" i="2"/>
  <c r="E1812" i="2"/>
  <c r="E1811" i="2"/>
  <c r="E1810" i="2"/>
  <c r="E1809" i="2"/>
  <c r="E1808" i="2"/>
  <c r="E1807" i="2"/>
  <c r="E1806" i="2"/>
  <c r="E1805" i="2"/>
  <c r="E1804" i="2"/>
  <c r="E1803" i="2"/>
  <c r="E1802" i="2"/>
  <c r="E1801" i="2"/>
  <c r="E1800" i="2"/>
  <c r="E1799" i="2"/>
  <c r="E1798" i="2"/>
  <c r="E1797" i="2"/>
  <c r="E1796" i="2"/>
  <c r="E1795" i="2"/>
  <c r="E1794" i="2"/>
  <c r="E1793" i="2"/>
  <c r="E1792" i="2"/>
  <c r="E1791" i="2"/>
  <c r="E1790" i="2"/>
  <c r="E1789" i="2"/>
  <c r="E1788" i="2"/>
  <c r="E1787" i="2"/>
  <c r="E1786" i="2"/>
  <c r="E1785" i="2"/>
  <c r="E1784" i="2"/>
  <c r="E1783" i="2"/>
  <c r="E1782" i="2"/>
  <c r="E1781" i="2"/>
  <c r="E1780" i="2"/>
  <c r="E1779" i="2"/>
  <c r="E1778" i="2"/>
  <c r="E1777" i="2"/>
  <c r="E1776" i="2"/>
  <c r="E1775" i="2"/>
  <c r="E1774" i="2"/>
  <c r="E1773" i="2"/>
  <c r="E1772" i="2"/>
  <c r="E1771" i="2"/>
  <c r="E1770" i="2"/>
  <c r="E1769" i="2"/>
  <c r="E1768" i="2"/>
  <c r="E1767" i="2"/>
  <c r="E1766" i="2"/>
  <c r="E1765" i="2"/>
  <c r="E1764" i="2"/>
  <c r="E1763" i="2"/>
  <c r="E1762" i="2"/>
  <c r="E1761" i="2"/>
  <c r="E1760" i="2"/>
  <c r="E1759" i="2"/>
  <c r="E1758" i="2"/>
  <c r="E1757" i="2"/>
  <c r="E1756" i="2"/>
  <c r="E1755" i="2"/>
  <c r="E1754" i="2"/>
  <c r="E1753" i="2"/>
  <c r="E1752" i="2"/>
  <c r="E1751" i="2"/>
  <c r="E1750" i="2"/>
  <c r="E1749" i="2"/>
  <c r="E1748" i="2"/>
  <c r="E1747" i="2"/>
  <c r="E1746" i="2"/>
  <c r="E1745" i="2"/>
  <c r="E1744" i="2"/>
  <c r="E1743" i="2"/>
  <c r="E1742" i="2"/>
  <c r="E1741" i="2"/>
  <c r="E1740" i="2"/>
  <c r="E1739" i="2"/>
  <c r="E1738" i="2"/>
  <c r="E1737" i="2"/>
  <c r="E1736" i="2"/>
  <c r="E1735" i="2"/>
  <c r="E1734" i="2"/>
  <c r="E1733" i="2"/>
  <c r="E1732" i="2"/>
  <c r="E1731" i="2"/>
  <c r="E1730" i="2"/>
  <c r="E1729" i="2"/>
  <c r="E1728" i="2"/>
  <c r="E1727" i="2"/>
  <c r="E1726" i="2"/>
  <c r="E1725" i="2"/>
  <c r="E1724" i="2"/>
  <c r="E1723" i="2"/>
  <c r="E1722" i="2"/>
  <c r="E1721" i="2"/>
  <c r="E1720" i="2"/>
  <c r="E1719" i="2"/>
  <c r="E1718" i="2"/>
  <c r="E1717" i="2"/>
  <c r="E1716" i="2"/>
  <c r="E1715" i="2"/>
  <c r="E1714" i="2"/>
  <c r="E1713" i="2"/>
  <c r="E1712" i="2"/>
  <c r="E1711" i="2"/>
  <c r="E1710" i="2"/>
  <c r="E1709" i="2"/>
  <c r="E1708" i="2"/>
  <c r="E1707" i="2"/>
  <c r="E1706" i="2"/>
  <c r="E1705" i="2"/>
  <c r="E1704" i="2"/>
  <c r="E1703" i="2"/>
  <c r="E1702" i="2"/>
  <c r="E1701" i="2"/>
  <c r="E1700" i="2"/>
  <c r="E1699" i="2"/>
  <c r="E1698" i="2"/>
  <c r="E1697" i="2"/>
  <c r="E1696" i="2"/>
  <c r="E1695" i="2"/>
  <c r="E1694" i="2"/>
  <c r="E1693" i="2"/>
  <c r="E1692" i="2"/>
  <c r="E1691" i="2"/>
  <c r="E1690" i="2"/>
  <c r="E1689" i="2"/>
  <c r="E1688" i="2"/>
  <c r="E1687" i="2"/>
  <c r="E1686" i="2"/>
  <c r="E1685" i="2"/>
  <c r="E1684" i="2"/>
  <c r="E1683" i="2"/>
  <c r="E1682" i="2"/>
  <c r="E1681" i="2"/>
  <c r="E1680" i="2"/>
  <c r="E1679" i="2"/>
  <c r="E1678" i="2"/>
  <c r="E1677" i="2"/>
  <c r="E1676" i="2"/>
  <c r="E1675" i="2"/>
  <c r="E1674" i="2"/>
  <c r="E1673" i="2"/>
  <c r="E1672" i="2"/>
  <c r="E1671" i="2"/>
  <c r="E1670" i="2"/>
  <c r="E1669" i="2"/>
  <c r="E1668" i="2"/>
  <c r="E1667" i="2"/>
  <c r="E1666" i="2"/>
  <c r="E1665" i="2"/>
  <c r="E1664" i="2"/>
  <c r="E1663" i="2"/>
  <c r="E1662" i="2"/>
  <c r="E1661" i="2"/>
  <c r="E1660" i="2"/>
  <c r="E1659" i="2"/>
  <c r="E1658" i="2"/>
  <c r="E1657" i="2"/>
  <c r="E1656" i="2"/>
  <c r="E1655" i="2"/>
  <c r="E1654" i="2"/>
  <c r="E1653" i="2"/>
  <c r="E1652" i="2"/>
  <c r="E1651" i="2"/>
  <c r="E1650" i="2"/>
  <c r="E1649" i="2"/>
  <c r="E1648" i="2"/>
  <c r="E1647" i="2"/>
  <c r="E1646" i="2"/>
  <c r="E1645" i="2"/>
  <c r="E1644" i="2"/>
  <c r="E1643" i="2"/>
  <c r="E1642" i="2"/>
  <c r="E1641" i="2"/>
  <c r="E1640" i="2"/>
  <c r="E1639" i="2"/>
  <c r="E1638" i="2"/>
  <c r="E1637" i="2"/>
  <c r="E1636" i="2"/>
  <c r="E1635" i="2"/>
  <c r="E1634" i="2"/>
  <c r="E1633" i="2"/>
  <c r="E1632" i="2"/>
  <c r="E1631" i="2"/>
  <c r="E1630" i="2"/>
  <c r="E1629" i="2"/>
  <c r="E1628" i="2"/>
  <c r="E1627" i="2"/>
  <c r="E1626" i="2"/>
  <c r="E1625" i="2"/>
  <c r="E1624" i="2"/>
  <c r="E1623" i="2"/>
  <c r="E1622" i="2"/>
  <c r="E1621" i="2"/>
  <c r="E1620" i="2"/>
  <c r="E1619" i="2"/>
  <c r="E1618" i="2"/>
  <c r="E1617" i="2"/>
  <c r="E1616" i="2"/>
  <c r="E1615" i="2"/>
  <c r="E1614" i="2"/>
  <c r="E1613" i="2"/>
  <c r="E1612" i="2"/>
  <c r="E1611" i="2"/>
  <c r="E1610" i="2"/>
  <c r="E1609" i="2"/>
  <c r="E1608" i="2"/>
  <c r="E1607" i="2"/>
  <c r="E1606" i="2"/>
  <c r="E1605" i="2"/>
  <c r="E1604" i="2"/>
  <c r="E1603" i="2"/>
  <c r="E1602" i="2"/>
  <c r="E1601" i="2"/>
  <c r="E1600" i="2"/>
  <c r="E1599" i="2"/>
  <c r="E1598" i="2"/>
  <c r="E1597" i="2"/>
  <c r="E1596" i="2"/>
  <c r="E1595" i="2"/>
  <c r="E1594" i="2"/>
  <c r="E1593" i="2"/>
  <c r="E1592" i="2"/>
  <c r="E1591" i="2"/>
  <c r="E1590" i="2"/>
  <c r="E1589" i="2"/>
  <c r="E1588" i="2"/>
  <c r="E1587" i="2"/>
  <c r="E1586" i="2"/>
  <c r="E1585" i="2"/>
  <c r="E1584" i="2"/>
  <c r="E1583" i="2"/>
  <c r="E1582" i="2"/>
  <c r="E1581" i="2"/>
  <c r="E1580" i="2"/>
  <c r="E1579" i="2"/>
  <c r="E1578" i="2"/>
  <c r="E1577" i="2"/>
  <c r="E1576" i="2"/>
  <c r="E1575" i="2"/>
  <c r="E1574" i="2"/>
  <c r="E1573" i="2"/>
  <c r="E1572" i="2"/>
  <c r="E1571" i="2"/>
  <c r="E1570" i="2"/>
  <c r="E1569" i="2"/>
  <c r="E1568" i="2"/>
  <c r="E1567" i="2"/>
  <c r="E1566" i="2"/>
  <c r="E1565" i="2"/>
  <c r="E1564" i="2"/>
  <c r="E1563" i="2"/>
  <c r="E1562" i="2"/>
  <c r="E1561" i="2"/>
  <c r="E1560" i="2"/>
  <c r="E1559" i="2"/>
  <c r="E1558" i="2"/>
  <c r="E1557" i="2"/>
  <c r="E1556" i="2"/>
  <c r="E1555" i="2"/>
  <c r="E1554" i="2"/>
  <c r="E1553" i="2"/>
  <c r="E1552" i="2"/>
  <c r="E1551" i="2"/>
  <c r="E1550" i="2"/>
  <c r="E1549" i="2"/>
  <c r="E1548" i="2"/>
  <c r="E1547" i="2"/>
  <c r="E1546" i="2"/>
  <c r="E1545" i="2"/>
  <c r="E1544" i="2"/>
  <c r="E1543" i="2"/>
  <c r="E1542" i="2"/>
  <c r="E1541" i="2"/>
  <c r="E1540" i="2"/>
  <c r="E1539" i="2"/>
  <c r="E1538" i="2"/>
  <c r="E1537" i="2"/>
  <c r="E1536" i="2"/>
  <c r="E1535" i="2"/>
  <c r="E1534" i="2"/>
  <c r="E1533" i="2"/>
  <c r="E1532" i="2"/>
  <c r="E1531" i="2"/>
  <c r="E1530" i="2"/>
  <c r="E1529" i="2"/>
  <c r="E1528" i="2"/>
  <c r="E1527" i="2"/>
  <c r="E1526" i="2"/>
  <c r="E1525" i="2"/>
  <c r="E1524" i="2"/>
  <c r="E1523" i="2"/>
  <c r="E1522" i="2"/>
  <c r="E1521" i="2"/>
  <c r="E1520" i="2"/>
  <c r="E1519" i="2"/>
  <c r="E1518" i="2"/>
  <c r="E1517" i="2"/>
  <c r="E1516" i="2"/>
  <c r="E1515" i="2"/>
  <c r="E1514" i="2"/>
  <c r="E1513" i="2"/>
  <c r="E1512" i="2"/>
  <c r="E1511" i="2"/>
  <c r="E1510" i="2"/>
  <c r="E1509" i="2"/>
  <c r="E1508" i="2"/>
  <c r="E1507" i="2"/>
  <c r="E1506" i="2"/>
  <c r="E1505" i="2"/>
  <c r="E1504" i="2"/>
  <c r="E1503" i="2"/>
  <c r="E1502" i="2"/>
  <c r="E1501" i="2"/>
  <c r="E1500" i="2"/>
  <c r="E1499" i="2"/>
  <c r="E1498" i="2"/>
  <c r="E1497" i="2"/>
  <c r="E1496" i="2"/>
  <c r="E1495" i="2"/>
  <c r="E1494" i="2"/>
  <c r="E1493" i="2"/>
  <c r="E1492" i="2"/>
  <c r="E1491" i="2"/>
  <c r="E1490" i="2"/>
  <c r="E1489" i="2"/>
  <c r="E1488" i="2"/>
  <c r="E1487" i="2"/>
  <c r="E1486" i="2"/>
  <c r="E1485" i="2"/>
  <c r="E1484" i="2"/>
  <c r="E1483" i="2"/>
  <c r="E1482" i="2"/>
  <c r="E1481" i="2"/>
  <c r="E1480" i="2"/>
  <c r="E1479" i="2"/>
  <c r="E1478" i="2"/>
  <c r="E1477" i="2"/>
  <c r="E1476" i="2"/>
  <c r="E1475" i="2"/>
  <c r="E1474" i="2"/>
  <c r="E1473" i="2"/>
  <c r="E1472" i="2"/>
  <c r="E1471" i="2"/>
  <c r="E1470" i="2"/>
  <c r="E1469" i="2"/>
  <c r="E1468" i="2"/>
  <c r="E1467" i="2"/>
  <c r="E1466" i="2"/>
  <c r="E1465" i="2"/>
  <c r="E1464" i="2"/>
  <c r="E1463" i="2"/>
  <c r="E1462" i="2"/>
  <c r="E1461" i="2"/>
  <c r="E1460" i="2"/>
  <c r="E1459" i="2"/>
  <c r="E1458" i="2"/>
  <c r="E1457" i="2"/>
  <c r="E1456" i="2"/>
  <c r="E1455" i="2"/>
  <c r="E1454" i="2"/>
  <c r="E1453" i="2"/>
  <c r="E1452" i="2"/>
  <c r="E1451" i="2"/>
  <c r="E1450" i="2"/>
  <c r="E1449" i="2"/>
  <c r="E1448" i="2"/>
  <c r="E1447" i="2"/>
  <c r="E1446" i="2"/>
  <c r="E1445" i="2"/>
  <c r="E1444" i="2"/>
  <c r="E1443" i="2"/>
  <c r="E1442" i="2"/>
  <c r="E1441" i="2"/>
  <c r="E1440" i="2"/>
  <c r="E1439" i="2"/>
  <c r="E1438" i="2"/>
  <c r="E1437" i="2"/>
  <c r="E1436" i="2"/>
  <c r="E1435" i="2"/>
  <c r="E1434" i="2"/>
  <c r="E1433" i="2"/>
  <c r="E1432" i="2"/>
  <c r="E1431" i="2"/>
  <c r="E1430" i="2"/>
  <c r="E1429" i="2"/>
  <c r="E1428" i="2"/>
  <c r="E1427" i="2"/>
  <c r="E1426" i="2"/>
  <c r="E1425" i="2"/>
  <c r="E1424" i="2"/>
  <c r="E1423" i="2"/>
  <c r="E1422" i="2"/>
  <c r="E1421" i="2"/>
  <c r="E1420" i="2"/>
  <c r="E1419" i="2"/>
  <c r="E1418" i="2"/>
  <c r="E1417" i="2"/>
  <c r="E1416" i="2"/>
  <c r="E1415" i="2"/>
  <c r="E1414" i="2"/>
  <c r="E1413" i="2"/>
  <c r="E1412" i="2"/>
  <c r="E1411" i="2"/>
  <c r="E1410" i="2"/>
  <c r="E1409" i="2"/>
  <c r="E1408" i="2"/>
  <c r="E1407" i="2"/>
  <c r="E1406" i="2"/>
  <c r="E1405" i="2"/>
  <c r="E1404" i="2"/>
  <c r="E1403" i="2"/>
  <c r="E1402" i="2"/>
  <c r="E1401" i="2"/>
  <c r="E1400" i="2"/>
  <c r="E1399" i="2"/>
  <c r="E1398" i="2"/>
  <c r="E1397" i="2"/>
  <c r="E1396" i="2"/>
  <c r="E1395" i="2"/>
  <c r="E1394" i="2"/>
  <c r="E1393" i="2"/>
  <c r="E1392" i="2"/>
  <c r="E1391" i="2"/>
  <c r="E1390" i="2"/>
  <c r="E1389" i="2"/>
  <c r="E1388" i="2"/>
  <c r="E1387" i="2"/>
  <c r="E1386" i="2"/>
  <c r="E1385" i="2"/>
  <c r="E1384" i="2"/>
  <c r="E1383" i="2"/>
  <c r="E1382" i="2"/>
  <c r="E1381" i="2"/>
  <c r="E1380" i="2"/>
  <c r="E1379" i="2"/>
  <c r="E1378" i="2"/>
  <c r="E1377" i="2"/>
  <c r="E1376" i="2"/>
  <c r="E1375" i="2"/>
  <c r="E1374" i="2"/>
  <c r="E1373" i="2"/>
  <c r="E1372" i="2"/>
  <c r="E1371" i="2"/>
  <c r="E1370" i="2"/>
  <c r="E1369" i="2"/>
  <c r="E1368" i="2"/>
  <c r="E1367" i="2"/>
  <c r="E1366" i="2"/>
  <c r="E1365" i="2"/>
  <c r="E1364" i="2"/>
  <c r="E1363" i="2"/>
  <c r="E1362" i="2"/>
  <c r="E1361" i="2"/>
  <c r="E1360" i="2"/>
  <c r="E1359" i="2"/>
  <c r="E1358" i="2"/>
  <c r="E1357" i="2"/>
  <c r="E1356" i="2"/>
  <c r="E1355" i="2"/>
  <c r="E1354" i="2"/>
  <c r="E1353" i="2"/>
  <c r="E1352" i="2"/>
  <c r="E1351" i="2"/>
  <c r="E1350" i="2"/>
  <c r="E1349" i="2"/>
  <c r="E1348" i="2"/>
  <c r="E1347" i="2"/>
  <c r="E1346" i="2"/>
  <c r="E1345" i="2"/>
  <c r="E1344" i="2"/>
  <c r="E1343" i="2"/>
  <c r="E1342" i="2"/>
  <c r="E1341" i="2"/>
  <c r="E1340" i="2"/>
  <c r="E1339" i="2"/>
  <c r="E1338" i="2"/>
  <c r="E1337" i="2"/>
  <c r="E1336" i="2"/>
  <c r="E1335" i="2"/>
  <c r="E1334" i="2"/>
  <c r="E1333" i="2"/>
  <c r="E1332" i="2"/>
  <c r="E1331" i="2"/>
  <c r="E1330" i="2"/>
  <c r="E1329" i="2"/>
  <c r="E1328" i="2"/>
  <c r="E1327" i="2"/>
  <c r="E1326" i="2"/>
  <c r="E1325" i="2"/>
  <c r="E1324" i="2"/>
  <c r="E1323" i="2"/>
  <c r="E1322" i="2"/>
  <c r="E1321" i="2"/>
  <c r="E1320" i="2"/>
  <c r="E1319" i="2"/>
  <c r="E1318" i="2"/>
  <c r="E1317" i="2"/>
  <c r="E1316" i="2"/>
  <c r="E1315" i="2"/>
  <c r="E1314" i="2"/>
  <c r="E1313" i="2"/>
  <c r="E1312" i="2"/>
  <c r="E1311" i="2"/>
  <c r="E1310" i="2"/>
  <c r="E1309" i="2"/>
  <c r="E1308" i="2"/>
  <c r="E1307" i="2"/>
  <c r="E1306" i="2"/>
  <c r="E1305" i="2"/>
  <c r="E1304" i="2"/>
  <c r="E1303" i="2"/>
  <c r="E1302" i="2"/>
  <c r="E1301" i="2"/>
  <c r="E1300" i="2"/>
  <c r="E1299" i="2"/>
  <c r="E1298" i="2"/>
  <c r="E1297" i="2"/>
  <c r="E1296" i="2"/>
  <c r="E1295" i="2"/>
  <c r="E1294" i="2"/>
  <c r="E1293" i="2"/>
  <c r="E1292" i="2"/>
  <c r="E1291" i="2"/>
  <c r="E1290" i="2"/>
  <c r="E1289" i="2"/>
  <c r="E1288" i="2"/>
  <c r="E1287" i="2"/>
  <c r="E1286" i="2"/>
  <c r="E1285" i="2"/>
  <c r="E1284" i="2"/>
  <c r="E1283" i="2"/>
  <c r="E1282" i="2"/>
  <c r="E1281" i="2"/>
  <c r="E1280" i="2"/>
  <c r="E1279" i="2"/>
  <c r="E1278" i="2"/>
  <c r="E1277" i="2"/>
  <c r="E1276" i="2"/>
  <c r="E1275" i="2"/>
  <c r="E1274" i="2"/>
  <c r="E1273" i="2"/>
  <c r="E1272" i="2"/>
  <c r="E1271" i="2"/>
  <c r="E1270" i="2"/>
  <c r="E1269" i="2"/>
  <c r="E1268" i="2"/>
  <c r="E1267" i="2"/>
  <c r="E1266" i="2"/>
  <c r="E1265" i="2"/>
  <c r="E1264" i="2"/>
  <c r="E1263" i="2"/>
  <c r="E1262" i="2"/>
  <c r="E1261" i="2"/>
  <c r="E1260" i="2"/>
  <c r="E1259" i="2"/>
  <c r="E1258" i="2"/>
  <c r="E1257" i="2"/>
  <c r="E1256" i="2"/>
  <c r="E1255" i="2"/>
  <c r="E1254" i="2"/>
  <c r="E1253" i="2"/>
  <c r="E1252" i="2"/>
  <c r="E1251" i="2"/>
  <c r="E1250" i="2"/>
  <c r="E1249" i="2"/>
  <c r="E1248" i="2"/>
  <c r="E1247" i="2"/>
  <c r="E1246" i="2"/>
  <c r="E1245" i="2"/>
  <c r="E1244" i="2"/>
  <c r="E1243" i="2"/>
  <c r="E1242" i="2"/>
  <c r="E1241" i="2"/>
  <c r="E1240" i="2"/>
  <c r="E1239" i="2"/>
  <c r="E1238" i="2"/>
  <c r="E1237" i="2"/>
  <c r="E1236" i="2"/>
  <c r="E1235" i="2"/>
  <c r="E1234" i="2"/>
  <c r="E1233" i="2"/>
  <c r="E1232" i="2"/>
  <c r="E1231" i="2"/>
  <c r="E1230" i="2"/>
  <c r="E1229" i="2"/>
  <c r="E1228" i="2"/>
  <c r="E1227" i="2"/>
  <c r="E1226" i="2"/>
  <c r="E1225" i="2"/>
  <c r="E1224" i="2"/>
  <c r="E1223" i="2"/>
  <c r="E1222" i="2"/>
  <c r="E1221" i="2"/>
  <c r="E1220" i="2"/>
  <c r="E1219" i="2"/>
  <c r="E1218" i="2"/>
  <c r="E1217" i="2"/>
  <c r="E1216" i="2"/>
  <c r="E1215" i="2"/>
  <c r="E1214" i="2"/>
  <c r="E1213" i="2"/>
  <c r="E1212" i="2"/>
  <c r="E1211" i="2"/>
  <c r="E1210" i="2"/>
  <c r="E1209" i="2"/>
  <c r="E1208" i="2"/>
  <c r="E1207" i="2"/>
  <c r="E1206" i="2"/>
  <c r="E1205" i="2"/>
  <c r="E1204" i="2"/>
  <c r="E1203" i="2"/>
  <c r="E1202" i="2"/>
  <c r="E1201" i="2"/>
  <c r="E1200" i="2"/>
  <c r="E1199" i="2"/>
  <c r="E1198" i="2"/>
  <c r="E1197" i="2"/>
  <c r="E1196" i="2"/>
  <c r="E1195" i="2"/>
  <c r="E1194" i="2"/>
  <c r="E1193" i="2"/>
  <c r="E1192" i="2"/>
  <c r="E1191" i="2"/>
  <c r="E1190" i="2"/>
  <c r="E1189" i="2"/>
  <c r="E1188" i="2"/>
  <c r="E1187" i="2"/>
  <c r="E1186" i="2"/>
  <c r="E1185" i="2"/>
  <c r="E1184" i="2"/>
  <c r="E1183" i="2"/>
  <c r="E1182" i="2"/>
  <c r="E1181" i="2"/>
  <c r="E1180" i="2"/>
  <c r="E1179" i="2"/>
  <c r="E1178" i="2"/>
  <c r="E1177" i="2"/>
  <c r="E1176" i="2"/>
  <c r="E1175" i="2"/>
  <c r="E1174" i="2"/>
  <c r="E1173" i="2"/>
  <c r="E1172" i="2"/>
  <c r="E1171" i="2"/>
  <c r="E1170" i="2"/>
  <c r="E1169" i="2"/>
  <c r="E1168" i="2"/>
  <c r="E1167" i="2"/>
  <c r="E1166" i="2"/>
  <c r="E1165" i="2"/>
  <c r="E1164" i="2"/>
  <c r="E1163" i="2"/>
  <c r="E1162" i="2"/>
  <c r="E1161" i="2"/>
  <c r="E1160" i="2"/>
  <c r="E1159" i="2"/>
  <c r="E1158" i="2"/>
  <c r="E1157" i="2"/>
  <c r="E1156" i="2"/>
  <c r="E1155" i="2"/>
  <c r="E1154" i="2"/>
  <c r="E1153" i="2"/>
  <c r="E1152" i="2"/>
  <c r="E1151" i="2"/>
  <c r="E1150" i="2"/>
  <c r="E1149" i="2"/>
  <c r="E1148" i="2"/>
  <c r="E1147" i="2"/>
  <c r="E1146" i="2"/>
  <c r="E1145" i="2"/>
  <c r="E1144" i="2"/>
  <c r="E1143" i="2"/>
  <c r="E1142" i="2"/>
  <c r="E1141" i="2"/>
  <c r="E1140" i="2"/>
  <c r="E1139" i="2"/>
  <c r="E1138" i="2"/>
  <c r="E1137" i="2"/>
  <c r="E1136" i="2"/>
  <c r="E1135" i="2"/>
  <c r="E1134" i="2"/>
  <c r="E1133" i="2"/>
  <c r="E1132" i="2"/>
  <c r="E1131" i="2"/>
  <c r="E1130" i="2"/>
  <c r="E1129" i="2"/>
  <c r="E1128" i="2"/>
  <c r="E1127" i="2"/>
  <c r="E1126" i="2"/>
  <c r="E1125" i="2"/>
  <c r="E1124" i="2"/>
  <c r="E1123" i="2"/>
  <c r="E1122" i="2"/>
  <c r="E1121" i="2"/>
  <c r="E1120" i="2"/>
  <c r="E1119" i="2"/>
  <c r="E1118" i="2"/>
  <c r="E1117" i="2"/>
  <c r="E1116" i="2"/>
  <c r="E1115" i="2"/>
  <c r="E1114" i="2"/>
  <c r="E1113" i="2"/>
  <c r="E1112" i="2"/>
  <c r="E1111" i="2"/>
  <c r="E1110" i="2"/>
  <c r="E1109" i="2"/>
  <c r="E1108" i="2"/>
  <c r="E1107" i="2"/>
  <c r="E1106" i="2"/>
  <c r="E1105" i="2"/>
  <c r="E1104" i="2"/>
  <c r="E1103" i="2"/>
  <c r="E1102" i="2"/>
  <c r="E1101" i="2"/>
  <c r="E1100" i="2"/>
  <c r="E1099" i="2"/>
  <c r="E1098" i="2"/>
  <c r="E1097" i="2"/>
  <c r="E1096" i="2"/>
  <c r="E1095" i="2"/>
  <c r="E1094" i="2"/>
  <c r="E1093" i="2"/>
  <c r="E1092" i="2"/>
  <c r="E1091" i="2"/>
  <c r="E1090" i="2"/>
  <c r="E1089" i="2"/>
  <c r="E1088" i="2"/>
  <c r="E1087" i="2"/>
  <c r="E1086" i="2"/>
  <c r="E1085" i="2"/>
  <c r="E1084" i="2"/>
  <c r="E1083" i="2"/>
  <c r="E1082" i="2"/>
  <c r="E1081" i="2"/>
  <c r="E1080" i="2"/>
  <c r="E1079" i="2"/>
  <c r="E1078" i="2"/>
  <c r="E1077" i="2"/>
  <c r="E1076" i="2"/>
  <c r="E1075" i="2"/>
  <c r="E1074" i="2"/>
  <c r="E1073" i="2"/>
  <c r="E1072" i="2"/>
  <c r="E1071" i="2"/>
  <c r="E1070" i="2"/>
  <c r="E1069" i="2"/>
  <c r="E1068" i="2"/>
  <c r="E1067" i="2"/>
  <c r="E1066" i="2"/>
  <c r="E1065" i="2"/>
  <c r="E1064" i="2"/>
  <c r="E1063" i="2"/>
  <c r="E1062" i="2"/>
  <c r="E1061" i="2"/>
  <c r="E1060" i="2"/>
  <c r="E1059" i="2"/>
  <c r="E1058" i="2"/>
  <c r="E1057" i="2"/>
  <c r="E1056" i="2"/>
  <c r="E1055" i="2"/>
  <c r="E1054" i="2"/>
  <c r="E1053" i="2"/>
  <c r="E1052" i="2"/>
  <c r="E1051" i="2"/>
  <c r="E1050" i="2"/>
  <c r="E1049" i="2"/>
  <c r="E1048" i="2"/>
  <c r="E1047" i="2"/>
  <c r="E1046" i="2"/>
  <c r="E1045" i="2"/>
  <c r="E1044" i="2"/>
  <c r="E1043" i="2"/>
  <c r="E1042" i="2"/>
  <c r="E1041" i="2"/>
  <c r="E1040" i="2"/>
  <c r="E1039" i="2"/>
  <c r="E1038" i="2"/>
  <c r="E1037" i="2"/>
  <c r="E1036" i="2"/>
  <c r="E1035" i="2"/>
  <c r="E1034" i="2"/>
  <c r="E1033" i="2"/>
  <c r="E1032" i="2"/>
  <c r="E1031" i="2"/>
  <c r="E1030" i="2"/>
  <c r="E1029" i="2"/>
  <c r="E1028" i="2"/>
  <c r="E1027" i="2"/>
  <c r="E1026" i="2"/>
  <c r="E1025" i="2"/>
  <c r="E1024" i="2"/>
  <c r="E1023" i="2"/>
  <c r="E1022" i="2"/>
  <c r="E1021" i="2"/>
  <c r="E1020" i="2"/>
  <c r="E1019" i="2"/>
  <c r="E1018" i="2"/>
  <c r="E1017" i="2"/>
  <c r="E1016" i="2"/>
  <c r="E1015" i="2"/>
  <c r="E1014" i="2"/>
  <c r="E1013" i="2"/>
  <c r="E1012" i="2"/>
  <c r="E1011" i="2"/>
  <c r="E1010" i="2"/>
  <c r="E1009" i="2"/>
  <c r="E1008" i="2"/>
  <c r="E1007" i="2"/>
  <c r="E1006" i="2"/>
  <c r="E1005" i="2"/>
  <c r="E1004" i="2"/>
  <c r="E1003" i="2"/>
  <c r="E1002" i="2"/>
  <c r="E1001" i="2"/>
  <c r="E1000" i="2"/>
  <c r="E999" i="2"/>
  <c r="E998" i="2"/>
  <c r="E997" i="2"/>
  <c r="E996" i="2"/>
  <c r="E995" i="2"/>
  <c r="E994" i="2"/>
  <c r="E993" i="2"/>
  <c r="E992" i="2"/>
  <c r="E991" i="2"/>
  <c r="E990" i="2"/>
  <c r="E989" i="2"/>
  <c r="E988" i="2"/>
  <c r="E987" i="2"/>
  <c r="E986" i="2"/>
  <c r="E985" i="2"/>
  <c r="E984" i="2"/>
  <c r="E983" i="2"/>
  <c r="E982" i="2"/>
  <c r="E981" i="2"/>
  <c r="E980" i="2"/>
  <c r="E979" i="2"/>
  <c r="E978" i="2"/>
  <c r="E977" i="2"/>
  <c r="E976" i="2"/>
  <c r="E975" i="2"/>
  <c r="E974" i="2"/>
  <c r="E973" i="2"/>
  <c r="E972" i="2"/>
  <c r="E971" i="2"/>
  <c r="E970" i="2"/>
  <c r="E969" i="2"/>
  <c r="E968" i="2"/>
  <c r="E967" i="2"/>
  <c r="E966" i="2"/>
  <c r="E965" i="2"/>
  <c r="E964" i="2"/>
  <c r="E963" i="2"/>
  <c r="E962" i="2"/>
  <c r="E961" i="2"/>
  <c r="E960" i="2"/>
  <c r="E959" i="2"/>
  <c r="E958" i="2"/>
  <c r="E957" i="2"/>
  <c r="E956" i="2"/>
  <c r="E955" i="2"/>
  <c r="E954" i="2"/>
  <c r="E953" i="2"/>
  <c r="E952" i="2"/>
  <c r="E951" i="2"/>
  <c r="E950" i="2"/>
  <c r="E949" i="2"/>
  <c r="E948" i="2"/>
  <c r="E947" i="2"/>
  <c r="E946" i="2"/>
  <c r="E945" i="2"/>
  <c r="E944" i="2"/>
  <c r="E943" i="2"/>
  <c r="E942" i="2"/>
  <c r="E941" i="2"/>
  <c r="E940" i="2"/>
  <c r="E939" i="2"/>
  <c r="E938" i="2"/>
  <c r="E937" i="2"/>
  <c r="E936" i="2"/>
  <c r="E935" i="2"/>
  <c r="E934" i="2"/>
  <c r="E933" i="2"/>
  <c r="E932" i="2"/>
  <c r="E931" i="2"/>
  <c r="E930" i="2"/>
  <c r="E929" i="2"/>
  <c r="E928" i="2"/>
  <c r="E927" i="2"/>
  <c r="E926" i="2"/>
  <c r="E925" i="2"/>
  <c r="E924" i="2"/>
  <c r="E923" i="2"/>
  <c r="E922" i="2"/>
  <c r="E921" i="2"/>
  <c r="E920" i="2"/>
  <c r="E919" i="2"/>
  <c r="E918" i="2"/>
  <c r="E917" i="2"/>
  <c r="E916" i="2"/>
  <c r="E915" i="2"/>
  <c r="E914" i="2"/>
  <c r="E913" i="2"/>
  <c r="E912" i="2"/>
  <c r="E911" i="2"/>
  <c r="E910" i="2"/>
  <c r="E909" i="2"/>
  <c r="E908" i="2"/>
  <c r="E907" i="2"/>
  <c r="E906" i="2"/>
  <c r="E905" i="2"/>
  <c r="E904" i="2"/>
  <c r="E903" i="2"/>
  <c r="E902" i="2"/>
  <c r="E901" i="2"/>
  <c r="E900" i="2"/>
  <c r="E899" i="2"/>
  <c r="E898" i="2"/>
  <c r="E897" i="2"/>
  <c r="E896" i="2"/>
  <c r="E895" i="2"/>
  <c r="E894" i="2"/>
  <c r="E893" i="2"/>
  <c r="E892" i="2"/>
  <c r="E891" i="2"/>
  <c r="E890" i="2"/>
  <c r="E889" i="2"/>
  <c r="E888" i="2"/>
  <c r="E887" i="2"/>
  <c r="E886" i="2"/>
  <c r="E885" i="2"/>
  <c r="E884" i="2"/>
  <c r="E883" i="2"/>
  <c r="E882" i="2"/>
  <c r="E881" i="2"/>
  <c r="E880" i="2"/>
  <c r="E879" i="2"/>
  <c r="E878" i="2"/>
  <c r="E877" i="2"/>
  <c r="E876" i="2"/>
  <c r="E875" i="2"/>
  <c r="E874" i="2"/>
  <c r="E873" i="2"/>
  <c r="E872" i="2"/>
  <c r="E871" i="2"/>
  <c r="E870" i="2"/>
  <c r="E869" i="2"/>
  <c r="E868" i="2"/>
  <c r="E867" i="2"/>
  <c r="E866" i="2"/>
  <c r="E865" i="2"/>
  <c r="E864" i="2"/>
  <c r="E863" i="2"/>
  <c r="E862" i="2"/>
  <c r="E861" i="2"/>
  <c r="E860" i="2"/>
  <c r="E859" i="2"/>
  <c r="E858" i="2"/>
  <c r="E857" i="2"/>
  <c r="E856" i="2"/>
  <c r="E855" i="2"/>
  <c r="E854" i="2"/>
  <c r="E853" i="2"/>
  <c r="E852" i="2"/>
  <c r="E851" i="2"/>
  <c r="E850" i="2"/>
  <c r="E849" i="2"/>
  <c r="E848" i="2"/>
  <c r="E847" i="2"/>
  <c r="E846" i="2"/>
  <c r="E845" i="2"/>
  <c r="E844" i="2"/>
  <c r="E843" i="2"/>
  <c r="E842" i="2"/>
  <c r="E841" i="2"/>
  <c r="E840" i="2"/>
  <c r="E839" i="2"/>
  <c r="E838" i="2"/>
  <c r="E837" i="2"/>
  <c r="E836" i="2"/>
  <c r="E835" i="2"/>
  <c r="E834" i="2"/>
  <c r="E833" i="2"/>
  <c r="E832" i="2"/>
  <c r="E831" i="2"/>
  <c r="E830" i="2"/>
  <c r="E829" i="2"/>
  <c r="E828" i="2"/>
  <c r="E827" i="2"/>
  <c r="E826" i="2"/>
  <c r="E825" i="2"/>
  <c r="E824" i="2"/>
  <c r="E823" i="2"/>
  <c r="E822" i="2"/>
  <c r="E821" i="2"/>
  <c r="E820" i="2"/>
  <c r="E819" i="2"/>
  <c r="E818" i="2"/>
  <c r="E817" i="2"/>
  <c r="E816" i="2"/>
  <c r="E815" i="2"/>
  <c r="E814" i="2"/>
  <c r="E813" i="2"/>
  <c r="E812" i="2"/>
  <c r="E811" i="2"/>
  <c r="E810" i="2"/>
  <c r="E809" i="2"/>
  <c r="E808" i="2"/>
  <c r="E807" i="2"/>
  <c r="E806" i="2"/>
  <c r="E805" i="2"/>
  <c r="E804" i="2"/>
  <c r="E803" i="2"/>
  <c r="E802" i="2"/>
  <c r="E801" i="2"/>
  <c r="E800" i="2"/>
  <c r="E799" i="2"/>
  <c r="E798" i="2"/>
  <c r="E797" i="2"/>
  <c r="E796" i="2"/>
  <c r="E795" i="2"/>
  <c r="E794" i="2"/>
  <c r="E793" i="2"/>
  <c r="E792" i="2"/>
  <c r="E791" i="2"/>
  <c r="E790" i="2"/>
  <c r="E789" i="2"/>
  <c r="E788" i="2"/>
  <c r="E787" i="2"/>
  <c r="E786" i="2"/>
  <c r="E785" i="2"/>
  <c r="E784" i="2"/>
  <c r="E783" i="2"/>
  <c r="E782" i="2"/>
  <c r="E781" i="2"/>
  <c r="E780" i="2"/>
  <c r="E779" i="2"/>
  <c r="E778" i="2"/>
  <c r="E777" i="2"/>
  <c r="E776" i="2"/>
  <c r="E775" i="2"/>
  <c r="E774" i="2"/>
  <c r="E773" i="2"/>
  <c r="E772" i="2"/>
  <c r="E771" i="2"/>
  <c r="E770" i="2"/>
  <c r="E769" i="2"/>
  <c r="E768" i="2"/>
  <c r="E767" i="2"/>
  <c r="E766" i="2"/>
  <c r="E765" i="2"/>
  <c r="E764" i="2"/>
  <c r="E763" i="2"/>
  <c r="E762" i="2"/>
  <c r="E761" i="2"/>
  <c r="E760" i="2"/>
  <c r="E759" i="2"/>
  <c r="E758" i="2"/>
  <c r="E757" i="2"/>
  <c r="E756" i="2"/>
  <c r="E755" i="2"/>
  <c r="E754" i="2"/>
  <c r="E753" i="2"/>
  <c r="E752" i="2"/>
  <c r="E751" i="2"/>
  <c r="E750" i="2"/>
  <c r="E749" i="2"/>
  <c r="E748" i="2"/>
  <c r="E747" i="2"/>
  <c r="E746" i="2"/>
  <c r="E745" i="2"/>
  <c r="E744" i="2"/>
  <c r="E743" i="2"/>
  <c r="E742" i="2"/>
  <c r="E741" i="2"/>
  <c r="E740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7" i="2"/>
  <c r="E726" i="2"/>
  <c r="E725" i="2"/>
  <c r="E724" i="2"/>
  <c r="E723" i="2"/>
  <c r="E722" i="2"/>
  <c r="E721" i="2"/>
  <c r="E720" i="2"/>
  <c r="E719" i="2"/>
  <c r="E718" i="2"/>
  <c r="E717" i="2"/>
  <c r="E716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E692" i="2"/>
  <c r="E691" i="2"/>
  <c r="E690" i="2"/>
  <c r="E689" i="2"/>
  <c r="E688" i="2"/>
  <c r="E687" i="2"/>
  <c r="E686" i="2"/>
  <c r="E685" i="2"/>
  <c r="E684" i="2"/>
  <c r="E683" i="2"/>
  <c r="E682" i="2"/>
  <c r="E681" i="2"/>
  <c r="E680" i="2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9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<sst xmlns="http://schemas.openxmlformats.org/spreadsheetml/2006/main" count="7852" uniqueCount="5357">
  <si>
    <t>国名</t>
  </si>
  <si>
    <t>公告期</t>
  </si>
  <si>
    <t>発表日</t>
  </si>
  <si>
    <t>商標番号</t>
  </si>
  <si>
    <t>商標名称</t>
  </si>
  <si>
    <t>申請人</t>
  </si>
  <si>
    <t>商品</t>
  </si>
  <si>
    <t>申請日</t>
  </si>
  <si>
    <t>No.</t>
    <phoneticPr fontId="1"/>
  </si>
  <si>
    <t>中国</t>
  </si>
  <si>
    <t>葡萄酒</t>
  </si>
  <si>
    <t>白酒</t>
  </si>
  <si>
    <r>
      <t>图</t>
    </r>
    <r>
      <rPr>
        <sz val="11"/>
        <color theme="1"/>
        <rFont val="ＭＳ Ｐゴシック"/>
        <family val="3"/>
        <charset val="128"/>
        <scheme val="minor"/>
      </rPr>
      <t>形</t>
    </r>
  </si>
  <si>
    <r>
      <t>河南仰韶酒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</si>
  <si>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州董酒股份有限公司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</si>
  <si>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</si>
  <si>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衡昌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</si>
  <si>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宜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食品工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</si>
  <si>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t>张龙</t>
  </si>
  <si>
    <r>
      <t>曹</t>
    </r>
    <r>
      <rPr>
        <sz val="11"/>
        <color theme="1"/>
        <rFont val="ＭＳ Ｐゴシック"/>
        <family val="3"/>
        <charset val="134"/>
        <scheme val="minor"/>
      </rPr>
      <t>鲒</t>
    </r>
  </si>
  <si>
    <r>
      <t>早安酒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(深圳)集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</si>
  <si>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王宝珍</t>
  </si>
  <si>
    <r>
      <t>张颖</t>
    </r>
    <r>
      <rPr>
        <sz val="11"/>
        <color theme="1"/>
        <rFont val="ＭＳ Ｐゴシック"/>
        <family val="3"/>
        <charset val="128"/>
        <scheme val="minor"/>
      </rPr>
      <t>欣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</si>
  <si>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沐琳</t>
    </r>
  </si>
  <si>
    <r>
      <t>北京青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士其文化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</si>
  <si>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美</t>
    </r>
    <r>
      <rPr>
        <sz val="11"/>
        <color theme="1"/>
        <rFont val="ＭＳ Ｐゴシック"/>
        <family val="3"/>
        <charset val="134"/>
        <scheme val="minor"/>
      </rPr>
      <t>婵</t>
    </r>
  </si>
  <si>
    <r>
      <t>肆拾玖坊（天津）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</si>
  <si>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吴</t>
    </r>
    <r>
      <rPr>
        <sz val="11"/>
        <color theme="1"/>
        <rFont val="ＭＳ Ｐゴシック"/>
        <family val="3"/>
        <charset val="134"/>
        <scheme val="minor"/>
      </rPr>
      <t>现辉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</si>
  <si>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州情景最藏酒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</si>
  <si>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</si>
  <si>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深圳一</t>
    </r>
    <r>
      <rPr>
        <sz val="11"/>
        <color theme="1"/>
        <rFont val="ＭＳ Ｐゴシック"/>
        <family val="3"/>
        <charset val="134"/>
        <scheme val="minor"/>
      </rPr>
      <t>鲸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</si>
  <si>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t>双喜（浙江）食品有限公司</t>
  </si>
  <si>
    <r>
      <t>陈</t>
    </r>
    <r>
      <rPr>
        <sz val="11"/>
        <color theme="1"/>
        <rFont val="ＭＳ Ｐゴシック"/>
        <family val="3"/>
        <charset val="128"/>
        <scheme val="minor"/>
      </rPr>
      <t>勇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</si>
  <si>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珑</t>
    </r>
    <r>
      <rPr>
        <sz val="11"/>
        <color theme="1"/>
        <rFont val="ＭＳ Ｐゴシック"/>
        <family val="3"/>
        <charset val="128"/>
        <scheme val="minor"/>
      </rPr>
      <t>昶酒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</si>
  <si>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钊</t>
    </r>
  </si>
  <si>
    <r>
      <t>邯</t>
    </r>
    <r>
      <rPr>
        <sz val="11"/>
        <color theme="1"/>
        <rFont val="ＭＳ Ｐゴシック"/>
        <family val="3"/>
        <charset val="134"/>
        <scheme val="minor"/>
      </rPr>
      <t>郸</t>
    </r>
    <r>
      <rPr>
        <sz val="11"/>
        <color theme="1"/>
        <rFont val="ＭＳ Ｐゴシック"/>
        <family val="3"/>
        <charset val="128"/>
        <scheme val="minor"/>
      </rPr>
      <t>酒道酒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</si>
  <si>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李俊萍******************</t>
  </si>
  <si>
    <r>
      <t>湖北省石花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酒股份有限公司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</si>
  <si>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震洲五醍</t>
    </r>
    <r>
      <rPr>
        <sz val="11"/>
        <color theme="1"/>
        <rFont val="ＭＳ Ｐゴシック"/>
        <family val="3"/>
        <charset val="134"/>
        <scheme val="minor"/>
      </rPr>
      <t>浆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</si>
  <si>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STARSHINE POWER</t>
  </si>
  <si>
    <r>
      <t>柏杜斯（广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）品牌运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</si>
  <si>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游不亦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乎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</si>
  <si>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越</t>
    </r>
  </si>
  <si>
    <r>
      <t>河南多朴酒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</si>
  <si>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森森</t>
    </r>
  </si>
  <si>
    <r>
      <t>利辛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展沟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玉玉</t>
    </r>
    <r>
      <rPr>
        <sz val="11"/>
        <color theme="1"/>
        <rFont val="ＭＳ Ｐゴシック"/>
        <family val="3"/>
        <charset val="134"/>
        <scheme val="minor"/>
      </rPr>
      <t>饭</t>
    </r>
    <r>
      <rPr>
        <sz val="11"/>
        <color theme="1"/>
        <rFont val="ＭＳ Ｐゴシック"/>
        <family val="3"/>
        <charset val="128"/>
        <scheme val="minor"/>
      </rPr>
      <t>店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</si>
  <si>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世博</t>
    </r>
  </si>
  <si>
    <t>杜金柱******************</t>
  </si>
  <si>
    <t>李金田</t>
  </si>
  <si>
    <t>袁浩平</t>
  </si>
  <si>
    <r>
      <t>张</t>
    </r>
    <r>
      <rPr>
        <sz val="11"/>
        <color theme="1"/>
        <rFont val="ＭＳ Ｐゴシック"/>
        <family val="3"/>
        <charset val="128"/>
        <scheme val="minor"/>
      </rPr>
      <t>旭朋</t>
    </r>
  </si>
  <si>
    <r>
      <t>中国</t>
    </r>
    <r>
      <rPr>
        <sz val="11"/>
        <color theme="1"/>
        <rFont val="ＭＳ Ｐゴシック"/>
        <family val="3"/>
        <charset val="134"/>
        <scheme val="minor"/>
      </rPr>
      <t>苏东</t>
    </r>
    <r>
      <rPr>
        <sz val="11"/>
        <color theme="1"/>
        <rFont val="ＭＳ Ｐゴシック"/>
        <family val="3"/>
        <charset val="128"/>
        <scheme val="minor"/>
      </rPr>
      <t>坡</t>
    </r>
    <r>
      <rPr>
        <sz val="11"/>
        <color theme="1"/>
        <rFont val="ＭＳ Ｐゴシック"/>
        <family val="3"/>
        <charset val="134"/>
        <scheme val="minor"/>
      </rPr>
      <t>书</t>
    </r>
    <r>
      <rPr>
        <sz val="11"/>
        <color theme="1"/>
        <rFont val="ＭＳ Ｐゴシック"/>
        <family val="3"/>
        <charset val="128"/>
        <scheme val="minor"/>
      </rPr>
      <t>院集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</si>
  <si>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河北大良建筑装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工程有限公司</t>
    </r>
  </si>
  <si>
    <r>
      <t>上海茅董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</si>
  <si>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t>孟宇晴</t>
  </si>
  <si>
    <t>李奎佑</t>
  </si>
  <si>
    <t>洪志芬</t>
  </si>
  <si>
    <t>袁程旭</t>
  </si>
  <si>
    <r>
      <t>石振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</si>
  <si>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州云智酒</t>
    </r>
    <r>
      <rPr>
        <sz val="11"/>
        <color theme="1"/>
        <rFont val="ＭＳ Ｐゴシック"/>
        <family val="3"/>
        <charset val="134"/>
        <scheme val="minor"/>
      </rPr>
      <t>类</t>
    </r>
    <r>
      <rPr>
        <sz val="11"/>
        <color theme="1"/>
        <rFont val="ＭＳ Ｐゴシック"/>
        <family val="3"/>
        <charset val="128"/>
        <scheme val="minor"/>
      </rPr>
      <t>品牌管理咨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</si>
  <si>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州京</t>
    </r>
    <r>
      <rPr>
        <sz val="11"/>
        <color theme="1"/>
        <rFont val="ＭＳ Ｐゴシック"/>
        <family val="3"/>
        <charset val="134"/>
        <scheme val="minor"/>
      </rPr>
      <t>谭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</si>
  <si>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广州市紫曦企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</si>
  <si>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州九暹酒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</si>
  <si>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绍兴</t>
    </r>
    <r>
      <rPr>
        <sz val="11"/>
        <color theme="1"/>
        <rFont val="ＭＳ Ｐゴシック"/>
        <family val="3"/>
        <charset val="128"/>
        <scheme val="minor"/>
      </rPr>
      <t>市上虞安渡酒厂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</si>
  <si>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茂安******************</t>
    </r>
  </si>
  <si>
    <r>
      <t>宁波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德航运有限公司</t>
    </r>
  </si>
  <si>
    <t>老湘村</t>
  </si>
  <si>
    <r>
      <t>邹</t>
    </r>
    <r>
      <rPr>
        <sz val="11"/>
        <color theme="1"/>
        <rFont val="ＭＳ Ｐゴシック"/>
        <family val="3"/>
        <charset val="128"/>
        <scheme val="minor"/>
      </rPr>
      <t>湘波</t>
    </r>
  </si>
  <si>
    <t>秦永文</t>
  </si>
  <si>
    <r>
      <t>杨</t>
    </r>
    <r>
      <rPr>
        <sz val="11"/>
        <color theme="1"/>
        <rFont val="ＭＳ Ｐゴシック"/>
        <family val="3"/>
        <charset val="128"/>
        <scheme val="minor"/>
      </rPr>
      <t>元</t>
    </r>
    <r>
      <rPr>
        <sz val="11"/>
        <color theme="1"/>
        <rFont val="ＭＳ Ｐゴシック"/>
        <family val="3"/>
        <charset val="134"/>
        <scheme val="minor"/>
      </rPr>
      <t>庆</t>
    </r>
  </si>
  <si>
    <t>牛朝阳</t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</si>
  <si>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轻</t>
    </r>
    <r>
      <rPr>
        <sz val="11"/>
        <color theme="1"/>
        <rFont val="ＭＳ Ｐゴシック"/>
        <family val="3"/>
        <charset val="128"/>
        <scheme val="minor"/>
      </rPr>
      <t>盟科技有限公司</t>
    </r>
  </si>
  <si>
    <r>
      <t>哈</t>
    </r>
    <r>
      <rPr>
        <sz val="11"/>
        <color theme="1"/>
        <rFont val="ＭＳ Ｐゴシック"/>
        <family val="3"/>
        <charset val="134"/>
        <scheme val="minor"/>
      </rPr>
      <t>尔滨问</t>
    </r>
    <r>
      <rPr>
        <sz val="11"/>
        <color theme="1"/>
        <rFont val="ＭＳ Ｐゴシック"/>
        <family val="3"/>
        <charset val="128"/>
        <scheme val="minor"/>
      </rPr>
      <t>天品牌管理有限公司</t>
    </r>
  </si>
  <si>
    <r>
      <t>乔</t>
    </r>
    <r>
      <rPr>
        <sz val="11"/>
        <color theme="1"/>
        <rFont val="ＭＳ Ｐゴシック"/>
        <family val="3"/>
        <charset val="128"/>
        <scheme val="minor"/>
      </rPr>
      <t>增燃</t>
    </r>
  </si>
  <si>
    <r>
      <t>和聚名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（温州）有限公司</t>
    </r>
  </si>
  <si>
    <t>永和公司</t>
  </si>
  <si>
    <r>
      <t>郭玉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</si>
  <si>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</si>
  <si>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亮亮</t>
    </r>
  </si>
  <si>
    <t>张连</t>
  </si>
  <si>
    <r>
      <t>徐</t>
    </r>
    <r>
      <rPr>
        <sz val="11"/>
        <color theme="1"/>
        <rFont val="ＭＳ Ｐゴシック"/>
        <family val="3"/>
        <charset val="134"/>
        <scheme val="minor"/>
      </rPr>
      <t>刚</t>
    </r>
  </si>
  <si>
    <t>宜非液</t>
  </si>
  <si>
    <r>
      <t>四川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君信</t>
    </r>
    <r>
      <rPr>
        <sz val="11"/>
        <color theme="1"/>
        <rFont val="ＭＳ Ｐゴシック"/>
        <family val="3"/>
        <charset val="134"/>
        <scheme val="minor"/>
      </rPr>
      <t>赢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</si>
  <si>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宿迁市</t>
    </r>
    <r>
      <rPr>
        <sz val="11"/>
        <color theme="1"/>
        <rFont val="ＭＳ Ｐゴシック"/>
        <family val="3"/>
        <charset val="134"/>
        <scheme val="minor"/>
      </rPr>
      <t>汉贡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</si>
  <si>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杭州杭嘉文化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</si>
  <si>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>银</t>
    </r>
    <r>
      <rPr>
        <sz val="11"/>
        <color theme="1"/>
        <rFont val="ＭＳ Ｐゴシック"/>
        <family val="3"/>
        <charset val="128"/>
        <scheme val="minor"/>
      </rPr>
      <t>川灵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机械</t>
    </r>
    <r>
      <rPr>
        <sz val="11"/>
        <color theme="1"/>
        <rFont val="ＭＳ Ｐゴシック"/>
        <family val="3"/>
        <charset val="134"/>
        <scheme val="minor"/>
      </rPr>
      <t>设备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</si>
  <si>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州市吴家酒酒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</si>
  <si>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四川酒</t>
    </r>
    <r>
      <rPr>
        <sz val="11"/>
        <color theme="1"/>
        <rFont val="ＭＳ Ｐゴシック"/>
        <family val="3"/>
        <charset val="134"/>
        <scheme val="minor"/>
      </rPr>
      <t>链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</si>
  <si>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>张红</t>
    </r>
    <r>
      <rPr>
        <sz val="11"/>
        <color theme="1"/>
        <rFont val="ＭＳ Ｐゴシック"/>
        <family val="3"/>
        <charset val="128"/>
        <scheme val="minor"/>
      </rPr>
      <t>清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</si>
  <si>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元林</t>
    </r>
  </si>
  <si>
    <r>
      <t>陆</t>
    </r>
    <r>
      <rPr>
        <sz val="11"/>
        <color theme="1"/>
        <rFont val="ＭＳ Ｐゴシック"/>
        <family val="3"/>
        <charset val="128"/>
        <scheme val="minor"/>
      </rPr>
      <t>文才</t>
    </r>
  </si>
  <si>
    <t>向粤豪</t>
  </si>
  <si>
    <t>李保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</si>
  <si>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灏</t>
    </r>
    <r>
      <rPr>
        <sz val="11"/>
        <color theme="1"/>
        <rFont val="ＭＳ Ｐゴシック"/>
        <family val="3"/>
        <charset val="128"/>
        <scheme val="minor"/>
      </rPr>
      <t>星达文化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</si>
  <si>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杭州安小乙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出口有限公司</t>
    </r>
  </si>
  <si>
    <r>
      <t>河南鼎智酒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</si>
  <si>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芦溪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一村食品有限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</si>
  <si>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丽</t>
    </r>
  </si>
  <si>
    <t>周广兆</t>
  </si>
  <si>
    <r>
      <t>湖南能士商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</si>
  <si>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广州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</si>
  <si>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西游西米（北京）文化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</si>
  <si>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群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</si>
  <si>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沙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光里企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</si>
  <si>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静</t>
    </r>
    <r>
      <rPr>
        <sz val="11"/>
        <color theme="1"/>
        <rFont val="ＭＳ Ｐゴシック"/>
        <family val="3"/>
        <charset val="134"/>
        <scheme val="minor"/>
      </rPr>
      <t>亚</t>
    </r>
  </si>
  <si>
    <r>
      <t>杰捷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特（上海）酒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</si>
  <si>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上</t>
    </r>
    <r>
      <rPr>
        <sz val="11"/>
        <color theme="1"/>
        <rFont val="ＭＳ Ｐゴシック"/>
        <family val="3"/>
        <charset val="134"/>
        <scheme val="minor"/>
      </rPr>
      <t>龙凤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</si>
  <si>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智</t>
    </r>
    <r>
      <rPr>
        <sz val="11"/>
        <color theme="1"/>
        <rFont val="ＭＳ Ｐゴシック"/>
        <family val="3"/>
        <charset val="134"/>
        <scheme val="minor"/>
      </rPr>
      <t>劲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</si>
  <si>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杨贝</t>
    </r>
    <r>
      <rPr>
        <sz val="11"/>
        <color theme="1"/>
        <rFont val="ＭＳ Ｐゴシック"/>
        <family val="3"/>
        <charset val="128"/>
        <scheme val="minor"/>
      </rPr>
      <t>利</t>
    </r>
  </si>
  <si>
    <t>邵大子</t>
  </si>
  <si>
    <r>
      <t>济</t>
    </r>
    <r>
      <rPr>
        <sz val="11"/>
        <color theme="1"/>
        <rFont val="ＭＳ Ｐゴシック"/>
        <family val="3"/>
        <charset val="128"/>
        <scheme val="minor"/>
      </rPr>
      <t>南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世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</si>
  <si>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刘燕妮******************</t>
  </si>
  <si>
    <r>
      <t>流</t>
    </r>
    <r>
      <rPr>
        <sz val="11"/>
        <color theme="1"/>
        <rFont val="ＭＳ Ｐゴシック"/>
        <family val="3"/>
        <charset val="134"/>
        <scheme val="minor"/>
      </rPr>
      <t>动创艺</t>
    </r>
    <r>
      <rPr>
        <sz val="11"/>
        <color theme="1"/>
        <rFont val="ＭＳ Ｐゴシック"/>
        <family val="3"/>
        <charset val="128"/>
        <scheme val="minor"/>
      </rPr>
      <t>（厦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</si>
  <si>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上海得</t>
    </r>
    <r>
      <rPr>
        <sz val="11"/>
        <color theme="1"/>
        <rFont val="ＭＳ Ｐゴシック"/>
        <family val="3"/>
        <charset val="134"/>
        <scheme val="minor"/>
      </rPr>
      <t>飞贸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</si>
  <si>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文宝</t>
    </r>
  </si>
  <si>
    <r>
      <t>湖南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凰情品牌管理有限公司</t>
    </r>
  </si>
  <si>
    <t>曾志林</t>
  </si>
  <si>
    <t>南佐部落</t>
  </si>
  <si>
    <r>
      <t>庆</t>
    </r>
    <r>
      <rPr>
        <sz val="11"/>
        <color theme="1"/>
        <rFont val="ＭＳ Ｐゴシック"/>
        <family val="3"/>
        <charset val="128"/>
        <scheme val="minor"/>
      </rPr>
      <t>阳南佐部落文化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</si>
  <si>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蒋春燕</t>
  </si>
  <si>
    <r>
      <t>李</t>
    </r>
    <r>
      <rPr>
        <sz val="11"/>
        <color theme="1"/>
        <rFont val="ＭＳ Ｐゴシック"/>
        <family val="3"/>
        <charset val="134"/>
        <scheme val="minor"/>
      </rPr>
      <t>帅</t>
    </r>
  </si>
  <si>
    <r>
      <t>汤</t>
    </r>
    <r>
      <rPr>
        <sz val="11"/>
        <color theme="1"/>
        <rFont val="ＭＳ Ｐゴシック"/>
        <family val="3"/>
        <charset val="128"/>
        <scheme val="minor"/>
      </rPr>
      <t>明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</si>
  <si>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庆红庐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</si>
  <si>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胡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雄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</si>
  <si>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庆飞</t>
    </r>
    <r>
      <rPr>
        <sz val="11"/>
        <color theme="1"/>
        <rFont val="ＭＳ Ｐゴシック"/>
        <family val="3"/>
        <charset val="128"/>
        <scheme val="minor"/>
      </rPr>
      <t>越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品食品有限公司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</si>
  <si>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川</t>
    </r>
  </si>
  <si>
    <t>黄俊波</t>
  </si>
  <si>
    <r>
      <t>黄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太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</si>
  <si>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州茅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</si>
  <si>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t>陈传龙</t>
  </si>
  <si>
    <r>
      <t>淮安国酒文化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</si>
  <si>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邵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和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</si>
  <si>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州花</t>
    </r>
    <r>
      <rPr>
        <sz val="11"/>
        <color theme="1"/>
        <rFont val="ＭＳ Ｐゴシック"/>
        <family val="3"/>
        <charset val="134"/>
        <scheme val="minor"/>
      </rPr>
      <t>浓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</si>
  <si>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岳文杰******************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</si>
  <si>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太极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）股份有限公司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</si>
  <si>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云慕</t>
    </r>
  </si>
  <si>
    <r>
      <t>蒽月商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（上海）有限公司</t>
    </r>
  </si>
  <si>
    <r>
      <t>美旅人商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</si>
  <si>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米玉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</si>
  <si>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平</t>
    </r>
    <r>
      <rPr>
        <sz val="11"/>
        <color theme="1"/>
        <rFont val="ＭＳ Ｐゴシック"/>
        <family val="3"/>
        <charset val="134"/>
        <scheme val="minor"/>
      </rPr>
      <t>舆县</t>
    </r>
    <r>
      <rPr>
        <sz val="11"/>
        <color theme="1"/>
        <rFont val="ＭＳ Ｐゴシック"/>
        <family val="3"/>
        <charset val="128"/>
        <scheme val="minor"/>
      </rPr>
      <t>李保民商店</t>
    </r>
  </si>
  <si>
    <t>建德市浪舟酒厂有限公司</t>
  </si>
  <si>
    <r>
      <t>西安浩</t>
    </r>
    <r>
      <rPr>
        <sz val="11"/>
        <color theme="1"/>
        <rFont val="ＭＳ Ｐゴシック"/>
        <family val="3"/>
        <charset val="134"/>
        <scheme val="minor"/>
      </rPr>
      <t>铧</t>
    </r>
    <r>
      <rPr>
        <sz val="11"/>
        <color theme="1"/>
        <rFont val="ＭＳ Ｐゴシック"/>
        <family val="3"/>
        <charset val="128"/>
        <scheme val="minor"/>
      </rPr>
      <t>园林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化工程有限公司</t>
    </r>
  </si>
  <si>
    <r>
      <t>资</t>
    </r>
    <r>
      <rPr>
        <sz val="11"/>
        <color theme="1"/>
        <rFont val="ＭＳ Ｐゴシック"/>
        <family val="3"/>
        <charset val="128"/>
        <scheme val="minor"/>
      </rPr>
      <t>中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君子泉酒厂</t>
    </r>
  </si>
  <si>
    <t>毛燕杰</t>
  </si>
  <si>
    <r>
      <t>王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玲</t>
    </r>
  </si>
  <si>
    <r>
      <t>魏</t>
    </r>
    <r>
      <rPr>
        <sz val="11"/>
        <color theme="1"/>
        <rFont val="ＭＳ Ｐゴシック"/>
        <family val="3"/>
        <charset val="134"/>
        <scheme val="minor"/>
      </rPr>
      <t>晓东</t>
    </r>
  </si>
  <si>
    <t>陈贝贝</t>
  </si>
  <si>
    <r>
      <t>辽</t>
    </r>
    <r>
      <rPr>
        <sz val="11"/>
        <color theme="1"/>
        <rFont val="ＭＳ Ｐゴシック"/>
        <family val="3"/>
        <charset val="128"/>
        <scheme val="minor"/>
      </rPr>
      <t>宁大</t>
    </r>
    <r>
      <rPr>
        <sz val="11"/>
        <color theme="1"/>
        <rFont val="ＭＳ Ｐゴシック"/>
        <family val="3"/>
        <charset val="134"/>
        <scheme val="minor"/>
      </rPr>
      <t>连润尧</t>
    </r>
    <r>
      <rPr>
        <sz val="11"/>
        <color theme="1"/>
        <rFont val="ＭＳ Ｐゴシック"/>
        <family val="3"/>
        <charset val="128"/>
        <scheme val="minor"/>
      </rPr>
      <t>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</si>
  <si>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成都九谷品牌</t>
    </r>
    <r>
      <rPr>
        <sz val="11"/>
        <color theme="1"/>
        <rFont val="ＭＳ Ｐゴシック"/>
        <family val="3"/>
        <charset val="134"/>
        <scheme val="minor"/>
      </rPr>
      <t>设计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</si>
  <si>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王利</t>
    </r>
    <r>
      <rPr>
        <sz val="11"/>
        <color theme="1"/>
        <rFont val="ＭＳ Ｐゴシック"/>
        <family val="3"/>
        <charset val="129"/>
        <scheme val="minor"/>
      </rPr>
      <t>洁</t>
    </r>
  </si>
  <si>
    <r>
      <t>胡</t>
    </r>
    <r>
      <rPr>
        <sz val="11"/>
        <color theme="1"/>
        <rFont val="ＭＳ Ｐゴシック"/>
        <family val="3"/>
        <charset val="134"/>
        <scheme val="minor"/>
      </rPr>
      <t>颖</t>
    </r>
    <r>
      <rPr>
        <sz val="11"/>
        <color theme="1"/>
        <rFont val="ＭＳ Ｐゴシック"/>
        <family val="3"/>
        <charset val="128"/>
        <scheme val="minor"/>
      </rPr>
      <t>超</t>
    </r>
  </si>
  <si>
    <t>林泊舟</t>
  </si>
  <si>
    <t>樊小雄</t>
  </si>
  <si>
    <r>
      <t>沧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沥</t>
    </r>
    <r>
      <rPr>
        <sz val="11"/>
        <color theme="1"/>
        <rFont val="ＭＳ Ｐゴシック"/>
        <family val="3"/>
        <charset val="128"/>
        <scheme val="minor"/>
      </rPr>
      <t>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</si>
  <si>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杭州西湖十景食品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料有限公司</t>
    </r>
  </si>
  <si>
    <t>平湖秋月</t>
  </si>
  <si>
    <r>
      <t>广州黄</t>
    </r>
    <r>
      <rPr>
        <sz val="11"/>
        <color theme="1"/>
        <rFont val="ＭＳ Ｐゴシック"/>
        <family val="3"/>
        <charset val="134"/>
        <scheme val="minor"/>
      </rPr>
      <t>飞鸿</t>
    </r>
    <r>
      <rPr>
        <sz val="11"/>
        <color theme="1"/>
        <rFont val="ＭＳ Ｐゴシック"/>
        <family val="3"/>
        <charset val="128"/>
        <scheme val="minor"/>
      </rPr>
      <t>品牌推广有限公司</t>
    </r>
  </si>
  <si>
    <t>赵红卫</t>
  </si>
  <si>
    <r>
      <t>广西南宁</t>
    </r>
    <r>
      <rPr>
        <sz val="11"/>
        <color theme="1"/>
        <rFont val="ＭＳ Ｐゴシック"/>
        <family val="3"/>
        <charset val="134"/>
        <scheme val="minor"/>
      </rPr>
      <t>汇发</t>
    </r>
    <r>
      <rPr>
        <sz val="11"/>
        <color theme="1"/>
        <rFont val="ＭＳ Ｐゴシック"/>
        <family val="3"/>
        <charset val="128"/>
        <scheme val="minor"/>
      </rPr>
      <t>置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</si>
  <si>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吉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</si>
  <si>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杨润</t>
    </r>
    <r>
      <rPr>
        <sz val="11"/>
        <color theme="1"/>
        <rFont val="ＭＳ Ｐゴシック"/>
        <family val="3"/>
        <charset val="128"/>
        <scheme val="minor"/>
      </rPr>
      <t>林</t>
    </r>
  </si>
  <si>
    <t>胡乃念</t>
  </si>
  <si>
    <t>王园园</t>
  </si>
  <si>
    <t>潘万程</t>
  </si>
  <si>
    <t>富富富</t>
  </si>
  <si>
    <r>
      <t>富山</t>
    </r>
    <r>
      <rPr>
        <sz val="11"/>
        <color theme="1"/>
        <rFont val="ＭＳ Ｐゴシック"/>
        <family val="3"/>
        <charset val="134"/>
        <scheme val="minor"/>
      </rPr>
      <t>县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</si>
  <si>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五加皮酒（中国混合烈酒）; 威士忌; 果酒; 利口酒;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伏特加酒</t>
    </r>
  </si>
  <si>
    <t>FURST VON METTERNICH-WINNEBURG'SCHE DOMANE SCHLOSS JOHANNISBERG</t>
  </si>
  <si>
    <r>
      <t>梅特涅温伯格</t>
    </r>
    <r>
      <rPr>
        <sz val="11"/>
        <color theme="1"/>
        <rFont val="ＭＳ Ｐゴシック"/>
        <family val="3"/>
        <charset val="134"/>
        <scheme val="minor"/>
      </rPr>
      <t>诗贵</t>
    </r>
    <r>
      <rPr>
        <sz val="11"/>
        <color theme="1"/>
        <rFont val="ＭＳ Ｐゴシック"/>
        <family val="3"/>
        <charset val="128"/>
        <scheme val="minor"/>
      </rPr>
      <t>族州立</t>
    </r>
    <r>
      <rPr>
        <sz val="11"/>
        <color theme="1"/>
        <rFont val="ＭＳ Ｐゴシック"/>
        <family val="3"/>
        <charset val="134"/>
        <scheme val="minor"/>
      </rPr>
      <t>约</t>
    </r>
    <r>
      <rPr>
        <sz val="11"/>
        <color theme="1"/>
        <rFont val="ＭＳ Ｐゴシック"/>
        <family val="3"/>
        <charset val="128"/>
        <scheme val="minor"/>
      </rPr>
      <t>翰山堡公司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</si>
  <si>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起泡葡萄酒; 葡萄酒</t>
    </r>
  </si>
  <si>
    <t>益禾堂</t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</si>
  <si>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熠</t>
    </r>
    <r>
      <rPr>
        <sz val="11"/>
        <color theme="1"/>
        <rFont val="ＭＳ Ｐゴシック"/>
        <family val="3"/>
        <charset val="134"/>
        <scheme val="minor"/>
      </rPr>
      <t>汇饮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</si>
  <si>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水果汽酒; 米酒; 食用酒精;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</si>
  <si>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酒都淳</t>
  </si>
  <si>
    <r>
      <t>太原子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</si>
  <si>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烈酒; 烈性干酒;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高粱酒;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</t>
    </r>
  </si>
  <si>
    <t>民台王子</t>
  </si>
  <si>
    <r>
      <t>石春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</si>
  <si>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甜果酒; 黄酒;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梨酒</t>
    </r>
  </si>
  <si>
    <t>海天梦</t>
  </si>
  <si>
    <r>
      <t>佛山市海天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味食品股份有限公司</t>
    </r>
  </si>
  <si>
    <r>
      <t>米酒;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清酒（日本米酒）; 食用酒精;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</si>
  <si>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年真喜</t>
  </si>
  <si>
    <t>付</t>
  </si>
  <si>
    <r>
      <t>肖</t>
    </r>
    <r>
      <rPr>
        <sz val="11"/>
        <color theme="1"/>
        <rFont val="ＭＳ Ｐゴシック"/>
        <family val="3"/>
        <charset val="134"/>
        <scheme val="minor"/>
      </rPr>
      <t>绪</t>
    </r>
    <r>
      <rPr>
        <sz val="11"/>
        <color theme="1"/>
        <rFont val="ＭＳ Ｐゴシック"/>
        <family val="3"/>
        <charset val="128"/>
        <scheme val="minor"/>
      </rPr>
      <t>全</t>
    </r>
  </si>
  <si>
    <t>明朝朱元璋</t>
  </si>
  <si>
    <r>
      <t>南京朱元璋酒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</si>
  <si>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白酒; 利口酒;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</si>
  <si>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JAMIXIPA佳秘康</t>
  </si>
  <si>
    <r>
      <t>阿卜杜艾</t>
    </r>
    <r>
      <rPr>
        <sz val="11"/>
        <color theme="1"/>
        <rFont val="ＭＳ Ｐゴシック"/>
        <family val="3"/>
        <charset val="134"/>
        <scheme val="minor"/>
      </rPr>
      <t>则</t>
    </r>
    <r>
      <rPr>
        <sz val="11"/>
        <color theme="1"/>
        <rFont val="ＭＳ Ｐゴシック"/>
        <family val="3"/>
        <charset val="128"/>
        <scheme val="minor"/>
      </rPr>
      <t>孜·阿卜杜喀日木</t>
    </r>
  </si>
  <si>
    <r>
      <t>开胃酒; 葡萄酒;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食用酒精;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</t>
    </r>
  </si>
  <si>
    <t>袋鼠家</t>
  </si>
  <si>
    <t>北京三快科技有限公司</t>
  </si>
  <si>
    <r>
      <t>果酒（含酒精）;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白酒; 清酒（日本米酒）; 米酒; 朗姆酒;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</si>
  <si>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伊牌特</t>
  </si>
  <si>
    <r>
      <t>新疆伊力特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</si>
  <si>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白酒;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烈酒; 葡萄酒</t>
    </r>
  </si>
  <si>
    <r>
      <t>问</t>
    </r>
    <r>
      <rPr>
        <sz val="11"/>
        <color theme="1"/>
        <rFont val="ＭＳ Ｐゴシック"/>
        <family val="3"/>
        <charset val="128"/>
        <scheme val="minor"/>
      </rPr>
      <t>安</t>
    </r>
  </si>
  <si>
    <r>
      <t>枝江市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泉堂商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</si>
  <si>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清酒（日本米酒）;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葡萄酒; 威士忌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</si>
  <si>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昌</t>
    </r>
  </si>
  <si>
    <t>李花</t>
  </si>
  <si>
    <r>
      <t>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</si>
  <si>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情景酒 年藏真基</t>
    </r>
    <r>
      <rPr>
        <sz val="11"/>
        <color theme="1"/>
        <rFont val="ＭＳ Ｐゴシック"/>
        <family val="3"/>
        <charset val="134"/>
        <scheme val="minor"/>
      </rPr>
      <t>龄</t>
    </r>
    <r>
      <rPr>
        <sz val="11"/>
        <color theme="1"/>
        <rFont val="ＭＳ Ｐゴシック"/>
        <family val="3"/>
        <charset val="128"/>
        <scheme val="minor"/>
      </rPr>
      <t xml:space="preserve"> Y30</t>
    </r>
  </si>
  <si>
    <r>
      <t>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米酒</t>
    </r>
  </si>
  <si>
    <t>上酒公子</t>
  </si>
  <si>
    <r>
      <t>喜多多（洛阳）健康科技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</si>
  <si>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</t>
    </r>
  </si>
  <si>
    <t>年芳</t>
  </si>
  <si>
    <r>
      <t>上海商</t>
    </r>
    <r>
      <rPr>
        <sz val="11"/>
        <color theme="1"/>
        <rFont val="ＭＳ Ｐゴシック"/>
        <family val="3"/>
        <charset val="134"/>
        <scheme val="minor"/>
      </rPr>
      <t>汤</t>
    </r>
    <r>
      <rPr>
        <sz val="11"/>
        <color theme="1"/>
        <rFont val="ＭＳ Ｐゴシック"/>
        <family val="3"/>
        <charset val="128"/>
        <scheme val="minor"/>
      </rPr>
      <t>智能科技有限公司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</si>
  <si>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不起泡葡萄酒</t>
    </r>
  </si>
  <si>
    <t>中寅御鼎</t>
  </si>
  <si>
    <r>
      <t>王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波</t>
    </r>
  </si>
  <si>
    <r>
      <t>葡萄酒;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</si>
  <si>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圳酒</t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</si>
  <si>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泰永盛科技文化有限公司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</si>
  <si>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朗姆酒; 蒸煮提取物（利口酒和烈酒）; 葡萄酒; 苹果酒;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</si>
  <si>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九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 xml:space="preserve">礼 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礼氿 酎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礼 酒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 xml:space="preserve">礼 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礼酒 牌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 xml:space="preserve">礼 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之礼</t>
    </r>
  </si>
  <si>
    <t>中国双喜（控股）股份有限公司</t>
  </si>
  <si>
    <r>
      <t xml:space="preserve">黄酒; 果酒;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清酒; 葡萄酒; 白酒; 米酒</t>
    </r>
  </si>
  <si>
    <t>沂州八景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</si>
  <si>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沂州府酒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</si>
  <si>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</si>
  <si>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州香</t>
    </r>
  </si>
  <si>
    <r>
      <t>河北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州香小米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</si>
  <si>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开胃酒; 葡萄酒; 清酒; 黄酒; 白酒; 果酒（含酒精）; 混合威士忌酒; 伏特加酒</t>
    </r>
  </si>
  <si>
    <t>DOMAINE CURRY</t>
  </si>
  <si>
    <r>
      <t>缇</t>
    </r>
    <r>
      <rPr>
        <sz val="11"/>
        <color theme="1"/>
        <rFont val="ＭＳ Ｐゴシック"/>
        <family val="3"/>
        <charset val="128"/>
        <scheme val="minor"/>
      </rPr>
      <t>珀沃喜公司</t>
    </r>
  </si>
  <si>
    <t>旺来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</si>
  <si>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葡萄酒; 黄酒;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</si>
  <si>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年 酒 真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古</t>
    </r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</si>
  <si>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汽酒</t>
    </r>
  </si>
  <si>
    <r>
      <t>雪花嘉</t>
    </r>
    <r>
      <rPr>
        <sz val="11"/>
        <color theme="1"/>
        <rFont val="ＭＳ Ｐゴシック"/>
        <family val="3"/>
        <charset val="134"/>
        <scheme val="minor"/>
      </rPr>
      <t>宾</t>
    </r>
  </si>
  <si>
    <r>
      <t>徐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海</t>
    </r>
  </si>
  <si>
    <r>
      <t>米酒; 开胃酒;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葡萄酒;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</si>
  <si>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希望的大地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</si>
  <si>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地</t>
    </r>
    <r>
      <rPr>
        <sz val="11"/>
        <color theme="1"/>
        <rFont val="ＭＳ Ｐゴシック"/>
        <family val="3"/>
        <charset val="134"/>
        <scheme val="minor"/>
      </rPr>
      <t>标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</si>
  <si>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伏特加酒</t>
    </r>
  </si>
  <si>
    <r>
      <t>圆</t>
    </r>
    <r>
      <rPr>
        <sz val="11"/>
        <color theme="1"/>
        <rFont val="ＭＳ Ｐゴシック"/>
        <family val="3"/>
        <charset val="128"/>
        <scheme val="minor"/>
      </rPr>
      <t>山大</t>
    </r>
    <r>
      <rPr>
        <sz val="11"/>
        <color theme="1"/>
        <rFont val="ＭＳ Ｐゴシック"/>
        <family val="3"/>
        <charset val="134"/>
        <scheme val="minor"/>
      </rPr>
      <t>饭</t>
    </r>
    <r>
      <rPr>
        <sz val="11"/>
        <color theme="1"/>
        <rFont val="ＭＳ Ｐゴシック"/>
        <family val="3"/>
        <charset val="128"/>
        <scheme val="minor"/>
      </rPr>
      <t>店 THE GRAND HOTEL</t>
    </r>
  </si>
  <si>
    <r>
      <t>财团</t>
    </r>
    <r>
      <rPr>
        <sz val="11"/>
        <color theme="1"/>
        <rFont val="ＭＳ Ｐゴシック"/>
        <family val="3"/>
        <charset val="128"/>
        <scheme val="minor"/>
      </rPr>
      <t>法人台湾敦睦</t>
    </r>
    <r>
      <rPr>
        <sz val="11"/>
        <color theme="1"/>
        <rFont val="ＭＳ Ｐゴシック"/>
        <family val="3"/>
        <charset val="134"/>
        <scheme val="minor"/>
      </rPr>
      <t>联谊</t>
    </r>
    <r>
      <rPr>
        <sz val="11"/>
        <color theme="1"/>
        <rFont val="ＭＳ Ｐゴシック"/>
        <family val="3"/>
        <charset val="128"/>
        <scheme val="minor"/>
      </rPr>
      <t>会</t>
    </r>
  </si>
  <si>
    <r>
      <t>蒸煮提取物（利口酒和烈酒）; 混合威士忌酒; 果酒（含酒精）; 高粱酒; 威士忌; 加烈葡萄酒;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麦芽威士忌</t>
    </r>
  </si>
  <si>
    <t>溪花古窖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</si>
  <si>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州市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香园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味食品有限公司</t>
    </r>
  </si>
  <si>
    <r>
      <t>果酒（含酒精）; 葡萄酒;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蒸煮提取物（利口酒和烈酒）;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</si>
  <si>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百村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</si>
  <si>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海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土地整治有限公司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</si>
  <si>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伏特加酒;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</si>
  <si>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有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之地</t>
    </r>
  </si>
  <si>
    <r>
      <t>中宏网元（昆明）文化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</si>
  <si>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</si>
  <si>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泽</t>
    </r>
    <r>
      <rPr>
        <sz val="11"/>
        <color theme="1"/>
        <rFont val="ＭＳ Ｐゴシック"/>
        <family val="3"/>
        <charset val="128"/>
        <scheme val="minor"/>
      </rPr>
      <t>生王子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</si>
  <si>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镇泽</t>
    </r>
    <r>
      <rPr>
        <sz val="11"/>
        <color theme="1"/>
        <rFont val="ＭＳ Ｐゴシック"/>
        <family val="3"/>
        <charset val="128"/>
        <scheme val="minor"/>
      </rPr>
      <t>生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</si>
  <si>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高粱酒;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食用酒精;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</si>
  <si>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铁</t>
    </r>
    <r>
      <rPr>
        <sz val="11"/>
        <color theme="1"/>
        <rFont val="ＭＳ Ｐゴシック"/>
        <family val="3"/>
        <charset val="128"/>
        <scheme val="minor"/>
      </rPr>
      <t>骨</t>
    </r>
    <r>
      <rPr>
        <sz val="11"/>
        <color theme="1"/>
        <rFont val="ＭＳ Ｐゴシック"/>
        <family val="3"/>
        <charset val="134"/>
        <scheme val="minor"/>
      </rPr>
      <t>铮铮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</si>
  <si>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水城工匠建筑工程有限公司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</si>
  <si>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白酒; 甜酒;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高粱酒; 葡萄酒</t>
    </r>
  </si>
  <si>
    <t>双康</t>
  </si>
  <si>
    <r>
      <t>杨</t>
    </r>
    <r>
      <rPr>
        <sz val="11"/>
        <color theme="1"/>
        <rFont val="ＭＳ Ｐゴシック"/>
        <family val="3"/>
        <charset val="128"/>
        <scheme val="minor"/>
      </rPr>
      <t>峰</t>
    </r>
  </si>
  <si>
    <r>
      <t xml:space="preserve">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</si>
  <si>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赢</t>
  </si>
  <si>
    <r>
      <t>张伟</t>
    </r>
    <r>
      <rPr>
        <sz val="11"/>
        <color theme="1"/>
        <rFont val="ＭＳ Ｐゴシック"/>
        <family val="3"/>
        <charset val="128"/>
        <scheme val="minor"/>
      </rPr>
      <t>振</t>
    </r>
  </si>
  <si>
    <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蒸煮提取物（利口酒和烈酒）;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</si>
  <si>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仙喜</t>
    </r>
    <r>
      <rPr>
        <sz val="11"/>
        <color theme="1"/>
        <rFont val="ＭＳ Ｐゴシック"/>
        <family val="3"/>
        <charset val="134"/>
        <scheme val="minor"/>
      </rPr>
      <t>鸿</t>
    </r>
  </si>
  <si>
    <r>
      <t>邓</t>
    </r>
    <r>
      <rPr>
        <sz val="11"/>
        <color theme="1"/>
        <rFont val="ＭＳ Ｐゴシック"/>
        <family val="3"/>
        <charset val="128"/>
        <scheme val="minor"/>
      </rPr>
      <t>毓淑</t>
    </r>
  </si>
  <si>
    <r>
      <t>果酒（含酒精）; 白酒; 黄酒; 葡萄酒; 开胃酒;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</si>
  <si>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仁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美</t>
    </r>
  </si>
  <si>
    <r>
      <t>成都竹奘林</t>
    </r>
    <r>
      <rPr>
        <sz val="11"/>
        <color theme="1"/>
        <rFont val="ＭＳ Ｐゴシック"/>
        <family val="3"/>
        <charset val="134"/>
        <scheme val="minor"/>
      </rPr>
      <t>软</t>
    </r>
    <r>
      <rPr>
        <sz val="11"/>
        <color theme="1"/>
        <rFont val="ＭＳ Ｐゴシック"/>
        <family val="3"/>
        <charset val="128"/>
        <scheme val="minor"/>
      </rPr>
      <t>件开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工作室</t>
    </r>
  </si>
  <si>
    <r>
      <t>果酒（含酒精）; 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</si>
  <si>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宝石</t>
    </r>
    <r>
      <rPr>
        <sz val="11"/>
        <color theme="1"/>
        <rFont val="ＭＳ Ｐゴシック"/>
        <family val="3"/>
        <charset val="134"/>
        <scheme val="minor"/>
      </rPr>
      <t>坛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</si>
  <si>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州湄窖酒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</si>
  <si>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</si>
  <si>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桂湖状元</t>
  </si>
  <si>
    <r>
      <t>成都香城桂湖酒文化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</si>
  <si>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果酒; 高粱酒; 白干酒（中国白酒）; 青稞酒; 蜂蜜酒</t>
    </r>
  </si>
  <si>
    <t>巧荣</t>
  </si>
  <si>
    <r>
      <t>达茂旗俊英种植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</si>
  <si>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 xml:space="preserve">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葡萄酒; 烈酒; 米酒; 汽酒; 黄酒; 清酒</t>
    </r>
  </si>
  <si>
    <t>王法壮</t>
  </si>
  <si>
    <r>
      <t xml:space="preserve">白酒;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葡萄酒</t>
    </r>
  </si>
  <si>
    <t>古山关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</si>
  <si>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快</t>
    </r>
    <r>
      <rPr>
        <sz val="11"/>
        <color theme="1"/>
        <rFont val="ＭＳ Ｐゴシック"/>
        <family val="3"/>
        <charset val="134"/>
        <scheme val="minor"/>
      </rPr>
      <t>钭传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</si>
  <si>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白酒; 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</si>
  <si>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徽言控股集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</si>
  <si>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利口酒; 果酒</t>
    </r>
  </si>
  <si>
    <t>菁璨</t>
  </si>
  <si>
    <r>
      <t>舍得酒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</si>
  <si>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利口酒; 开胃酒; 白酒;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果酒（含酒精）;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</si>
  <si>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PDOWNO BMANM</t>
  </si>
  <si>
    <r>
      <t>罗</t>
    </r>
    <r>
      <rPr>
        <sz val="11"/>
        <color theme="1"/>
        <rFont val="ＭＳ Ｐゴシック"/>
        <family val="3"/>
        <charset val="128"/>
        <scheme val="minor"/>
      </rPr>
      <t>仟荣</t>
    </r>
  </si>
  <si>
    <r>
      <t>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</si>
  <si>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奇治 酒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</si>
  <si>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州奇治酒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</si>
  <si>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果酒（含酒精）; 葡萄酒; 白酒</t>
    </r>
  </si>
  <si>
    <r>
      <t>友</t>
    </r>
    <r>
      <rPr>
        <sz val="11"/>
        <color theme="1"/>
        <rFont val="ＭＳ Ｐゴシック"/>
        <family val="3"/>
        <charset val="134"/>
        <scheme val="minor"/>
      </rPr>
      <t>谊</t>
    </r>
    <r>
      <rPr>
        <sz val="11"/>
        <color theme="1"/>
        <rFont val="ＭＳ Ｐゴシック"/>
        <family val="3"/>
        <charset val="128"/>
        <scheme val="minor"/>
      </rPr>
      <t>令</t>
    </r>
  </si>
  <si>
    <t>侯博</t>
  </si>
  <si>
    <r>
      <t xml:space="preserve">蜂蜜酒;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</si>
  <si>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满</t>
    </r>
    <r>
      <rPr>
        <sz val="11"/>
        <color theme="1"/>
        <rFont val="ＭＳ Ｐゴシック"/>
        <family val="3"/>
        <charset val="128"/>
        <scheme val="minor"/>
      </rPr>
      <t>庭芳 MTF MORE TASTE FUN</t>
    </r>
  </si>
  <si>
    <r>
      <t>迈诺</t>
    </r>
    <r>
      <rPr>
        <sz val="11"/>
        <color theme="1"/>
        <rFont val="ＭＳ Ｐゴシック"/>
        <family val="3"/>
        <charset val="128"/>
        <scheme val="minor"/>
      </rPr>
      <t>卡（成都）科技有限公司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</si>
  <si>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白酒; 苦味酒;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</si>
  <si>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西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酒唐晏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</si>
  <si>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西西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酒股份有限公司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</si>
  <si>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</si>
  <si>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琼浆</t>
    </r>
    <r>
      <rPr>
        <sz val="11"/>
        <color theme="1"/>
        <rFont val="ＭＳ Ｐゴシック"/>
        <family val="3"/>
        <charset val="128"/>
        <scheme val="minor"/>
      </rPr>
      <t>酒海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</si>
  <si>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</si>
  <si>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曲侯</t>
  </si>
  <si>
    <r>
      <t>山西</t>
    </r>
    <r>
      <rPr>
        <sz val="11"/>
        <color theme="1"/>
        <rFont val="ＭＳ Ｐゴシック"/>
        <family val="3"/>
        <charset val="134"/>
        <scheme val="minor"/>
      </rPr>
      <t>华纵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</si>
  <si>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葡萄酒; 果酒（含酒精）; 黄酒; 开胃酒;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威士忌</t>
    </r>
  </si>
  <si>
    <t>迈腾</t>
  </si>
  <si>
    <r>
      <t>乐</t>
    </r>
    <r>
      <rPr>
        <sz val="11"/>
        <color theme="1"/>
        <rFont val="ＭＳ Ｐゴシック"/>
        <family val="3"/>
        <charset val="128"/>
        <scheme val="minor"/>
      </rPr>
      <t>酒集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</si>
  <si>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黄酒; 清酒（日本米酒）; 白酒; 米酒; 青稞酒;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</si>
  <si>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西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酒 和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版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</si>
  <si>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</si>
  <si>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西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酒 和韵版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</si>
  <si>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</si>
  <si>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西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酒 和礼版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</si>
  <si>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黄酒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</si>
  <si>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泸</t>
    </r>
    <r>
      <rPr>
        <sz val="11"/>
        <color theme="1"/>
        <rFont val="ＭＳ Ｐゴシック"/>
        <family val="3"/>
        <charset val="128"/>
        <scheme val="minor"/>
      </rPr>
      <t>河</t>
    </r>
  </si>
  <si>
    <t>上海兜酒网食品有限公司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</si>
  <si>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开胃酒; 米酒; 果酒（含酒精）; 葡萄酒</t>
    </r>
  </si>
  <si>
    <r>
      <t>豆</t>
    </r>
    <r>
      <rPr>
        <sz val="11"/>
        <color theme="1"/>
        <rFont val="ＭＳ Ｐゴシック"/>
        <family val="3"/>
        <charset val="134"/>
        <scheme val="minor"/>
      </rPr>
      <t>记</t>
    </r>
  </si>
  <si>
    <t>豆玉中</t>
  </si>
  <si>
    <r>
      <t>蜂蜜酒; 薄荷酒; 酸酒（低等葡萄酒）;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甘蔗制烈酒;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天然汽酒</t>
    </r>
  </si>
  <si>
    <t>N-ROS SPIRITS</t>
  </si>
  <si>
    <t>北京量子之歌科技有限公司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</si>
  <si>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黄酒; 果酒（含酒精）;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米酒</t>
    </r>
  </si>
  <si>
    <r>
      <t>汽酒;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</si>
  <si>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甜小包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</si>
  <si>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西致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琢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</si>
  <si>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杜松子酒;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朗姆酒; 利口酒;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伏特加酒</t>
    </r>
  </si>
  <si>
    <t>大成米</t>
  </si>
  <si>
    <r>
      <t>广宁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合和酒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</si>
  <si>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黄酒; 葡萄酒;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</si>
  <si>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渝味360碗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</si>
  <si>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市文化和旅游研究院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</si>
  <si>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开胃酒; 食用酒精;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</si>
  <si>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囍王牌双囍氿 囍王牌囍筵 囍王牌囍王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</si>
  <si>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烈酒; 清酒; 葡萄酒;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</si>
  <si>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SAN SI WU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</si>
  <si>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露酒; 黄酒; 白酒</t>
    </r>
  </si>
  <si>
    <r>
      <t>善一</t>
    </r>
    <r>
      <rPr>
        <sz val="11"/>
        <color theme="1"/>
        <rFont val="ＭＳ Ｐゴシック"/>
        <family val="3"/>
        <charset val="134"/>
        <scheme val="minor"/>
      </rPr>
      <t>纯</t>
    </r>
  </si>
  <si>
    <t>黄喆圣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</si>
  <si>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黄酒;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甜酒; 米酒; 烈酒</t>
    </r>
  </si>
  <si>
    <r>
      <t>露酒;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米酒</t>
    </r>
  </si>
  <si>
    <t>开心海岸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</si>
  <si>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茂德公食品集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</si>
  <si>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青梅酒;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白酒; 果酒（含酒精）</t>
    </r>
  </si>
  <si>
    <t>ISABEL LI</t>
  </si>
  <si>
    <r>
      <t>在宥（三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）文化</t>
    </r>
    <r>
      <rPr>
        <sz val="11"/>
        <color theme="1"/>
        <rFont val="ＭＳ Ｐゴシック"/>
        <family val="3"/>
        <charset val="134"/>
        <scheme val="minor"/>
      </rPr>
      <t>艺术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</si>
  <si>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伏特加酒;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葡萄酒;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米酒</t>
    </r>
  </si>
  <si>
    <r>
      <t>亿</t>
    </r>
    <r>
      <rPr>
        <sz val="11"/>
        <color theme="1"/>
        <rFont val="ＭＳ Ｐゴシック"/>
        <family val="3"/>
        <charset val="128"/>
        <scheme val="minor"/>
      </rPr>
      <t>辞理果多多</t>
    </r>
  </si>
  <si>
    <r>
      <t>热</t>
    </r>
    <r>
      <rPr>
        <sz val="11"/>
        <color theme="1"/>
        <rFont val="ＭＳ Ｐゴシック"/>
        <family val="3"/>
        <charset val="128"/>
        <scheme val="minor"/>
      </rPr>
      <t>依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古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·</t>
    </r>
    <r>
      <rPr>
        <sz val="11"/>
        <color theme="1"/>
        <rFont val="ＭＳ Ｐゴシック"/>
        <family val="3"/>
        <charset val="134"/>
        <scheme val="minor"/>
      </rPr>
      <t>图尔贡</t>
    </r>
  </si>
  <si>
    <r>
      <t xml:space="preserve">苹果酒; 柑香酒; 餐后酒（利口酒和烈酒）;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白酒; 果酒; 汽酒; 薄荷酒; 葡萄酒; 茴芹酒（利口酒）</t>
    </r>
  </si>
  <si>
    <r>
      <t>阁</t>
    </r>
    <r>
      <rPr>
        <sz val="11"/>
        <color theme="1"/>
        <rFont val="ＭＳ Ｐゴシック"/>
        <family val="3"/>
        <charset val="128"/>
        <scheme val="minor"/>
      </rPr>
      <t>上</t>
    </r>
  </si>
  <si>
    <r>
      <t>湖南星</t>
    </r>
    <r>
      <rPr>
        <sz val="11"/>
        <color theme="1"/>
        <rFont val="ＭＳ Ｐゴシック"/>
        <family val="3"/>
        <charset val="134"/>
        <scheme val="minor"/>
      </rPr>
      <t>阁</t>
    </r>
    <r>
      <rPr>
        <sz val="11"/>
        <color theme="1"/>
        <rFont val="ＭＳ Ｐゴシック"/>
        <family val="3"/>
        <charset val="128"/>
        <scheme val="minor"/>
      </rPr>
      <t>文化旅游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</si>
  <si>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清酒（日本米酒）;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</si>
  <si>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t>云耕塞上</t>
  </si>
  <si>
    <r>
      <t>宁夏</t>
    </r>
    <r>
      <rPr>
        <sz val="11"/>
        <color theme="1"/>
        <rFont val="ＭＳ Ｐゴシック"/>
        <family val="3"/>
        <charset val="134"/>
        <scheme val="minor"/>
      </rPr>
      <t>银玛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</si>
  <si>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甜酒;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葡萄汽酒; 白葡萄酒;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</si>
  <si>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藏家小郎中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</si>
  <si>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州君惠堂医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</si>
  <si>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蜂蜜酒;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梅酒; 苦味酒; 露酒; 青梅酒;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高粱酒; 果酒; 开胃酒</t>
    </r>
  </si>
  <si>
    <r>
      <t>中和磊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 xml:space="preserve"> ZHLY</t>
    </r>
  </si>
  <si>
    <r>
      <t>北京中和磊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</si>
  <si>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果酒（含酒精）</t>
    </r>
  </si>
  <si>
    <r>
      <t>中和磊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</si>
  <si>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果酒（含酒精）; 汽酒; 葡萄酒</t>
    </r>
  </si>
  <si>
    <t>安宁酒坊</t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</si>
  <si>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安宁酒厂</t>
    </r>
  </si>
  <si>
    <r>
      <t xml:space="preserve">开胃酒;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白酒; 高粱酒</t>
    </r>
  </si>
  <si>
    <r>
      <t>安宁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</si>
  <si>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 xml:space="preserve">利口酒; 果酒（含酒精）; 葡萄酒;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白酒; 食用酒精</t>
    </r>
  </si>
  <si>
    <t>VALORANT</t>
  </si>
  <si>
    <r>
      <t>利奥游</t>
    </r>
    <r>
      <rPr>
        <sz val="11"/>
        <color theme="1"/>
        <rFont val="ＭＳ Ｐゴシック"/>
        <family val="3"/>
        <charset val="134"/>
        <scheme val="minor"/>
      </rPr>
      <t>戏</t>
    </r>
    <r>
      <rPr>
        <sz val="11"/>
        <color theme="1"/>
        <rFont val="ＭＳ Ｐゴシック"/>
        <family val="3"/>
        <charset val="128"/>
        <scheme val="minor"/>
      </rPr>
      <t>公司</t>
    </r>
  </si>
  <si>
    <r>
      <t>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威士忌; 含酒精的气泡水;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</si>
  <si>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ELIZA'S CLAIM GOLD GIN</t>
  </si>
  <si>
    <t>瓦克有限公司</t>
  </si>
  <si>
    <r>
      <t>果酒（含酒精）; 白酒; 葡萄酒; 威士忌; 杜松子酒;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</si>
  <si>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榕晨</t>
  </si>
  <si>
    <r>
      <t>福州市</t>
    </r>
    <r>
      <rPr>
        <sz val="11"/>
        <color theme="1"/>
        <rFont val="ＭＳ Ｐゴシック"/>
        <family val="3"/>
        <charset val="134"/>
        <scheme val="minor"/>
      </rPr>
      <t>长乐</t>
    </r>
    <r>
      <rPr>
        <sz val="11"/>
        <color theme="1"/>
        <rFont val="ＭＳ Ｐゴシック"/>
        <family val="3"/>
        <charset val="128"/>
        <scheme val="minor"/>
      </rPr>
      <t>区文武砂榕晨工作室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</si>
  <si>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果酒; 白干酒（中国白酒）</t>
    </r>
  </si>
  <si>
    <t>GOLDREIF 格德睿夫</t>
  </si>
  <si>
    <r>
      <t>九牧厨</t>
    </r>
    <r>
      <rPr>
        <sz val="11"/>
        <color theme="1"/>
        <rFont val="ＭＳ Ｐゴシック"/>
        <family val="3"/>
        <charset val="134"/>
        <scheme val="minor"/>
      </rPr>
      <t>卫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</si>
  <si>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米酒; 黄酒; 葡萄酒; 开胃酒; 威士忌;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</si>
  <si>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格德睿夫 GOLDREIF BY POGGENPOHL</t>
  </si>
  <si>
    <r>
      <t xml:space="preserve">威士忌;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</si>
  <si>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GOLDREIF</t>
  </si>
  <si>
    <r>
      <t>葡萄酒; 威士忌; 汽酒; 果酒（含酒精）; 米酒; 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</si>
  <si>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清酒（日本米酒）;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伏特加酒; 果酒（含酒精）</t>
    </r>
  </si>
  <si>
    <t>KOMP1EX RECORD</t>
  </si>
  <si>
    <r>
      <t>容和</t>
    </r>
    <r>
      <rPr>
        <sz val="11"/>
        <color theme="1"/>
        <rFont val="ＭＳ Ｐゴシック"/>
        <family val="3"/>
        <charset val="134"/>
        <scheme val="minor"/>
      </rPr>
      <t>娱乐</t>
    </r>
    <r>
      <rPr>
        <sz val="11"/>
        <color theme="1"/>
        <rFont val="ＭＳ Ｐゴシック"/>
        <family val="3"/>
        <charset val="128"/>
        <scheme val="minor"/>
      </rPr>
      <t>（上海）有限公司</t>
    </r>
  </si>
  <si>
    <r>
      <t>伏特加酒; 葡萄酒;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</t>
    </r>
  </si>
  <si>
    <r>
      <t>六广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</si>
  <si>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</si>
  <si>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威士忌; 开胃酒;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</si>
  <si>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蒂思</t>
    </r>
    <r>
      <rPr>
        <sz val="11"/>
        <color theme="1"/>
        <rFont val="ＭＳ Ｐゴシック"/>
        <family val="3"/>
        <charset val="134"/>
        <scheme val="minor"/>
      </rPr>
      <t>尔</t>
    </r>
  </si>
  <si>
    <r>
      <t>蒂思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生物科技（深圳）有限公司</t>
    </r>
  </si>
  <si>
    <r>
      <t>伏特加酒;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米酒; 朗姆酒; 清酒（日本米酒）;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</si>
  <si>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柏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世家</t>
    </r>
  </si>
  <si>
    <r>
      <t>烟台</t>
    </r>
    <r>
      <rPr>
        <sz val="11"/>
        <color theme="1"/>
        <rFont val="ＭＳ Ｐゴシック"/>
        <family val="3"/>
        <charset val="134"/>
        <scheme val="minor"/>
      </rPr>
      <t>东辉</t>
    </r>
    <r>
      <rPr>
        <sz val="11"/>
        <color theme="1"/>
        <rFont val="ＭＳ Ｐゴシック"/>
        <family val="3"/>
        <charset val="128"/>
        <scheme val="minor"/>
      </rPr>
      <t>葡萄酒有限公司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</si>
  <si>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</si>
  <si>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夏多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</si>
  <si>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栋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</si>
  <si>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果酒（含酒精）; 白酒;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</t>
    </r>
  </si>
  <si>
    <t>肖松</t>
  </si>
  <si>
    <r>
      <t>黄酒;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朗姆酒; 米酒; 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清酒（日本米酒）</t>
    </r>
  </si>
  <si>
    <r>
      <t>川</t>
    </r>
    <r>
      <rPr>
        <sz val="11"/>
        <color theme="1"/>
        <rFont val="ＭＳ Ｐゴシック"/>
        <family val="3"/>
        <charset val="134"/>
        <scheme val="minor"/>
      </rPr>
      <t>页顺</t>
    </r>
  </si>
  <si>
    <r>
      <t>束童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</si>
  <si>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 xml:space="preserve">清酒（日本米酒）; 米酒; 烈酒; 黄酒; 朗姆酒; 葡萄酒;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食用酒精</t>
    </r>
  </si>
  <si>
    <t>小斛堂仙</t>
  </si>
  <si>
    <r>
      <t>合肥神斛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</si>
  <si>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朗姆酒; 白酒;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果酒; 米酒;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用烈酒;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</si>
  <si>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方道梨</t>
    </r>
  </si>
  <si>
    <r>
      <t>高平</t>
    </r>
    <r>
      <rPr>
        <sz val="11"/>
        <color theme="1"/>
        <rFont val="ＭＳ Ｐゴシック"/>
        <family val="3"/>
        <charset val="134"/>
        <scheme val="minor"/>
      </rPr>
      <t>饴润</t>
    </r>
    <r>
      <rPr>
        <sz val="11"/>
        <color theme="1"/>
        <rFont val="ＭＳ Ｐゴシック"/>
        <family val="3"/>
        <charset val="128"/>
        <scheme val="minor"/>
      </rPr>
      <t>健康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</si>
  <si>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苹果酒; 梨酒; 开胃酒; 含酒精的气泡水;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</si>
  <si>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初遇北雪</t>
  </si>
  <si>
    <r>
      <t>通化市博</t>
    </r>
    <r>
      <rPr>
        <sz val="11"/>
        <color theme="1"/>
        <rFont val="ＭＳ Ｐゴシック"/>
        <family val="3"/>
        <charset val="134"/>
        <scheme val="minor"/>
      </rPr>
      <t>闻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</si>
  <si>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含酒精的气泡水;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</si>
  <si>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WINE TAIL CAT</t>
  </si>
  <si>
    <t>酒尾猫（杭州）品牌管理有限公司</t>
  </si>
  <si>
    <r>
      <t>果酒（含酒精）; 含酒精的气泡水;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</t>
    </r>
  </si>
  <si>
    <r>
      <t>品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里</t>
    </r>
  </si>
  <si>
    <r>
      <t>广西品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</si>
  <si>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预调</t>
    </r>
    <r>
      <rPr>
        <sz val="11"/>
        <color theme="1"/>
        <rFont val="ＭＳ Ｐゴシック"/>
        <family val="3"/>
        <charset val="128"/>
        <scheme val="minor"/>
      </rPr>
      <t xml:space="preserve">甜酒; 梅酒; 高粱酒;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米酒; 甜果酒; 黄酒; 白酒; 甜酒</t>
    </r>
  </si>
  <si>
    <t>梨子栖</t>
  </si>
  <si>
    <t>桑芳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</si>
  <si>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果酒（含酒精）; 米酒; 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食用酒精</t>
    </r>
  </si>
  <si>
    <r>
      <t>天竺云</t>
    </r>
    <r>
      <rPr>
        <sz val="11"/>
        <color theme="1"/>
        <rFont val="ＭＳ Ｐゴシック"/>
        <family val="3"/>
        <charset val="129"/>
        <scheme val="minor"/>
      </rPr>
      <t>朵</t>
    </r>
  </si>
  <si>
    <r>
      <t>壹佳壹供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（</t>
    </r>
    <r>
      <rPr>
        <sz val="11"/>
        <color theme="1"/>
        <rFont val="ＭＳ Ｐゴシック"/>
        <family val="3"/>
        <charset val="134"/>
        <scheme val="minor"/>
      </rPr>
      <t>陕</t>
    </r>
    <r>
      <rPr>
        <sz val="11"/>
        <color theme="1"/>
        <rFont val="ＭＳ Ｐゴシック"/>
        <family val="3"/>
        <charset val="128"/>
        <scheme val="minor"/>
      </rPr>
      <t>西）股份有限公司</t>
    </r>
  </si>
  <si>
    <r>
      <t>甜酒;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</si>
  <si>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WHISKY LAND</t>
  </si>
  <si>
    <r>
      <t>云南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雅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悦商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</si>
  <si>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烈酒;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麦芽威士忌; 混合威士忌酒;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</si>
  <si>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冲村道小</t>
    </r>
    <r>
      <rPr>
        <sz val="11"/>
        <color theme="1"/>
        <rFont val="ＭＳ Ｐゴシック"/>
        <family val="3"/>
        <charset val="134"/>
        <scheme val="minor"/>
      </rPr>
      <t>烧</t>
    </r>
  </si>
  <si>
    <t>梁少能</t>
  </si>
  <si>
    <r>
      <t xml:space="preserve">果酒; 高粱酒; 米酒;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青梅酒; 白酒; 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</si>
  <si>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r>
      <t>亚</t>
    </r>
    <r>
      <rPr>
        <sz val="11"/>
        <color theme="1"/>
        <rFont val="ＭＳ Ｐゴシック"/>
        <family val="3"/>
        <charset val="128"/>
        <scheme val="minor"/>
      </rPr>
      <t>美唯他小A条</t>
    </r>
  </si>
  <si>
    <t>广州市桉谷生物科技有限公司</t>
  </si>
  <si>
    <r>
      <t>开胃酒; 威士忌;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</t>
    </r>
  </si>
  <si>
    <r>
      <t>亚</t>
    </r>
    <r>
      <rPr>
        <sz val="11"/>
        <color theme="1"/>
        <rFont val="ＭＳ Ｐゴシック"/>
        <family val="3"/>
        <charset val="128"/>
        <scheme val="minor"/>
      </rPr>
      <t>美小A条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</si>
  <si>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果酒（含酒精）</t>
    </r>
  </si>
  <si>
    <r>
      <t>宇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</si>
  <si>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>李高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</si>
  <si>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伏特加酒;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</si>
  <si>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t>北域初雪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</si>
  <si>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果酒（含酒精）; 含酒精的气泡水</t>
    </r>
  </si>
  <si>
    <t>金社福</t>
  </si>
  <si>
    <r>
      <t>北京本草堂中医</t>
    </r>
    <r>
      <rPr>
        <sz val="11"/>
        <color theme="1"/>
        <rFont val="ＭＳ Ｐゴシック"/>
        <family val="3"/>
        <charset val="134"/>
        <scheme val="minor"/>
      </rPr>
      <t>诊</t>
    </r>
    <r>
      <rPr>
        <sz val="11"/>
        <color theme="1"/>
        <rFont val="ＭＳ Ｐゴシック"/>
        <family val="3"/>
        <charset val="128"/>
        <scheme val="minor"/>
      </rPr>
      <t>所有限公司</t>
    </r>
  </si>
  <si>
    <r>
      <t>汽酒; 蒸煮提取物（利口酒和烈酒）; 白酒;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利口酒</t>
    </r>
  </si>
  <si>
    <r>
      <t>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甜酒; 薄荷酒;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水果汽酒; 餐后酒（利口酒和烈酒）;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烈酒; 果酒（含酒精）</t>
    </r>
  </si>
  <si>
    <t>睿容</t>
  </si>
  <si>
    <t>广州三信安明食品科技有限公司</t>
  </si>
  <si>
    <r>
      <t xml:space="preserve">葡萄酒;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清酒;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</si>
  <si>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t>湛成</t>
  </si>
  <si>
    <r>
      <t>湛江市海新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</si>
  <si>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苦味酒;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清酒（日本米酒）; 黄酒; 果酒（含酒精）; 威士忌; 白酒</t>
    </r>
  </si>
  <si>
    <t>珍恩</t>
  </si>
  <si>
    <r>
      <t>湖北谷留香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</si>
  <si>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白酒; 清酒; 高粱酒; 苦艾酒;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果酒（含酒精）; 米酒</t>
    </r>
  </si>
  <si>
    <t>南田南</t>
  </si>
  <si>
    <r>
      <t>金荣</t>
    </r>
    <r>
      <rPr>
        <sz val="11"/>
        <color theme="1"/>
        <rFont val="ＭＳ Ｐゴシック"/>
        <family val="3"/>
        <charset val="134"/>
        <scheme val="minor"/>
      </rPr>
      <t>伟</t>
    </r>
  </si>
  <si>
    <t>果酒（含酒精）</t>
  </si>
  <si>
    <r>
      <t>永恒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</si>
  <si>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州永恒酒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</si>
  <si>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果酒; 露酒; 高粱酒; 黄酒; 开胃酒; 烈酒; 食用酒精; 白酒</t>
    </r>
  </si>
  <si>
    <t>BLENDER 百利得</t>
  </si>
  <si>
    <r>
      <t>上海巴克斯酒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</si>
  <si>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餐后酒（利口酒和烈酒）;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露酒;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麦芽威士忌;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混合威士忌酒</t>
    </r>
  </si>
  <si>
    <t>中雄城</t>
  </si>
  <si>
    <r>
      <t>河北雄安</t>
    </r>
    <r>
      <rPr>
        <sz val="11"/>
        <color theme="1"/>
        <rFont val="ＭＳ Ｐゴシック"/>
        <family val="3"/>
        <charset val="134"/>
        <scheme val="minor"/>
      </rPr>
      <t>记录</t>
    </r>
    <r>
      <rPr>
        <sz val="11"/>
        <color theme="1"/>
        <rFont val="ＭＳ Ｐゴシック"/>
        <family val="3"/>
        <charset val="128"/>
        <scheme val="minor"/>
      </rPr>
      <t>者文化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</si>
  <si>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</si>
  <si>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BAIRROS</t>
  </si>
  <si>
    <r>
      <t>天津</t>
    </r>
    <r>
      <rPr>
        <sz val="11"/>
        <color theme="1"/>
        <rFont val="ＭＳ Ｐゴシック"/>
        <family val="3"/>
        <charset val="134"/>
        <scheme val="minor"/>
      </rPr>
      <t>亚萨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</si>
  <si>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海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仙</t>
    </r>
  </si>
  <si>
    <r>
      <t>湖北</t>
    </r>
    <r>
      <rPr>
        <sz val="11"/>
        <color theme="1"/>
        <rFont val="ＭＳ Ｐゴシック"/>
        <family val="3"/>
        <charset val="134"/>
        <scheme val="minor"/>
      </rPr>
      <t>鹤</t>
    </r>
    <r>
      <rPr>
        <sz val="11"/>
        <color theme="1"/>
        <rFont val="ＭＳ Ｐゴシック"/>
        <family val="3"/>
        <charset val="128"/>
        <scheme val="minor"/>
      </rPr>
      <t>峰茗</t>
    </r>
    <r>
      <rPr>
        <sz val="11"/>
        <color theme="1"/>
        <rFont val="ＭＳ Ｐゴシック"/>
        <family val="3"/>
        <charset val="134"/>
        <scheme val="minor"/>
      </rPr>
      <t>鹤农业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</si>
  <si>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</si>
  <si>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食仙</t>
    </r>
  </si>
  <si>
    <r>
      <t>威士忌; 米酒;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</si>
  <si>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茗</t>
    </r>
    <r>
      <rPr>
        <sz val="11"/>
        <color theme="1"/>
        <rFont val="ＭＳ Ｐゴシック"/>
        <family val="3"/>
        <charset val="134"/>
        <scheme val="minor"/>
      </rPr>
      <t>鹤</t>
    </r>
    <r>
      <rPr>
        <sz val="11"/>
        <color theme="1"/>
        <rFont val="ＭＳ Ｐゴシック"/>
        <family val="3"/>
        <charset val="128"/>
        <scheme val="minor"/>
      </rPr>
      <t>苑</t>
    </r>
  </si>
  <si>
    <r>
      <t>威士忌;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</si>
  <si>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毕</t>
    </r>
    <r>
      <rPr>
        <sz val="11"/>
        <color theme="1"/>
        <rFont val="ＭＳ Ｐゴシック"/>
        <family val="3"/>
        <charset val="128"/>
        <scheme val="minor"/>
      </rPr>
      <t>加索</t>
    </r>
  </si>
  <si>
    <r>
      <t>毕</t>
    </r>
    <r>
      <rPr>
        <sz val="11"/>
        <color theme="1"/>
        <rFont val="ＭＳ Ｐゴシック"/>
        <family val="3"/>
        <charset val="128"/>
        <scheme val="minor"/>
      </rPr>
      <t>加索集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</si>
  <si>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黄酒; 果酒（含酒精）; 葡萄酒; 伏特加酒;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汽酒;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</si>
  <si>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德隆盛白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香</t>
    </r>
  </si>
  <si>
    <t>黄合川</t>
  </si>
  <si>
    <r>
      <t>蒸煮提取物（利口酒和烈酒）;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苹果酒; 果酒（含酒精）; 朗姆酒; 威士忌; 白酒; 伏特加酒;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</si>
  <si>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武将</t>
    </r>
  </si>
  <si>
    <r>
      <t>福建万翔投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</si>
  <si>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</si>
  <si>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恒悦</t>
  </si>
  <si>
    <t>洪国明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</si>
  <si>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米酒; 威士忌;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</si>
  <si>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t>新魂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</si>
  <si>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江小白品牌管理有限公司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</si>
  <si>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高粱酒; 青梅酒; 甜酒; 白酒; 米酒</t>
    </r>
  </si>
  <si>
    <r>
      <t>剐</t>
    </r>
    <r>
      <rPr>
        <sz val="11"/>
        <color theme="1"/>
        <rFont val="ＭＳ Ｐゴシック"/>
        <family val="3"/>
        <charset val="128"/>
        <scheme val="minor"/>
      </rPr>
      <t>酒 三香分天下一水</t>
    </r>
    <r>
      <rPr>
        <sz val="11"/>
        <color theme="1"/>
        <rFont val="ＭＳ Ｐゴシック"/>
        <family val="3"/>
        <charset val="134"/>
        <scheme val="minor"/>
      </rPr>
      <t>统</t>
    </r>
    <r>
      <rPr>
        <sz val="11"/>
        <color theme="1"/>
        <rFont val="ＭＳ Ｐゴシック"/>
        <family val="3"/>
        <charset val="128"/>
        <scheme val="minor"/>
      </rPr>
      <t>江湖</t>
    </r>
  </si>
  <si>
    <r>
      <t>合肥市恒旺糖酒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</si>
  <si>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果酒（含酒精）; 白酒; 伏特加酒; 米酒; 葡萄酒</t>
    </r>
  </si>
  <si>
    <t>MYAI</t>
  </si>
  <si>
    <r>
      <t>徐州全盛文化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</si>
  <si>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伏特加酒; 清酒（日本米酒）; 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</si>
  <si>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r>
      <t>荣和嘉</t>
    </r>
    <r>
      <rPr>
        <sz val="11"/>
        <color theme="1"/>
        <rFont val="ＭＳ Ｐゴシック"/>
        <family val="3"/>
        <charset val="134"/>
        <scheme val="minor"/>
      </rPr>
      <t>宾</t>
    </r>
  </si>
  <si>
    <r>
      <t xml:space="preserve">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青稞酒; 清酒（日本米酒）; 米酒</t>
    </r>
  </si>
  <si>
    <r>
      <t>孤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老八毛</t>
    </r>
  </si>
  <si>
    <t>上海益小健食品科技有限公司</t>
  </si>
  <si>
    <r>
      <t>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白葡萄酒; 果酒（含酒精）; 葡萄酒; 食用酒精; 白酒; 米酒</t>
    </r>
  </si>
  <si>
    <t>中研</t>
  </si>
  <si>
    <r>
      <t>张</t>
    </r>
    <r>
      <rPr>
        <sz val="11"/>
        <color theme="1"/>
        <rFont val="ＭＳ Ｐゴシック"/>
        <family val="3"/>
        <charset val="128"/>
        <scheme val="minor"/>
      </rPr>
      <t>会根</t>
    </r>
  </si>
  <si>
    <r>
      <t xml:space="preserve">开胃酒; 利口酒; 米酒; 白酒; 蜂蜜酒;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食用酒精; 果酒（含酒精）</t>
    </r>
  </si>
  <si>
    <r>
      <t>川</t>
    </r>
    <r>
      <rPr>
        <sz val="11"/>
        <color theme="1"/>
        <rFont val="ＭＳ Ｐゴシック"/>
        <family val="3"/>
        <charset val="134"/>
        <scheme val="minor"/>
      </rPr>
      <t>样</t>
    </r>
    <r>
      <rPr>
        <sz val="11"/>
        <color theme="1"/>
        <rFont val="ＭＳ Ｐゴシック"/>
        <family val="3"/>
        <charset val="128"/>
        <scheme val="minor"/>
      </rPr>
      <t xml:space="preserve"> 老白干</t>
    </r>
  </si>
  <si>
    <r>
      <t>成都川</t>
    </r>
    <r>
      <rPr>
        <sz val="11"/>
        <color theme="1"/>
        <rFont val="ＭＳ Ｐゴシック"/>
        <family val="3"/>
        <charset val="134"/>
        <scheme val="minor"/>
      </rPr>
      <t>样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</si>
  <si>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白干酒（中国白酒）; 白酒</t>
  </si>
  <si>
    <r>
      <t>小白度°C开心酒</t>
    </r>
    <r>
      <rPr>
        <sz val="11"/>
        <color theme="1"/>
        <rFont val="ＭＳ Ｐゴシック"/>
        <family val="3"/>
        <charset val="134"/>
        <scheme val="minor"/>
      </rPr>
      <t>馆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</si>
  <si>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州小白度酒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</si>
  <si>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清酒; 薄荷酒; 食用酒精;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</si>
  <si>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露酒; 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</si>
  <si>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帝范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</si>
  <si>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高粱酒; 白酒; 烈酒; 黄酒; 米酒; 青稞酒; 果酒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</si>
  <si>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皈元</t>
    </r>
  </si>
  <si>
    <r>
      <t>泰和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皈元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</si>
  <si>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</si>
  <si>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壮瑶部落</t>
  </si>
  <si>
    <r>
      <t>广西壮瑶部落原生中草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</si>
  <si>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黄酒; 米酒; 甘蔗制烈酒;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</si>
  <si>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新</t>
    </r>
    <r>
      <rPr>
        <sz val="11"/>
        <color theme="1"/>
        <rFont val="ＭＳ Ｐゴシック"/>
        <family val="3"/>
        <charset val="134"/>
        <scheme val="minor"/>
      </rPr>
      <t>华书</t>
    </r>
    <r>
      <rPr>
        <sz val="11"/>
        <color theme="1"/>
        <rFont val="ＭＳ Ｐゴシック"/>
        <family val="3"/>
        <charset val="128"/>
        <scheme val="minor"/>
      </rPr>
      <t>院</t>
    </r>
  </si>
  <si>
    <r>
      <t>新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互</t>
    </r>
    <r>
      <rPr>
        <sz val="11"/>
        <color theme="1"/>
        <rFont val="ＭＳ Ｐゴシック"/>
        <family val="3"/>
        <charset val="134"/>
        <scheme val="minor"/>
      </rPr>
      <t>联电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</si>
  <si>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米酒</t>
    </r>
  </si>
  <si>
    <r>
      <t>笑傲</t>
    </r>
    <r>
      <rPr>
        <sz val="11"/>
        <color theme="1"/>
        <rFont val="ＭＳ Ｐゴシック"/>
        <family val="3"/>
        <charset val="134"/>
        <scheme val="minor"/>
      </rPr>
      <t>沧</t>
    </r>
    <r>
      <rPr>
        <sz val="11"/>
        <color theme="1"/>
        <rFont val="ＭＳ Ｐゴシック"/>
        <family val="3"/>
        <charset val="128"/>
        <scheme val="minor"/>
      </rPr>
      <t>海</t>
    </r>
  </si>
  <si>
    <r>
      <t>米酒; 伏特加酒;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白酒; 葡萄酒</t>
    </r>
  </si>
  <si>
    <r>
      <t xml:space="preserve">原老字台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</si>
  <si>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曾武</t>
    </r>
    <r>
      <rPr>
        <sz val="11"/>
        <color theme="1"/>
        <rFont val="ＭＳ Ｐゴシック"/>
        <family val="3"/>
        <charset val="134"/>
        <scheme val="minor"/>
      </rPr>
      <t>银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</si>
  <si>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高粱酒; 米酒; 白酒; 黄酒; 青梅酒</t>
    </r>
  </si>
  <si>
    <t>粱关渡</t>
  </si>
  <si>
    <t>高山</t>
  </si>
  <si>
    <r>
      <t xml:space="preserve">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白酒; 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清酒（日本米酒）</t>
    </r>
  </si>
  <si>
    <r>
      <t>菲迪</t>
    </r>
    <r>
      <rPr>
        <sz val="11"/>
        <color theme="1"/>
        <rFont val="ＭＳ Ｐゴシック"/>
        <family val="3"/>
        <charset val="134"/>
        <scheme val="minor"/>
      </rPr>
      <t>动</t>
    </r>
    <r>
      <rPr>
        <sz val="11"/>
        <color theme="1"/>
        <rFont val="ＭＳ Ｐゴシック"/>
        <family val="3"/>
        <charset val="128"/>
        <scheme val="minor"/>
      </rPr>
      <t>力</t>
    </r>
  </si>
  <si>
    <r>
      <t>广西北海博特啤酒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料有限公司</t>
    </r>
  </si>
  <si>
    <r>
      <t>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水果汽酒;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</si>
  <si>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高原水塔</t>
  </si>
  <si>
    <r>
      <t>青海三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</si>
  <si>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 xml:space="preserve">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餐后酒（利口酒和烈酒）;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白酒</t>
    </r>
  </si>
  <si>
    <r>
      <t>独</t>
    </r>
    <r>
      <rPr>
        <sz val="11"/>
        <color theme="1"/>
        <rFont val="ＭＳ Ｐゴシック"/>
        <family val="3"/>
        <charset val="134"/>
        <scheme val="minor"/>
      </rPr>
      <t>库</t>
    </r>
    <r>
      <rPr>
        <sz val="11"/>
        <color theme="1"/>
        <rFont val="ＭＳ Ｐゴシック"/>
        <family val="3"/>
        <charset val="128"/>
        <scheme val="minor"/>
      </rPr>
      <t>之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</si>
  <si>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茜</t>
    </r>
  </si>
  <si>
    <r>
      <t xml:space="preserve">烈酒;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开胃酒; 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</si>
  <si>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尕</t>
    </r>
    <r>
      <rPr>
        <sz val="11"/>
        <color theme="1"/>
        <rFont val="ＭＳ Ｐゴシック"/>
        <family val="3"/>
        <charset val="128"/>
        <scheme val="minor"/>
      </rPr>
      <t>吾山</t>
    </r>
  </si>
  <si>
    <r>
      <t>高粱酒; 白干酒（中国白酒）;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梨酒;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</si>
  <si>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国君王</t>
    </r>
  </si>
  <si>
    <r>
      <t>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果酒（含酒精）; 葡萄酒; 梨酒;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</si>
  <si>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医仙仲景</t>
  </si>
  <si>
    <t>河南三珍坊食品有限公司</t>
  </si>
  <si>
    <r>
      <t>烈酒; 露酒; 米酒;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黄酒</t>
    </r>
  </si>
  <si>
    <r>
      <t>程小</t>
    </r>
    <r>
      <rPr>
        <sz val="11"/>
        <color theme="1"/>
        <rFont val="ＭＳ Ｐゴシック"/>
        <family val="3"/>
        <charset val="134"/>
        <scheme val="minor"/>
      </rPr>
      <t>焕</t>
    </r>
  </si>
  <si>
    <r>
      <t>葡萄酒;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蒸煮提取物（利口酒和烈酒）;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</t>
    </r>
  </si>
  <si>
    <r>
      <t>朗蒂菲（上海）酒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</si>
  <si>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桃白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黄酒; 清酒; 葡萄酒;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</si>
  <si>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书</t>
    </r>
    <r>
      <rPr>
        <sz val="11"/>
        <color theme="1"/>
        <rFont val="ＭＳ Ｐゴシック"/>
        <family val="3"/>
        <charset val="128"/>
        <scheme val="minor"/>
      </rPr>
      <t>天下</t>
    </r>
  </si>
  <si>
    <t>林坤生</t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</si>
  <si>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烈酒; 露酒; 果酒;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</si>
  <si>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满泸</t>
    </r>
    <r>
      <rPr>
        <sz val="11"/>
        <color theme="1"/>
        <rFont val="ＭＳ Ｐゴシック"/>
        <family val="3"/>
        <charset val="128"/>
        <scheme val="minor"/>
      </rPr>
      <t>春</t>
    </r>
  </si>
  <si>
    <t>余宝珍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</si>
  <si>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威士忌;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</si>
  <si>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御梅</t>
  </si>
  <si>
    <t>叶其斌</t>
  </si>
  <si>
    <r>
      <t>杨</t>
    </r>
    <r>
      <rPr>
        <sz val="11"/>
        <color theme="1"/>
        <rFont val="ＭＳ Ｐゴシック"/>
        <family val="3"/>
        <charset val="128"/>
        <scheme val="minor"/>
      </rPr>
      <t>梅酒; 梅酒; 青梅酒; 日本梅子酒</t>
    </r>
  </si>
  <si>
    <r>
      <t>大喜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九九</t>
    </r>
  </si>
  <si>
    <r>
      <t>惠</t>
    </r>
    <r>
      <rPr>
        <sz val="11"/>
        <color theme="1"/>
        <rFont val="ＭＳ Ｐゴシック"/>
        <family val="3"/>
        <charset val="134"/>
        <scheme val="minor"/>
      </rPr>
      <t>艳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</si>
  <si>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高粱酒; 利口酒; 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甜酒; 米酒</t>
    </r>
  </si>
  <si>
    <t>大美日溪</t>
  </si>
  <si>
    <r>
      <t>福州市晋安区点洋合力种植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民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</si>
  <si>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威士忌</t>
    </r>
  </si>
  <si>
    <t>道州乃仔</t>
  </si>
  <si>
    <r>
      <t>宁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匠子商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</si>
  <si>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</si>
  <si>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祥昌号酒坊</t>
  </si>
  <si>
    <r>
      <t>山西祥昌号酒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</si>
  <si>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</si>
  <si>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COLOSSUS'S FARM</t>
  </si>
  <si>
    <r>
      <t>巨人</t>
    </r>
    <r>
      <rPr>
        <sz val="11"/>
        <color theme="1"/>
        <rFont val="ＭＳ Ｐゴシック"/>
        <family val="3"/>
        <charset val="134"/>
        <scheme val="minor"/>
      </rPr>
      <t>农场农业</t>
    </r>
    <r>
      <rPr>
        <sz val="11"/>
        <color theme="1"/>
        <rFont val="ＭＳ Ｐゴシック"/>
        <family val="3"/>
        <charset val="128"/>
        <scheme val="minor"/>
      </rPr>
      <t>科技（澳大利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</si>
  <si>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葡萄酒; 利口酒; 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威士忌</t>
    </r>
  </si>
  <si>
    <t>XIAOKOULIANG</t>
  </si>
  <si>
    <t>王大航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</si>
  <si>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甘蔗制烈酒; 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</si>
  <si>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粮御使</t>
  </si>
  <si>
    <r>
      <t>黄建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</si>
  <si>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烈酒</t>
    </r>
  </si>
  <si>
    <r>
      <t>坚</t>
    </r>
    <r>
      <rPr>
        <sz val="11"/>
        <color theme="1"/>
        <rFont val="ＭＳ Ｐゴシック"/>
        <family val="3"/>
        <charset val="128"/>
        <scheme val="minor"/>
      </rPr>
      <t>十八</t>
    </r>
  </si>
  <si>
    <r>
      <t>广西追源食品网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</si>
  <si>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利口酒;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开胃酒; 蜂蜜酒; 梨酒</t>
    </r>
  </si>
  <si>
    <t>圣乾坤</t>
  </si>
  <si>
    <r>
      <t>张</t>
    </r>
    <r>
      <rPr>
        <sz val="11"/>
        <color theme="1"/>
        <rFont val="ＭＳ Ｐゴシック"/>
        <family val="3"/>
        <charset val="128"/>
        <scheme val="minor"/>
      </rPr>
      <t>祖林</t>
    </r>
  </si>
  <si>
    <r>
      <t>白酒; 米酒; 葡萄酒; 威士忌;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</si>
  <si>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酩村 FENGMINGCHUN</t>
    </r>
  </si>
  <si>
    <t>余文静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</si>
  <si>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开胃酒; 烈酒; 清酒（日本米酒）; 果酒（含酒精）; 威士忌</t>
    </r>
  </si>
  <si>
    <r>
      <t>私</t>
    </r>
    <r>
      <rPr>
        <sz val="11"/>
        <color theme="1"/>
        <rFont val="ＭＳ Ｐゴシック"/>
        <family val="3"/>
        <charset val="134"/>
        <scheme val="minor"/>
      </rPr>
      <t>语</t>
    </r>
  </si>
  <si>
    <r>
      <t xml:space="preserve">黄酒;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</si>
  <si>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r>
      <t>鲜</t>
    </r>
    <r>
      <rPr>
        <sz val="11"/>
        <color theme="1"/>
        <rFont val="ＭＳ Ｐゴシック"/>
        <family val="3"/>
        <charset val="128"/>
        <scheme val="minor"/>
      </rPr>
      <t>牛</t>
    </r>
    <r>
      <rPr>
        <sz val="11"/>
        <color theme="1"/>
        <rFont val="ＭＳ Ｐゴシック"/>
        <family val="3"/>
        <charset val="134"/>
        <scheme val="minor"/>
      </rPr>
      <t>围</t>
    </r>
    <r>
      <rPr>
        <sz val="11"/>
        <color theme="1"/>
        <rFont val="ＭＳ Ｐゴシック"/>
        <family val="3"/>
        <charset val="128"/>
        <scheme val="minor"/>
      </rPr>
      <t>煮</t>
    </r>
  </si>
  <si>
    <r>
      <t>北京志美福鑫商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</si>
  <si>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黄酒;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果酒（含酒精）; 白酒; 米酒; 食用酒精;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</si>
  <si>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古关中 酒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</si>
  <si>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西省关中酒有限公司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</si>
  <si>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白酒; 开胃酒;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</t>
    </r>
  </si>
  <si>
    <t>棡</t>
  </si>
  <si>
    <t>成程</t>
  </si>
  <si>
    <r>
      <t>白酒; 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米酒;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</si>
  <si>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溪河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</si>
  <si>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</si>
  <si>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>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白干酒（中国白酒）; 蒸煮提取物（利口酒和烈酒）;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</si>
  <si>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井奈</t>
  </si>
  <si>
    <r>
      <t>深圳市源派包装</t>
    </r>
    <r>
      <rPr>
        <sz val="11"/>
        <color theme="1"/>
        <rFont val="ＭＳ Ｐゴシック"/>
        <family val="3"/>
        <charset val="134"/>
        <scheme val="minor"/>
      </rPr>
      <t>设计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</si>
  <si>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果酒（含酒精）; 威士忌; 葡萄酒;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</si>
  <si>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好酩堂</t>
  </si>
  <si>
    <r>
      <t>杨</t>
    </r>
    <r>
      <rPr>
        <sz val="11"/>
        <color theme="1"/>
        <rFont val="ＭＳ Ｐゴシック"/>
        <family val="3"/>
        <charset val="128"/>
        <scheme val="minor"/>
      </rPr>
      <t>根生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</si>
  <si>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蜂蜜酒;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</si>
  <si>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八保寨</t>
  </si>
  <si>
    <r>
      <t>十堰市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洲智慧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</si>
  <si>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甜酒; 果酒（含酒精）; 果酒; 白酒; 米酒; 清酒; 黄酒; 威士忌</t>
    </r>
  </si>
  <si>
    <r>
      <t>龟</t>
    </r>
    <r>
      <rPr>
        <sz val="11"/>
        <color theme="1"/>
        <rFont val="ＭＳ Ｐゴシック"/>
        <family val="3"/>
        <charset val="128"/>
        <scheme val="minor"/>
      </rPr>
      <t>本酒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</si>
  <si>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米酒; 白酒; 威士忌;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</si>
  <si>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CGCF</t>
  </si>
  <si>
    <r>
      <t>中国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色碳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基金会</t>
    </r>
  </si>
  <si>
    <r>
      <t>白酒; 汽酒; 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朗姆酒; 米酒</t>
    </r>
  </si>
  <si>
    <t>祁将</t>
  </si>
  <si>
    <r>
      <t>祁朝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</si>
  <si>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开胃酒;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</si>
  <si>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快</t>
    </r>
    <r>
      <rPr>
        <sz val="11"/>
        <color theme="1"/>
        <rFont val="ＭＳ Ｐゴシック"/>
        <family val="3"/>
        <charset val="134"/>
        <scheme val="minor"/>
      </rPr>
      <t>乐飞</t>
    </r>
  </si>
  <si>
    <r>
      <t>百千万（武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）投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</si>
  <si>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茴香酒（利口酒）;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</si>
  <si>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福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鐏</t>
    </r>
  </si>
  <si>
    <r>
      <t>沈智</t>
    </r>
    <r>
      <rPr>
        <sz val="11"/>
        <color theme="1"/>
        <rFont val="ＭＳ Ｐゴシック"/>
        <family val="3"/>
        <charset val="134"/>
        <scheme val="minor"/>
      </rPr>
      <t>标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</si>
  <si>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</t>
    </r>
  </si>
  <si>
    <t>知北村宋氏粉坊</t>
  </si>
  <si>
    <r>
      <t>梅河口市</t>
    </r>
    <r>
      <rPr>
        <sz val="11"/>
        <color theme="1"/>
        <rFont val="ＭＳ Ｐゴシック"/>
        <family val="3"/>
        <charset val="134"/>
        <scheme val="minor"/>
      </rPr>
      <t>鹭</t>
    </r>
    <r>
      <rPr>
        <sz val="11"/>
        <color theme="1"/>
        <rFont val="ＭＳ Ｐゴシック"/>
        <family val="3"/>
        <charset val="128"/>
        <scheme val="minor"/>
      </rPr>
      <t>航旅游管理有限公司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</si>
  <si>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酸酒（低等葡萄酒）;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</si>
  <si>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鸟</t>
    </r>
    <r>
      <rPr>
        <sz val="11"/>
        <color theme="1"/>
        <rFont val="ＭＳ Ｐゴシック"/>
        <family val="3"/>
        <charset val="128"/>
        <scheme val="minor"/>
      </rPr>
      <t>人</t>
    </r>
    <r>
      <rPr>
        <sz val="11"/>
        <color theme="1"/>
        <rFont val="ＭＳ Ｐゴシック"/>
        <family val="3"/>
        <charset val="134"/>
        <scheme val="minor"/>
      </rPr>
      <t>艺术</t>
    </r>
    <r>
      <rPr>
        <sz val="11"/>
        <color theme="1"/>
        <rFont val="ＭＳ Ｐゴシック"/>
        <family val="3"/>
        <charset val="128"/>
        <scheme val="minor"/>
      </rPr>
      <t>推广有限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</si>
  <si>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亚</t>
    </r>
    <r>
      <rPr>
        <sz val="11"/>
        <color theme="1"/>
        <rFont val="ＭＳ Ｐゴシック"/>
        <family val="3"/>
        <charset val="128"/>
        <scheme val="minor"/>
      </rPr>
      <t>力酒;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开胃酒;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伏特加酒;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白酒; 茴芹酒（利口酒）; 威士忌; 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苦味酒;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</si>
  <si>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ZLTY ZHILI COUNTRYSIDE 直隶田园</t>
  </si>
  <si>
    <r>
      <t>保定市</t>
    </r>
    <r>
      <rPr>
        <sz val="11"/>
        <color theme="1"/>
        <rFont val="ＭＳ Ｐゴシック"/>
        <family val="3"/>
        <charset val="134"/>
        <scheme val="minor"/>
      </rPr>
      <t>农产</t>
    </r>
    <r>
      <rPr>
        <sz val="11"/>
        <color theme="1"/>
        <rFont val="ＭＳ Ｐゴシック"/>
        <family val="3"/>
        <charset val="128"/>
        <scheme val="minor"/>
      </rPr>
      <t>品品牌</t>
    </r>
    <r>
      <rPr>
        <sz val="11"/>
        <color theme="1"/>
        <rFont val="ＭＳ Ｐゴシック"/>
        <family val="3"/>
        <charset val="134"/>
        <scheme val="minor"/>
      </rPr>
      <t>协</t>
    </r>
    <r>
      <rPr>
        <sz val="11"/>
        <color theme="1"/>
        <rFont val="ＭＳ Ｐゴシック"/>
        <family val="3"/>
        <charset val="128"/>
        <scheme val="minor"/>
      </rPr>
      <t>会</t>
    </r>
  </si>
  <si>
    <r>
      <t>葡萄酒; 米酒; 白酒; 高粱酒; 开胃酒;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</si>
  <si>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珞</t>
    </r>
    <r>
      <rPr>
        <sz val="11"/>
        <color theme="1"/>
        <rFont val="ＭＳ Ｐゴシック"/>
        <family val="3"/>
        <charset val="134"/>
        <scheme val="minor"/>
      </rPr>
      <t>萨</t>
    </r>
    <r>
      <rPr>
        <sz val="11"/>
        <color theme="1"/>
        <rFont val="ＭＳ Ｐゴシック"/>
        <family val="3"/>
        <charset val="128"/>
        <scheme val="minor"/>
      </rPr>
      <t>歪脖儿梅拉</t>
    </r>
  </si>
  <si>
    <r>
      <t>内蒙古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牧商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</si>
  <si>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起泡白葡萄酒; 不起泡葡萄酒; 葡萄汽酒;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白葡萄酒; 混合威士忌酒</t>
    </r>
  </si>
  <si>
    <r>
      <t>鲜</t>
    </r>
    <r>
      <rPr>
        <sz val="11"/>
        <color theme="1"/>
        <rFont val="ＭＳ Ｐゴシック"/>
        <family val="3"/>
        <charset val="128"/>
        <scheme val="minor"/>
      </rPr>
      <t>抖</t>
    </r>
    <r>
      <rPr>
        <sz val="11"/>
        <color theme="1"/>
        <rFont val="ＭＳ Ｐゴシック"/>
        <family val="3"/>
        <charset val="134"/>
        <scheme val="minor"/>
      </rPr>
      <t>鲜</t>
    </r>
  </si>
  <si>
    <r>
      <t>新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捞</t>
    </r>
    <r>
      <rPr>
        <sz val="11"/>
        <color theme="1"/>
        <rFont val="ＭＳ Ｐゴシック"/>
        <family val="3"/>
        <charset val="128"/>
        <scheme val="minor"/>
      </rPr>
      <t>抖</t>
    </r>
    <r>
      <rPr>
        <sz val="11"/>
        <color theme="1"/>
        <rFont val="ＭＳ Ｐゴシック"/>
        <family val="3"/>
        <charset val="134"/>
        <scheme val="minor"/>
      </rPr>
      <t>捞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</si>
  <si>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青稞酒; 米酒; 果酒（含酒精）; 葡萄酒; 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</si>
  <si>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洋河非凡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</si>
  <si>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洋河酒厂股份有限公司</t>
    </r>
  </si>
  <si>
    <r>
      <t>蒸煮提取物（利口酒和烈酒）;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食用酒精;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果酒（含酒精）</t>
    </r>
  </si>
  <si>
    <r>
      <t>欢乐</t>
    </r>
    <r>
      <rPr>
        <sz val="11"/>
        <color theme="1"/>
        <rFont val="ＭＳ Ｐゴシック"/>
        <family val="3"/>
        <charset val="128"/>
        <scheme val="minor"/>
      </rPr>
      <t>GOODTIME FRIENDSHIP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存</t>
    </r>
  </si>
  <si>
    <r>
      <t>兴</t>
    </r>
    <r>
      <rPr>
        <sz val="11"/>
        <color theme="1"/>
        <rFont val="ＭＳ Ｐゴシック"/>
        <family val="3"/>
        <charset val="128"/>
        <scheme val="minor"/>
      </rPr>
      <t>文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大仁和商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</si>
  <si>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青稞酒;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清酒; 利口酒</t>
    </r>
  </si>
  <si>
    <r>
      <t>金窖</t>
    </r>
    <r>
      <rPr>
        <sz val="11"/>
        <color theme="1"/>
        <rFont val="ＭＳ Ｐゴシック"/>
        <family val="3"/>
        <charset val="134"/>
        <scheme val="minor"/>
      </rPr>
      <t>书</t>
    </r>
  </si>
  <si>
    <r>
      <t>胡敏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</si>
  <si>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 xml:space="preserve">甜酒; 高粱酒; 苹果酒; 白酒; 利口酒;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开胃酒; 白干酒（中国白酒）</t>
    </r>
  </si>
  <si>
    <t>HARMALIA</t>
  </si>
  <si>
    <t>夏凡葡萄酒公司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</si>
  <si>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</si>
  <si>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畅</t>
    </r>
    <r>
      <rPr>
        <sz val="11"/>
        <color theme="1"/>
        <rFont val="ＭＳ Ｐゴシック"/>
        <family val="3"/>
        <charset val="128"/>
        <scheme val="minor"/>
      </rPr>
      <t>游疆湖</t>
    </r>
  </si>
  <si>
    <t>王廷耀</t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</si>
  <si>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米酒</t>
    </r>
  </si>
  <si>
    <t>磨迩学园 MOOR AKADEMIE</t>
  </si>
  <si>
    <r>
      <t>摩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学园（</t>
    </r>
    <r>
      <rPr>
        <sz val="11"/>
        <color theme="1"/>
        <rFont val="ＭＳ Ｐゴシック"/>
        <family val="3"/>
        <charset val="134"/>
        <scheme val="minor"/>
      </rPr>
      <t>绍兴</t>
    </r>
    <r>
      <rPr>
        <sz val="11"/>
        <color theme="1"/>
        <rFont val="ＭＳ Ｐゴシック"/>
        <family val="3"/>
        <charset val="128"/>
        <scheme val="minor"/>
      </rPr>
      <t>越城）文化科技有限公司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</si>
  <si>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开胃酒; 葡萄酒; 果酒; 白酒</t>
    </r>
  </si>
  <si>
    <r>
      <t>川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村</t>
    </r>
  </si>
  <si>
    <r>
      <t>姚杰</t>
    </r>
    <r>
      <rPr>
        <sz val="11"/>
        <color theme="1"/>
        <rFont val="ＭＳ Ｐゴシック"/>
        <family val="3"/>
        <charset val="134"/>
        <scheme val="minor"/>
      </rPr>
      <t>栊</t>
    </r>
  </si>
  <si>
    <r>
      <t>黄酒; 果酒; 葡萄酒; 白酒; 白干酒（中国白酒）; 烈酒;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</t>
    </r>
  </si>
  <si>
    <r>
      <t>一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果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</si>
  <si>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中卓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保能源科技有限公司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</si>
  <si>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烈酒; 甜酒; 葡萄酒;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</si>
  <si>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白干酒（中国白酒）;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米酒; 果酒; 黄酒</t>
    </r>
  </si>
  <si>
    <t>川响</t>
  </si>
  <si>
    <r>
      <t>张丽</t>
    </r>
    <r>
      <rPr>
        <sz val="11"/>
        <color theme="1"/>
        <rFont val="ＭＳ Ｐゴシック"/>
        <family val="3"/>
        <charset val="128"/>
        <scheme val="minor"/>
      </rPr>
      <t>宁</t>
    </r>
  </si>
  <si>
    <t>米酒; 酸酒（低等葡萄酒）; 威士忌; 烈酒; 果酒（含酒精）; 白酒; 甜酒; 高粱酒; 清酒; 梅酒</t>
  </si>
  <si>
    <t>原麦王子</t>
  </si>
  <si>
    <r>
      <t>任浩</t>
    </r>
    <r>
      <rPr>
        <sz val="11"/>
        <color theme="1"/>
        <rFont val="ＭＳ Ｐゴシック"/>
        <family val="3"/>
        <charset val="134"/>
        <scheme val="minor"/>
      </rPr>
      <t>莹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</si>
  <si>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黄酒;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</si>
  <si>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米酒; 果酒; 烈酒</t>
    </r>
  </si>
  <si>
    <t>玉屋</t>
  </si>
  <si>
    <t>张凯鹏</t>
  </si>
  <si>
    <t>甜酒; 清酒; 米酒; 梅酒; 烈酒; 高粱酒; 威士忌; 果酒（含酒精）; 酸酒（低等葡萄酒）; 白酒</t>
  </si>
  <si>
    <r>
      <t xml:space="preserve">高粱酒;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果酒; 米酒; 黄酒; 白酒;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葡萄酒</t>
    </r>
  </si>
  <si>
    <t>毛璞</t>
  </si>
  <si>
    <r>
      <t>曾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梅</t>
    </r>
  </si>
  <si>
    <r>
      <t xml:space="preserve">白酒; 黄酒;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青稞酒; 米酒; 清酒（日本米酒）; 葡萄酒</t>
    </r>
  </si>
  <si>
    <r>
      <t>瑞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清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醇</t>
    </r>
  </si>
  <si>
    <r>
      <t>昆明至道生物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</si>
  <si>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甜酒;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果酒; 蒸煮提取物（利口酒和烈酒）; 露酒; 高粱酒; 青稞酒; 梅酒</t>
    </r>
  </si>
  <si>
    <t>公子亮</t>
  </si>
  <si>
    <r>
      <t>李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亮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</si>
  <si>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</t>
    </r>
  </si>
  <si>
    <t>臻博园</t>
  </si>
  <si>
    <r>
      <t>成都正中医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</si>
  <si>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茴香酒; 苦艾酒;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五加皮酒（中国混合烈酒）; 蝮蛇酒;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</si>
  <si>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MISFITS AND MAVENS</t>
  </si>
  <si>
    <r>
      <t>迈</t>
    </r>
    <r>
      <rPr>
        <sz val="11"/>
        <color theme="1"/>
        <rFont val="ＭＳ Ｐゴシック"/>
        <family val="3"/>
        <charset val="128"/>
        <scheme val="minor"/>
      </rPr>
      <t>克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-大</t>
    </r>
    <r>
      <rPr>
        <sz val="11"/>
        <color theme="1"/>
        <rFont val="ＭＳ Ｐゴシック"/>
        <family val="3"/>
        <charset val="134"/>
        <scheme val="minor"/>
      </rPr>
      <t>卫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</si>
  <si>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佐餐酒; 开胃酒; 烈酒;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白葡萄酒; 起泡白葡萄酒;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不起泡葡萄酒</t>
    </r>
  </si>
  <si>
    <r>
      <t>宸宇</t>
    </r>
    <r>
      <rPr>
        <sz val="11"/>
        <color theme="1"/>
        <rFont val="ＭＳ Ｐゴシック"/>
        <family val="3"/>
        <charset val="134"/>
        <scheme val="minor"/>
      </rPr>
      <t>宫</t>
    </r>
  </si>
  <si>
    <r>
      <t>广州鑫欧商</t>
    </r>
    <r>
      <rPr>
        <sz val="11"/>
        <color theme="1"/>
        <rFont val="ＭＳ Ｐゴシック"/>
        <family val="3"/>
        <charset val="134"/>
        <scheme val="minor"/>
      </rPr>
      <t>贸进</t>
    </r>
    <r>
      <rPr>
        <sz val="11"/>
        <color theme="1"/>
        <rFont val="ＭＳ Ｐゴシック"/>
        <family val="3"/>
        <charset val="128"/>
        <scheme val="minor"/>
      </rPr>
      <t>出口有限公司</t>
    </r>
  </si>
  <si>
    <r>
      <t>果酒; 黄酒; 梅酒;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露酒; 汽酒</t>
    </r>
  </si>
  <si>
    <r>
      <t>深圳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皋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 SHENZHEN HUAGAO TRADE INDUSTRY CO.</t>
    </r>
  </si>
  <si>
    <r>
      <t>深圳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皋科技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</si>
  <si>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高粱酒; 烈酒; 烈性干酒;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果酒; 白酒; 黄酒;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</t>
    </r>
  </si>
  <si>
    <r>
      <t>庆</t>
    </r>
    <r>
      <rPr>
        <sz val="11"/>
        <color theme="1"/>
        <rFont val="ＭＳ Ｐゴシック"/>
        <family val="3"/>
        <charset val="128"/>
        <scheme val="minor"/>
      </rPr>
      <t>功山</t>
    </r>
  </si>
  <si>
    <r>
      <t>北京泰信隆达商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</si>
  <si>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开胃酒; 苹果酒;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</si>
  <si>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利口酒; 清酒（日本米酒）; 威士忌;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</si>
  <si>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凸然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</si>
  <si>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州谷之醇酒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</si>
  <si>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</t>
    </r>
  </si>
  <si>
    <t>南科情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</si>
  <si>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朗姆酒; 白干酒（中国白酒）; 白酒; 米酒; 威士忌; 果酒</t>
    </r>
  </si>
  <si>
    <r>
      <t>川</t>
    </r>
    <r>
      <rPr>
        <sz val="11"/>
        <color theme="1"/>
        <rFont val="ＭＳ Ｐゴシック"/>
        <family val="3"/>
        <charset val="134"/>
        <scheme val="minor"/>
      </rPr>
      <t>兴龙</t>
    </r>
    <r>
      <rPr>
        <sz val="11"/>
        <color theme="1"/>
        <rFont val="ＭＳ Ｐゴシック"/>
        <family val="3"/>
        <charset val="128"/>
        <scheme val="minor"/>
      </rPr>
      <t>潭</t>
    </r>
  </si>
  <si>
    <t>李春</t>
  </si>
  <si>
    <r>
      <t xml:space="preserve">清酒（日本米酒）; 白酒; 黄酒; 米酒;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果酒;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</si>
  <si>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宫</t>
    </r>
    <r>
      <rPr>
        <sz val="11"/>
        <color theme="1"/>
        <rFont val="ＭＳ Ｐゴシック"/>
        <family val="3"/>
        <charset val="128"/>
        <scheme val="minor"/>
      </rPr>
      <t>廷台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</si>
  <si>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州元气淋漓酒庄有限公司</t>
    </r>
  </si>
  <si>
    <r>
      <t xml:space="preserve">威士忌; 烈酒;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</si>
  <si>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藏</t>
    </r>
    <r>
      <rPr>
        <sz val="11"/>
        <color theme="1"/>
        <rFont val="ＭＳ Ｐゴシック"/>
        <family val="3"/>
        <charset val="134"/>
        <scheme val="minor"/>
      </rPr>
      <t>锋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</si>
  <si>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市笛女酒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</si>
  <si>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米酒; 食用酒精; 青稞酒; 白酒; 苦味酒</t>
    </r>
  </si>
  <si>
    <r>
      <t>论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34"/>
        <scheme val="minor"/>
      </rPr>
      <t>负</t>
    </r>
  </si>
  <si>
    <r>
      <t>连</t>
    </r>
    <r>
      <rPr>
        <sz val="11"/>
        <color theme="1"/>
        <rFont val="ＭＳ Ｐゴシック"/>
        <family val="3"/>
        <charset val="128"/>
        <scheme val="minor"/>
      </rPr>
      <t>城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莒溪</t>
    </r>
    <r>
      <rPr>
        <sz val="11"/>
        <color theme="1"/>
        <rFont val="ＭＳ Ｐゴシック"/>
        <family val="3"/>
        <charset val="134"/>
        <scheme val="minor"/>
      </rPr>
      <t>渔</t>
    </r>
    <r>
      <rPr>
        <sz val="11"/>
        <color theme="1"/>
        <rFont val="ＭＳ Ｐゴシック"/>
        <family val="3"/>
        <charset val="128"/>
        <scheme val="minor"/>
      </rPr>
      <t>小小互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经营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</si>
  <si>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 xml:space="preserve">蒸煮提取物（利口酒和烈酒）; 米酒;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威士忌</t>
    </r>
  </si>
  <si>
    <t>S STARSHINE POWER</t>
  </si>
  <si>
    <r>
      <t xml:space="preserve">威士忌; 白酒;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</t>
    </r>
  </si>
  <si>
    <r>
      <t>津味福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 xml:space="preserve"> 福</t>
    </r>
  </si>
  <si>
    <r>
      <t>天津津味福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</si>
  <si>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</si>
  <si>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蒙棘神久</t>
  </si>
  <si>
    <t>辛国清</t>
  </si>
  <si>
    <r>
      <t xml:space="preserve">白酒; 开胃酒; 清酒（日本米酒）;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利口酒;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</si>
  <si>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庞</t>
    </r>
    <r>
      <rPr>
        <sz val="11"/>
        <color theme="1"/>
        <rFont val="ＭＳ Ｐゴシック"/>
        <family val="3"/>
        <charset val="128"/>
        <scheme val="minor"/>
      </rPr>
      <t>迪泉</t>
    </r>
  </si>
  <si>
    <r>
      <t>内蒙古</t>
    </r>
    <r>
      <rPr>
        <sz val="11"/>
        <color theme="1"/>
        <rFont val="ＭＳ Ｐゴシック"/>
        <family val="3"/>
        <charset val="134"/>
        <scheme val="minor"/>
      </rPr>
      <t>庞</t>
    </r>
    <r>
      <rPr>
        <sz val="11"/>
        <color theme="1"/>
        <rFont val="ＭＳ Ｐゴシック"/>
        <family val="3"/>
        <charset val="128"/>
        <scheme val="minor"/>
      </rPr>
      <t>老香食品有限公司</t>
    </r>
  </si>
  <si>
    <r>
      <t>苹果酒;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</si>
  <si>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荷</t>
    </r>
    <r>
      <rPr>
        <sz val="11"/>
        <color theme="1"/>
        <rFont val="ＭＳ Ｐゴシック"/>
        <family val="3"/>
        <charset val="129"/>
        <scheme val="minor"/>
      </rPr>
      <t>酕</t>
    </r>
    <r>
      <rPr>
        <sz val="11"/>
        <color theme="1"/>
        <rFont val="ＭＳ Ｐゴシック"/>
        <family val="3"/>
        <charset val="128"/>
        <scheme val="minor"/>
      </rPr>
      <t>子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</si>
  <si>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果酒（含酒精）; 烈酒;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葡萄酒;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</si>
  <si>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BEIDELI</t>
  </si>
  <si>
    <t>江西倍得力生物工程有限公司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</si>
  <si>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茴芹酒（利口酒）;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白酒</t>
    </r>
  </si>
  <si>
    <r>
      <t>匠</t>
    </r>
    <r>
      <rPr>
        <sz val="11"/>
        <color theme="1"/>
        <rFont val="ＭＳ Ｐゴシック"/>
        <family val="3"/>
        <charset val="134"/>
        <scheme val="minor"/>
      </rPr>
      <t>浓</t>
    </r>
    <r>
      <rPr>
        <sz val="11"/>
        <color theme="1"/>
        <rFont val="ＭＳ Ｐゴシック"/>
        <family val="3"/>
        <charset val="128"/>
        <scheme val="minor"/>
      </rPr>
      <t>清</t>
    </r>
    <r>
      <rPr>
        <sz val="11"/>
        <color theme="1"/>
        <rFont val="ＭＳ Ｐゴシック"/>
        <family val="3"/>
        <charset val="134"/>
        <scheme val="minor"/>
      </rPr>
      <t>赣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</si>
  <si>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烈酒(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料); 清酒(日本米酒);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果酒(含酒精); 葡萄酒; 开胃酒; 白酒</t>
    </r>
  </si>
  <si>
    <t>星耀力量 STARSHINE POWER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</si>
  <si>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利口酒;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清酒（日本米酒）</t>
    </r>
  </si>
  <si>
    <r>
      <t>枞</t>
    </r>
    <r>
      <rPr>
        <sz val="11"/>
        <color theme="1"/>
        <rFont val="ＭＳ Ｐゴシック"/>
        <family val="3"/>
        <charset val="128"/>
        <scheme val="minor"/>
      </rPr>
      <t>品鑫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</si>
  <si>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</si>
  <si>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米酒; 白酒; 果酒</t>
    </r>
  </si>
  <si>
    <r>
      <t>衡昌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坊御藏</t>
    </r>
  </si>
  <si>
    <r>
      <t xml:space="preserve">利口酒; 黄酒; 高粱酒;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青稞酒; 甜果酒</t>
    </r>
  </si>
  <si>
    <t>王友国</t>
  </si>
  <si>
    <r>
      <t xml:space="preserve">威士忌;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尼瓦（以甘蔗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</si>
  <si>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杭州杭鑫酒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</si>
  <si>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水果汽酒; 蜂蜜酒;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果酒; 露酒; 葡萄酒; 黄酒</t>
    </r>
  </si>
  <si>
    <t>叠翠留香</t>
  </si>
  <si>
    <r>
      <t>福鼎市鼎晟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</si>
  <si>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 xml:space="preserve">米酒; 食用酒精;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汽酒; 白酒; 开胃酒; 葡萄酒; 高粱酒; 黄酒</t>
    </r>
  </si>
  <si>
    <t>古酒沟</t>
  </si>
  <si>
    <r>
      <t>温州市鹿城区澄霓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</si>
  <si>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 xml:space="preserve">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</si>
  <si>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怒江大峡谷</t>
  </si>
  <si>
    <r>
      <t>怒江昂可达生物科技开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</si>
  <si>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葡萄酒; 清酒（日本米酒）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</si>
  <si>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美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</si>
  <si>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黄酒; 蒸煮提取物（利口酒和烈酒）;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</si>
  <si>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沐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壹号</t>
    </r>
  </si>
  <si>
    <t>李雪民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</si>
  <si>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薄荷酒; 汽酒; 白酒; 黄酒; 食用酒精; 果酒（含酒精）; 甜果酒; 米酒; 青稞酒</t>
    </r>
  </si>
  <si>
    <t>TIPSY TIGER</t>
  </si>
  <si>
    <t>徐敏杰</t>
  </si>
  <si>
    <r>
      <t>葡萄酒;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起泡白葡萄酒; 白葡萄酒; 葡萄潘趣酒;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加烈葡萄酒; 葡萄汽酒</t>
    </r>
  </si>
  <si>
    <r>
      <t>紫月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下 THE TREE UNDER THE PURPLE MOON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</si>
  <si>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炳鑫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</si>
  <si>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开胃酒;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黄酒; 餐后酒（利口酒和烈酒）;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</si>
  <si>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r>
      <t>王莽岭</t>
    </r>
    <r>
      <rPr>
        <sz val="11"/>
        <color theme="1"/>
        <rFont val="ＭＳ Ｐゴシック"/>
        <family val="3"/>
        <charset val="134"/>
        <scheme val="minor"/>
      </rPr>
      <t>营盘</t>
    </r>
    <r>
      <rPr>
        <sz val="11"/>
        <color theme="1"/>
        <rFont val="ＭＳ Ｐゴシック"/>
        <family val="3"/>
        <charset val="128"/>
        <scheme val="minor"/>
      </rPr>
      <t>里</t>
    </r>
  </si>
  <si>
    <r>
      <t>陵川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森璟旅游康养有限公司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</si>
  <si>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</si>
  <si>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民厂</t>
    </r>
    <r>
      <rPr>
        <sz val="11"/>
        <color theme="1"/>
        <rFont val="ＭＳ Ｐゴシック"/>
        <family val="3"/>
        <charset val="134"/>
        <scheme val="minor"/>
      </rPr>
      <t>长</t>
    </r>
  </si>
  <si>
    <r>
      <t>李昌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</si>
  <si>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黄酒; 白酒;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</si>
  <si>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绿</t>
    </r>
    <r>
      <rPr>
        <sz val="11"/>
        <color theme="1"/>
        <rFont val="ＭＳ Ｐゴシック"/>
        <family val="3"/>
        <charset val="128"/>
        <scheme val="minor"/>
      </rPr>
      <t>园沃土</t>
    </r>
  </si>
  <si>
    <r>
      <t>阜新小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北食品有限公司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</si>
  <si>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青稞酒; 白酒; 米酒; 果酒（含酒精）; 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高粱酒; 黄酒</t>
    </r>
  </si>
  <si>
    <t>虫鑫</t>
  </si>
  <si>
    <t>成都蟲鑫生物科技有限公司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</si>
  <si>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朗姆酒; 果酒;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伏特加酒; 蜂蜜酒</t>
    </r>
  </si>
  <si>
    <r>
      <t>阿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新街</t>
    </r>
  </si>
  <si>
    <t>李海山</t>
  </si>
  <si>
    <r>
      <t xml:space="preserve">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汽酒;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白酒</t>
    </r>
  </si>
  <si>
    <t>PTBRO BUFULAIGAN</t>
  </si>
  <si>
    <r>
      <t>广州小黄</t>
    </r>
    <r>
      <rPr>
        <sz val="11"/>
        <color theme="1"/>
        <rFont val="ＭＳ Ｐゴシック"/>
        <family val="3"/>
        <charset val="134"/>
        <scheme val="minor"/>
      </rPr>
      <t>鸭</t>
    </r>
    <r>
      <rPr>
        <sz val="11"/>
        <color theme="1"/>
        <rFont val="ＭＳ Ｐゴシック"/>
        <family val="3"/>
        <charset val="128"/>
        <scheme val="minor"/>
      </rPr>
      <t>信息科技有限公司</t>
    </r>
  </si>
  <si>
    <r>
      <t>白酒; 果酒（含酒精）; 开胃酒;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</si>
  <si>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灵医寿</t>
  </si>
  <si>
    <r>
      <t>陈</t>
    </r>
    <r>
      <rPr>
        <sz val="11"/>
        <color theme="1"/>
        <rFont val="ＭＳ Ｐゴシック"/>
        <family val="3"/>
        <charset val="128"/>
        <scheme val="minor"/>
      </rPr>
      <t>焱焱</t>
    </r>
  </si>
  <si>
    <r>
      <t xml:space="preserve">清酒（日本米酒）; 烈酒;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威士忌; 白酒; 开胃酒; 葡萄酒</t>
    </r>
  </si>
  <si>
    <t>李老大福多多</t>
  </si>
  <si>
    <t>李涛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</si>
  <si>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白酒; 朗姆酒; 青稞酒; 清酒（日本米酒）; 伏特加酒; 果酒（含酒精）; 威士忌; 黄酒</t>
    </r>
  </si>
  <si>
    <r>
      <t>临</t>
    </r>
    <r>
      <rPr>
        <sz val="11"/>
        <color theme="1"/>
        <rFont val="ＭＳ Ｐゴシック"/>
        <family val="3"/>
        <charset val="128"/>
        <scheme val="minor"/>
      </rPr>
      <t>企村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</si>
  <si>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军军</t>
    </r>
  </si>
  <si>
    <r>
      <t>甜酒; 米酒; 黄酒; 果酒（含酒精）; 食用酒精;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</si>
  <si>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杏林客</t>
  </si>
  <si>
    <r>
      <t>高密市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星莎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</si>
  <si>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 xml:space="preserve">米酒; 黄酒; 白酒; 青稞酒; 烈酒;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葡萄酒</t>
    </r>
  </si>
  <si>
    <r>
      <t>晓</t>
    </r>
    <r>
      <rPr>
        <sz val="11"/>
        <color theme="1"/>
        <rFont val="ＭＳ Ｐゴシック"/>
        <family val="3"/>
        <charset val="128"/>
        <scheme val="minor"/>
      </rPr>
      <t>兄弟</t>
    </r>
  </si>
  <si>
    <r>
      <t>邹</t>
    </r>
    <r>
      <rPr>
        <sz val="11"/>
        <color theme="1"/>
        <rFont val="ＭＳ Ｐゴシック"/>
        <family val="3"/>
        <charset val="128"/>
        <scheme val="minor"/>
      </rPr>
      <t>武君</t>
    </r>
  </si>
  <si>
    <r>
      <t xml:space="preserve">白酒; 开胃酒; 威士忌; 清酒（日本米酒）; 果酒;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</si>
  <si>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典最</t>
  </si>
  <si>
    <r>
      <t>杨</t>
    </r>
    <r>
      <rPr>
        <sz val="11"/>
        <color theme="1"/>
        <rFont val="ＭＳ Ｐゴシック"/>
        <family val="3"/>
        <charset val="128"/>
        <scheme val="minor"/>
      </rPr>
      <t>明</t>
    </r>
    <r>
      <rPr>
        <sz val="11"/>
        <color theme="1"/>
        <rFont val="ＭＳ Ｐゴシック"/>
        <family val="3"/>
        <charset val="134"/>
        <scheme val="minor"/>
      </rPr>
      <t>举</t>
    </r>
  </si>
  <si>
    <r>
      <t>葡萄酒; 蒸煮提取物（利口酒和烈酒）;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</si>
  <si>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钻鸿</t>
    </r>
  </si>
  <si>
    <r>
      <t xml:space="preserve">果酒（含酒精）;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</si>
  <si>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花</t>
    </r>
    <r>
      <rPr>
        <sz val="11"/>
        <color theme="1"/>
        <rFont val="ＭＳ Ｐゴシック"/>
        <family val="3"/>
        <charset val="134"/>
        <scheme val="minor"/>
      </rPr>
      <t>贺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</si>
  <si>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</si>
  <si>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晨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酒宝</t>
    </r>
  </si>
  <si>
    <r>
      <t xml:space="preserve">利口酒; 威士忌;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清酒（日本米酒）; 米酒; 葡萄酒</t>
    </r>
  </si>
  <si>
    <t>FENGHUIQUAN</t>
  </si>
  <si>
    <r>
      <t>彭秋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</si>
  <si>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</si>
  <si>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渡愁</t>
  </si>
  <si>
    <t>易春芳</t>
  </si>
  <si>
    <r>
      <t>清酒（日本米酒）;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开胃酒; 果酒; 烈酒;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</si>
  <si>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蝎老大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</si>
  <si>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</t>
    </r>
    <r>
      <rPr>
        <sz val="11"/>
        <color theme="1"/>
        <rFont val="ＭＳ Ｐゴシック"/>
        <family val="3"/>
        <charset val="134"/>
        <scheme val="minor"/>
      </rPr>
      <t>赖</t>
    </r>
    <r>
      <rPr>
        <sz val="11"/>
        <color theme="1"/>
        <rFont val="ＭＳ Ｐゴシック"/>
        <family val="3"/>
        <charset val="128"/>
        <scheme val="minor"/>
      </rPr>
      <t>家侠酒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</si>
  <si>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果酒（含酒精）;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</si>
  <si>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淮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森 SINCE 2015</t>
    </r>
  </si>
  <si>
    <r>
      <t>安徽佳</t>
    </r>
    <r>
      <rPr>
        <sz val="11"/>
        <color theme="1"/>
        <rFont val="ＭＳ Ｐゴシック"/>
        <family val="3"/>
        <charset val="134"/>
        <scheme val="minor"/>
      </rPr>
      <t>烨农业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</si>
  <si>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开胃酒</t>
    </r>
  </si>
  <si>
    <t>黔酉泉</t>
  </si>
  <si>
    <t>李治官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</si>
  <si>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甘蔗制烈酒;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葡萄酒; 白酒; 米酒</t>
    </r>
  </si>
  <si>
    <t>君攸</t>
  </si>
  <si>
    <r>
      <t>成都拾吾局企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</si>
  <si>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白干酒（中国白酒）;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</si>
  <si>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董酒本草之源</t>
  </si>
  <si>
    <r>
      <t xml:space="preserve">餐后酒（利口酒和烈酒）; 梨酒;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开胃酒; 清酒（日本米酒）; 葡萄酒; 白酒</t>
    </r>
  </si>
  <si>
    <t>今世德</t>
  </si>
  <si>
    <t>李永</t>
  </si>
  <si>
    <r>
      <t>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烈酒; 甜酒</t>
    </r>
  </si>
  <si>
    <r>
      <t>情</t>
    </r>
    <r>
      <rPr>
        <sz val="11"/>
        <color theme="1"/>
        <rFont val="ＭＳ Ｐゴシック"/>
        <family val="3"/>
        <charset val="134"/>
        <scheme val="minor"/>
      </rPr>
      <t>满潇</t>
    </r>
    <r>
      <rPr>
        <sz val="11"/>
        <color theme="1"/>
        <rFont val="ＭＳ Ｐゴシック"/>
        <family val="3"/>
        <charset val="128"/>
        <scheme val="minor"/>
      </rPr>
      <t>湘</t>
    </r>
  </si>
  <si>
    <r>
      <t>金之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(深圳)有限公司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</si>
  <si>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白酒; 黄酒; 青稞酒;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葡萄酒</t>
    </r>
  </si>
  <si>
    <r>
      <t>囍筵</t>
    </r>
    <r>
      <rPr>
        <sz val="11"/>
        <color theme="1"/>
        <rFont val="ＭＳ Ｐゴシック"/>
        <family val="3"/>
        <charset val="134"/>
        <scheme val="minor"/>
      </rPr>
      <t>财发</t>
    </r>
  </si>
  <si>
    <r>
      <t>临</t>
    </r>
    <r>
      <rPr>
        <sz val="11"/>
        <color theme="1"/>
        <rFont val="ＭＳ Ｐゴシック"/>
        <family val="3"/>
        <charset val="128"/>
        <scheme val="minor"/>
      </rPr>
      <t>清市林园街宴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酒水</t>
    </r>
    <r>
      <rPr>
        <sz val="11"/>
        <color theme="1"/>
        <rFont val="ＭＳ Ｐゴシック"/>
        <family val="3"/>
        <charset val="134"/>
        <scheme val="minor"/>
      </rPr>
      <t>经营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</si>
  <si>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 xml:space="preserve">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</si>
  <si>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橡</t>
    </r>
    <r>
      <rPr>
        <sz val="11"/>
        <color theme="1"/>
        <rFont val="ＭＳ Ｐゴシック"/>
        <family val="3"/>
        <charset val="134"/>
        <scheme val="minor"/>
      </rPr>
      <t>树码头</t>
    </r>
  </si>
  <si>
    <t>易延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</si>
  <si>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黑覆盆子酒; 露酒;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食用酒精; 利口酒; 梅酒; 黄酒</t>
    </r>
  </si>
  <si>
    <r>
      <t>五醍</t>
    </r>
    <r>
      <rPr>
        <sz val="11"/>
        <color theme="1"/>
        <rFont val="ＭＳ Ｐゴシック"/>
        <family val="3"/>
        <charset val="134"/>
        <scheme val="minor"/>
      </rPr>
      <t>浆传</t>
    </r>
    <r>
      <rPr>
        <sz val="11"/>
        <color theme="1"/>
        <rFont val="ＭＳ Ｐゴシック"/>
        <family val="3"/>
        <charset val="128"/>
        <scheme val="minor"/>
      </rPr>
      <t>奇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</si>
  <si>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葡萄酒;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</si>
  <si>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草仙</t>
    </r>
  </si>
  <si>
    <r>
      <t>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</si>
  <si>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仁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</si>
  <si>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苹果酒; 餐后酒（利口酒和烈酒）; 米酒; 露酒; 果酒（含酒精）; 白酒; 葡萄酒</t>
    </r>
  </si>
  <si>
    <r>
      <t>蜀山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坡</t>
    </r>
    <r>
      <rPr>
        <sz val="11"/>
        <color theme="1"/>
        <rFont val="ＭＳ Ｐゴシック"/>
        <family val="3"/>
        <charset val="134"/>
        <scheme val="minor"/>
      </rPr>
      <t>书</t>
    </r>
    <r>
      <rPr>
        <sz val="11"/>
        <color theme="1"/>
        <rFont val="ＭＳ Ｐゴシック"/>
        <family val="3"/>
        <charset val="128"/>
        <scheme val="minor"/>
      </rPr>
      <t>院</t>
    </r>
  </si>
  <si>
    <r>
      <t>果酒;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苹果酒; 白酒</t>
    </r>
  </si>
  <si>
    <t>本社</t>
  </si>
  <si>
    <t>李福兵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</si>
  <si>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</si>
  <si>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r>
      <t>法多</t>
    </r>
    <r>
      <rPr>
        <sz val="11"/>
        <color theme="1"/>
        <rFont val="ＭＳ Ｐゴシック"/>
        <family val="3"/>
        <charset val="134"/>
        <scheme val="minor"/>
      </rPr>
      <t>钱</t>
    </r>
  </si>
  <si>
    <r>
      <t>法高集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</si>
  <si>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葡萄酒; 水果汽酒;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高粱酒;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</si>
  <si>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夏祖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</si>
  <si>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商丘云上救援服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</si>
  <si>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</si>
  <si>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赋赢涨</t>
  </si>
  <si>
    <t>徐会</t>
  </si>
  <si>
    <r>
      <t>汽酒; 葡萄酒;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</si>
  <si>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福尖·六福尖</t>
  </si>
  <si>
    <r>
      <t>泗洪</t>
    </r>
    <r>
      <rPr>
        <sz val="11"/>
        <color theme="1"/>
        <rFont val="ＭＳ Ｐゴシック"/>
        <family val="3"/>
        <charset val="134"/>
        <scheme val="minor"/>
      </rPr>
      <t>县东</t>
    </r>
    <r>
      <rPr>
        <sz val="11"/>
        <color theme="1"/>
        <rFont val="ＭＳ Ｐゴシック"/>
        <family val="3"/>
        <charset val="128"/>
        <scheme val="minor"/>
      </rPr>
      <t>方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</si>
  <si>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葡萄酒; 白酒;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</si>
  <si>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画画喜喜</t>
  </si>
  <si>
    <r>
      <t>郑</t>
    </r>
    <r>
      <rPr>
        <sz val="11"/>
        <color theme="1"/>
        <rFont val="ＭＳ Ｐゴシック"/>
        <family val="3"/>
        <charset val="128"/>
        <scheme val="minor"/>
      </rPr>
      <t>海彪</t>
    </r>
  </si>
  <si>
    <r>
      <t>白酒; 果酒（含酒精）; 利口酒;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葡萄酒</t>
    </r>
  </si>
  <si>
    <t>杜萌</t>
  </si>
  <si>
    <r>
      <t>晋城市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松商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</si>
  <si>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伏特加酒;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</t>
    </r>
  </si>
  <si>
    <t>BENIFIL</t>
  </si>
  <si>
    <t>深圳合民生物科技有限公司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</si>
  <si>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白酒</t>
    </r>
  </si>
  <si>
    <t>湖沟人家</t>
  </si>
  <si>
    <r>
      <t>济</t>
    </r>
    <r>
      <rPr>
        <sz val="11"/>
        <color theme="1"/>
        <rFont val="ＭＳ Ｐゴシック"/>
        <family val="3"/>
        <charset val="128"/>
        <scheme val="minor"/>
      </rPr>
      <t>南莱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</si>
  <si>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白葡萄酒;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</si>
  <si>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湖沟庄园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</si>
  <si>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白葡萄酒;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</si>
  <si>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本社生活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</si>
  <si>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葡萄酒; 白酒</t>
    </r>
  </si>
  <si>
    <t>湖沟</t>
  </si>
  <si>
    <r>
      <t>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</t>
    </r>
  </si>
  <si>
    <t>世一品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</si>
  <si>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果酒（含酒精）; 白酒;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清酒（日本米酒）; 开胃酒</t>
    </r>
  </si>
  <si>
    <t>衍圣孔</t>
  </si>
  <si>
    <r>
      <t>曲阜市孔御府酒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</si>
  <si>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</si>
  <si>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河南具茨酒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</si>
  <si>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果酒（含酒精）;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清酒; 黄酒</t>
    </r>
  </si>
  <si>
    <t>文养特</t>
  </si>
  <si>
    <r>
      <t>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</si>
  <si>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全道太和堂</t>
  </si>
  <si>
    <r>
      <t>王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明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</si>
  <si>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葡萄酒;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</t>
    </r>
  </si>
  <si>
    <t>千真</t>
  </si>
  <si>
    <r>
      <t>白酒; 清酒;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威士忌; 汽酒; 食用酒精; 米酒</t>
    </r>
  </si>
  <si>
    <r>
      <t>延吉市</t>
    </r>
    <r>
      <rPr>
        <sz val="11"/>
        <color theme="1"/>
        <rFont val="ＭＳ Ｐゴシック"/>
        <family val="3"/>
        <charset val="134"/>
        <scheme val="minor"/>
      </rPr>
      <t>财</t>
    </r>
    <r>
      <rPr>
        <sz val="11"/>
        <color theme="1"/>
        <rFont val="ＭＳ Ｐゴシック"/>
        <family val="3"/>
        <charset val="128"/>
        <scheme val="minor"/>
      </rPr>
      <t>运沃广告服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中心</t>
    </r>
  </si>
  <si>
    <r>
      <t>米酒;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 xml:space="preserve">族米酒; 苹果酒; 葡萄酒; 白酒; 蜂蜜酒; 黄酒; 果酒（含酒精）;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</si>
  <si>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小酒</t>
    </r>
    <r>
      <rPr>
        <sz val="11"/>
        <color theme="1"/>
        <rFont val="ＭＳ Ｐゴシック"/>
        <family val="3"/>
        <charset val="134"/>
        <scheme val="minor"/>
      </rPr>
      <t>经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</si>
  <si>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小利</t>
    </r>
  </si>
  <si>
    <r>
      <t xml:space="preserve">高粱酒; 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</si>
  <si>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VSO</t>
  </si>
  <si>
    <t>方达</t>
  </si>
  <si>
    <r>
      <t>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清酒; 威士忌</t>
    </r>
  </si>
  <si>
    <t>太一天行</t>
  </si>
  <si>
    <r>
      <t>太一技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（太原）有限公司</t>
    </r>
  </si>
  <si>
    <r>
      <t>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</si>
  <si>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GCDS</t>
  </si>
  <si>
    <r>
      <t>千年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黎世（香港）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</si>
  <si>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烈酒; 米酒</t>
    </r>
  </si>
  <si>
    <t>冰山一角</t>
  </si>
  <si>
    <r>
      <t>郭得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</si>
  <si>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葡萄酒; 开胃酒; 白酒; 高粱酒;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</si>
  <si>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VIXO</t>
  </si>
  <si>
    <t>黄文才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</si>
  <si>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汽酒; 伏特加酒;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黄酒</t>
    </r>
  </si>
  <si>
    <r>
      <t>上南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</si>
  <si>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杨颖</t>
    </r>
    <r>
      <rPr>
        <sz val="11"/>
        <color theme="1"/>
        <rFont val="ＭＳ Ｐゴシック"/>
        <family val="3"/>
        <charset val="128"/>
        <scheme val="minor"/>
      </rPr>
      <t>弘</t>
    </r>
  </si>
  <si>
    <r>
      <t>葡萄酒;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露酒;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</si>
  <si>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元英冬益</t>
  </si>
  <si>
    <r>
      <t>烈酒;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白干酒（中国白酒）; 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白酒; 草本型利口酒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</si>
  <si>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德</t>
    </r>
    <r>
      <rPr>
        <sz val="11"/>
        <color theme="1"/>
        <rFont val="ＭＳ Ｐゴシック"/>
        <family val="3"/>
        <charset val="134"/>
        <scheme val="minor"/>
      </rPr>
      <t>赚</t>
    </r>
  </si>
  <si>
    <r>
      <t>成都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蓉食品有限公司</t>
    </r>
  </si>
  <si>
    <r>
      <t>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</si>
  <si>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醉榕</t>
    </r>
    <r>
      <rPr>
        <sz val="11"/>
        <color theme="1"/>
        <rFont val="ＭＳ Ｐゴシック"/>
        <family val="3"/>
        <charset val="129"/>
        <scheme val="minor"/>
      </rPr>
      <t>榳</t>
    </r>
  </si>
  <si>
    <r>
      <t>成都市榕庭园餐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</si>
  <si>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威士忌;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</si>
  <si>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汐玥山</t>
  </si>
  <si>
    <r>
      <t>朱炫</t>
    </r>
    <r>
      <rPr>
        <sz val="11"/>
        <color theme="1"/>
        <rFont val="ＭＳ Ｐゴシック"/>
        <family val="3"/>
        <charset val="134"/>
        <scheme val="minor"/>
      </rPr>
      <t>铧</t>
    </r>
  </si>
  <si>
    <r>
      <t>白酒; 黄酒; 开胃酒;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</si>
  <si>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SAVI</t>
  </si>
  <si>
    <t>中山市夏唯家居科技有限公司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</si>
  <si>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汽酒; 葡萄酒; 清酒（日本米酒）; 食用酒精;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</si>
  <si>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怡生</t>
    </r>
    <r>
      <rPr>
        <sz val="11"/>
        <color theme="1"/>
        <rFont val="ＭＳ Ｐゴシック"/>
        <family val="3"/>
        <charset val="134"/>
        <scheme val="minor"/>
      </rPr>
      <t>铭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</si>
  <si>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启</t>
    </r>
    <r>
      <rPr>
        <sz val="11"/>
        <color theme="1"/>
        <rFont val="ＭＳ Ｐゴシック"/>
        <family val="3"/>
        <charset val="134"/>
        <scheme val="minor"/>
      </rPr>
      <t>财</t>
    </r>
    <r>
      <rPr>
        <sz val="11"/>
        <color theme="1"/>
        <rFont val="ＭＳ Ｐゴシック"/>
        <family val="3"/>
        <charset val="128"/>
        <scheme val="minor"/>
      </rPr>
      <t>*****************X</t>
    </r>
  </si>
  <si>
    <r>
      <t>清酒（日本米酒）;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</si>
  <si>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夏唯</t>
  </si>
  <si>
    <r>
      <t xml:space="preserve">果酒（含酒精）; 清酒（日本米酒）;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葡萄酒;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</si>
  <si>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独</t>
    </r>
    <r>
      <rPr>
        <sz val="11"/>
        <color theme="1"/>
        <rFont val="ＭＳ Ｐゴシック"/>
        <family val="3"/>
        <charset val="134"/>
        <scheme val="minor"/>
      </rPr>
      <t>库</t>
    </r>
    <r>
      <rPr>
        <sz val="11"/>
        <color theme="1"/>
        <rFont val="ＭＳ Ｐゴシック"/>
        <family val="3"/>
        <charset val="128"/>
        <scheme val="minor"/>
      </rPr>
      <t>震益号</t>
    </r>
  </si>
  <si>
    <r>
      <t>克拉</t>
    </r>
    <r>
      <rPr>
        <sz val="11"/>
        <color theme="1"/>
        <rFont val="ＭＳ Ｐゴシック"/>
        <family val="3"/>
        <charset val="134"/>
        <scheme val="minor"/>
      </rPr>
      <t>玛</t>
    </r>
    <r>
      <rPr>
        <sz val="11"/>
        <color theme="1"/>
        <rFont val="ＭＳ Ｐゴシック"/>
        <family val="3"/>
        <charset val="128"/>
        <scheme val="minor"/>
      </rPr>
      <t>依区震益号茶禅道</t>
    </r>
    <r>
      <rPr>
        <sz val="11"/>
        <color theme="1"/>
        <rFont val="ＭＳ Ｐゴシック"/>
        <family val="3"/>
        <charset val="134"/>
        <scheme val="minor"/>
      </rPr>
      <t>馆</t>
    </r>
  </si>
  <si>
    <r>
      <t>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苹果酒; 高粱酒;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蜂蜜酒</t>
    </r>
  </si>
  <si>
    <r>
      <t>粮美</t>
    </r>
    <r>
      <rPr>
        <sz val="11"/>
        <color theme="1"/>
        <rFont val="ＭＳ Ｐゴシック"/>
        <family val="3"/>
        <charset val="134"/>
        <scheme val="minor"/>
      </rPr>
      <t>满</t>
    </r>
  </si>
  <si>
    <t>李威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</si>
  <si>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威士忌; 白酒; 果酒（含酒精）; 黄酒</t>
    </r>
  </si>
  <si>
    <t>寿丘堂</t>
  </si>
  <si>
    <r>
      <t>昱洋商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（广州）有限公司</t>
    </r>
  </si>
  <si>
    <r>
      <t>汽酒; 白酒;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</si>
  <si>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r>
      <t>才</t>
    </r>
    <r>
      <rPr>
        <sz val="11"/>
        <color theme="1"/>
        <rFont val="ＭＳ Ｐゴシック"/>
        <family val="3"/>
        <charset val="134"/>
        <scheme val="minor"/>
      </rPr>
      <t>驰</t>
    </r>
    <r>
      <rPr>
        <sz val="11"/>
        <color theme="1"/>
        <rFont val="ＭＳ Ｐゴシック"/>
        <family val="3"/>
        <charset val="128"/>
        <scheme val="minor"/>
      </rPr>
      <t>汽</t>
    </r>
    <r>
      <rPr>
        <sz val="11"/>
        <color theme="1"/>
        <rFont val="ＭＳ Ｐゴシック"/>
        <family val="3"/>
        <charset val="134"/>
        <scheme val="minor"/>
      </rPr>
      <t>贸</t>
    </r>
  </si>
  <si>
    <t>李利</t>
  </si>
  <si>
    <r>
      <t xml:space="preserve">食用酒精; 果酒（含酒精）; 苹果酒;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</t>
    </r>
  </si>
  <si>
    <r>
      <t>鱼</t>
    </r>
    <r>
      <rPr>
        <sz val="11"/>
        <color theme="1"/>
        <rFont val="ＭＳ Ｐゴシック"/>
        <family val="3"/>
        <charset val="128"/>
        <scheme val="minor"/>
      </rPr>
      <t>妹娘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</si>
  <si>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可丙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</si>
  <si>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水果汽酒;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</si>
  <si>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t>藤谷凌泉</t>
  </si>
  <si>
    <r>
      <t>恩施州宸熙酒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</si>
  <si>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蜂蜜酒;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白酒</t>
    </r>
  </si>
  <si>
    <t>小艾暖暖</t>
  </si>
  <si>
    <r>
      <t>杭州小兔</t>
    </r>
    <r>
      <rPr>
        <sz val="11"/>
        <color theme="1"/>
        <rFont val="ＭＳ Ｐゴシック"/>
        <family val="3"/>
        <charset val="134"/>
        <scheme val="minor"/>
      </rPr>
      <t>团团电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</si>
  <si>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威士忌; 白酒;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黄酒; 果酒（含酒精）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</si>
  <si>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之初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</si>
  <si>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黄酒;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葡萄酒</t>
    </r>
  </si>
  <si>
    <r>
      <t>液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天</t>
    </r>
  </si>
  <si>
    <r>
      <t>昆明洳</t>
    </r>
    <r>
      <rPr>
        <sz val="11"/>
        <color theme="1"/>
        <rFont val="ＭＳ Ｐゴシック"/>
        <family val="3"/>
        <charset val="134"/>
        <scheme val="minor"/>
      </rPr>
      <t>织</t>
    </r>
    <r>
      <rPr>
        <sz val="11"/>
        <color theme="1"/>
        <rFont val="ＭＳ Ｐゴシック"/>
        <family val="3"/>
        <charset val="128"/>
        <scheme val="minor"/>
      </rPr>
      <t>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商行（个人独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</si>
  <si>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开胃酒; 米酒; 葡萄酒; 果酒（含酒精）;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日本梅子酒</t>
    </r>
  </si>
  <si>
    <t>浪舟</t>
  </si>
  <si>
    <r>
      <t>葡萄酒;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开胃酒; 威士忌;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</si>
  <si>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t>李喝喝</t>
  </si>
  <si>
    <r>
      <t>李巍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</si>
  <si>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白酒;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黄酒; 威士忌; 开胃酒</t>
    </r>
  </si>
  <si>
    <r>
      <t>风</t>
    </r>
    <r>
      <rPr>
        <sz val="11"/>
        <color theme="1"/>
        <rFont val="ＭＳ Ｐゴシック"/>
        <family val="3"/>
        <charset val="128"/>
        <scheme val="minor"/>
      </rPr>
      <t>起未明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渡</t>
    </r>
  </si>
  <si>
    <r>
      <t>徐州</t>
    </r>
    <r>
      <rPr>
        <sz val="11"/>
        <color theme="1"/>
        <rFont val="ＭＳ Ｐゴシック"/>
        <family val="3"/>
        <charset val="134"/>
        <scheme val="minor"/>
      </rPr>
      <t>钰</t>
    </r>
    <r>
      <rPr>
        <sz val="11"/>
        <color theme="1"/>
        <rFont val="ＭＳ Ｐゴシック"/>
        <family val="3"/>
        <charset val="128"/>
        <scheme val="minor"/>
      </rPr>
      <t>美峰建筑</t>
    </r>
    <r>
      <rPr>
        <sz val="11"/>
        <color theme="1"/>
        <rFont val="ＭＳ Ｐゴシック"/>
        <family val="3"/>
        <charset val="134"/>
        <scheme val="minor"/>
      </rPr>
      <t>劳务</t>
    </r>
    <r>
      <rPr>
        <sz val="11"/>
        <color theme="1"/>
        <rFont val="ＭＳ Ｐゴシック"/>
        <family val="3"/>
        <charset val="128"/>
        <scheme val="minor"/>
      </rPr>
      <t>工程有限公司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</si>
  <si>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</t>
    </r>
  </si>
  <si>
    <r>
      <t>钻</t>
    </r>
    <r>
      <rPr>
        <sz val="11"/>
        <color theme="1"/>
        <rFont val="ＭＳ Ｐゴシック"/>
        <family val="3"/>
        <charset val="128"/>
        <scheme val="minor"/>
      </rPr>
      <t>石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彩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</si>
  <si>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</si>
  <si>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果酒（含酒精）; 威士忌;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</si>
  <si>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RDO MASOTTINA</t>
  </si>
  <si>
    <r>
      <t>马</t>
    </r>
    <r>
      <rPr>
        <sz val="11"/>
        <color theme="1"/>
        <rFont val="ＭＳ Ｐゴシック"/>
        <family val="3"/>
        <charset val="128"/>
        <scheme val="minor"/>
      </rPr>
      <t>索蒂娜公司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</si>
  <si>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白葡萄酒; 汽酒;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</si>
  <si>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冰武士</t>
  </si>
  <si>
    <t>李魁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</si>
  <si>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含酒精的气泡水; 威士忌; 蜂蜜酒; 米酒; 伏特加酒;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</si>
  <si>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阿列克散代</t>
    </r>
    <r>
      <rPr>
        <sz val="11"/>
        <color theme="1"/>
        <rFont val="ＭＳ Ｐゴシック"/>
        <family val="3"/>
        <charset val="134"/>
        <scheme val="minor"/>
      </rPr>
      <t>尔</t>
    </r>
  </si>
  <si>
    <r>
      <t>阿妮</t>
    </r>
    <r>
      <rPr>
        <sz val="11"/>
        <color theme="1"/>
        <rFont val="ＭＳ Ｐゴシック"/>
        <family val="3"/>
        <charset val="134"/>
        <scheme val="minor"/>
      </rPr>
      <t>娅</t>
    </r>
  </si>
  <si>
    <r>
      <t>烈酒;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白酒; 朗姆酒; 果酒; 葡萄酒</t>
    </r>
  </si>
  <si>
    <r>
      <t>千流</t>
    </r>
    <r>
      <rPr>
        <sz val="11"/>
        <color theme="1"/>
        <rFont val="ＭＳ Ｐゴシック"/>
        <family val="3"/>
        <charset val="134"/>
        <scheme val="minor"/>
      </rPr>
      <t>昙</t>
    </r>
  </si>
  <si>
    <r>
      <t>方</t>
    </r>
    <r>
      <rPr>
        <sz val="11"/>
        <color theme="1"/>
        <rFont val="ＭＳ Ｐゴシック"/>
        <family val="3"/>
        <charset val="134"/>
        <scheme val="minor"/>
      </rPr>
      <t>张</t>
    </r>
    <r>
      <rPr>
        <sz val="11"/>
        <color theme="1"/>
        <rFont val="ＭＳ Ｐゴシック"/>
        <family val="3"/>
        <charset val="128"/>
        <scheme val="minor"/>
      </rPr>
      <t>仁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</si>
  <si>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开胃酒;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汽酒; 白酒;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</si>
  <si>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封川古韵</t>
  </si>
  <si>
    <r>
      <t>肇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广府首信文化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</si>
  <si>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烈酒; 黄酒; 米酒; 开胃酒</t>
    </r>
  </si>
  <si>
    <t>乓</t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</si>
  <si>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市江岸区</t>
    </r>
    <r>
      <rPr>
        <sz val="11"/>
        <color theme="1"/>
        <rFont val="ＭＳ Ｐゴシック"/>
        <family val="3"/>
        <charset val="129"/>
        <scheme val="minor"/>
      </rPr>
      <t>乓乓乓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品店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</si>
  <si>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</t>
    </r>
  </si>
  <si>
    <r>
      <t>浏</t>
    </r>
    <r>
      <rPr>
        <sz val="11"/>
        <color theme="1"/>
        <rFont val="ＭＳ Ｐゴシック"/>
        <family val="3"/>
        <charset val="128"/>
        <scheme val="minor"/>
      </rPr>
      <t>水韵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</si>
  <si>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纯</t>
    </r>
    <r>
      <rPr>
        <sz val="11"/>
        <color theme="1"/>
        <rFont val="ＭＳ Ｐゴシック"/>
        <family val="3"/>
        <charset val="128"/>
        <scheme val="minor"/>
      </rPr>
      <t>芳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</si>
  <si>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黄酒; 烈酒; 果酒;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</si>
  <si>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韵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来</t>
    </r>
  </si>
  <si>
    <r>
      <t>彭志</t>
    </r>
    <r>
      <rPr>
        <sz val="11"/>
        <color theme="1"/>
        <rFont val="ＭＳ Ｐゴシック"/>
        <family val="3"/>
        <charset val="134"/>
        <scheme val="minor"/>
      </rPr>
      <t>伦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</si>
  <si>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利口酒; 茴香酒（利口酒）; 苦味酒;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</si>
  <si>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搬山四季</t>
  </si>
  <si>
    <t>徐小宁</t>
  </si>
  <si>
    <r>
      <t>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开胃酒</t>
    </r>
  </si>
  <si>
    <r>
      <t>董子</t>
    </r>
    <r>
      <rPr>
        <sz val="11"/>
        <color theme="1"/>
        <rFont val="ＭＳ Ｐゴシック"/>
        <family val="3"/>
        <charset val="134"/>
        <scheme val="minor"/>
      </rPr>
      <t>塬</t>
    </r>
  </si>
  <si>
    <r>
      <t>成都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帝影</t>
    </r>
    <r>
      <rPr>
        <sz val="11"/>
        <color theme="1"/>
        <rFont val="ＭＳ Ｐゴシック"/>
        <family val="3"/>
        <charset val="134"/>
        <scheme val="minor"/>
      </rPr>
      <t>视传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</si>
  <si>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</t>
    </r>
  </si>
  <si>
    <t>竺乾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</si>
  <si>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州黔亦峰酒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</si>
  <si>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蜂蜜酒; 餐后酒（利口酒和烈酒）; 果酒; 葡萄酒;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</si>
  <si>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傲睨万物</t>
  </si>
  <si>
    <r>
      <t>蜂蜜酒;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果酒; 白酒; 梨酒; 米酒</t>
    </r>
  </si>
  <si>
    <t>醇小牛</t>
  </si>
  <si>
    <r>
      <t>河北隆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森林商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</si>
  <si>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高粱酒;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露酒; 清酒; 米酒;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</si>
  <si>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来者来</t>
  </si>
  <si>
    <r>
      <t>射洪市通泉酒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</si>
  <si>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白酒; 黄酒; 葡萄酒; 开胃酒;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</t>
    </r>
  </si>
  <si>
    <t>卓月阳三勾</t>
  </si>
  <si>
    <r>
      <t>李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林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</si>
  <si>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葡萄酒; 露酒; 米酒</t>
    </r>
  </si>
  <si>
    <t>白水城</t>
  </si>
  <si>
    <t>张红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</si>
  <si>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葡萄酒; 清酒（日本米酒）</t>
    </r>
  </si>
  <si>
    <t>HESS PERSSON ESTATES LION TAMER</t>
  </si>
  <si>
    <r>
      <t>赫斯精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酒庄</t>
    </r>
  </si>
  <si>
    <r>
      <t>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</si>
  <si>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御衙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</si>
  <si>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威士忌; 青稞酒; 露酒;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</si>
  <si>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归</t>
    </r>
    <r>
      <rPr>
        <sz val="11"/>
        <color theme="1"/>
        <rFont val="ＭＳ Ｐゴシック"/>
        <family val="3"/>
        <charset val="128"/>
        <scheme val="minor"/>
      </rPr>
      <t>字烟地酒</t>
    </r>
  </si>
  <si>
    <r>
      <t>孙长</t>
    </r>
    <r>
      <rPr>
        <sz val="11"/>
        <color theme="1"/>
        <rFont val="ＭＳ Ｐゴシック"/>
        <family val="3"/>
        <charset val="128"/>
        <scheme val="minor"/>
      </rPr>
      <t>明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</si>
  <si>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伏特加酒; 果酒（含酒精）;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</si>
  <si>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蕲</t>
    </r>
    <r>
      <rPr>
        <sz val="11"/>
        <color theme="1"/>
        <rFont val="ＭＳ Ｐゴシック"/>
        <family val="3"/>
        <charset val="128"/>
        <scheme val="minor"/>
      </rPr>
      <t>掌柜</t>
    </r>
  </si>
  <si>
    <r>
      <t>李昌</t>
    </r>
    <r>
      <rPr>
        <sz val="11"/>
        <color theme="1"/>
        <rFont val="ＭＳ Ｐゴシック"/>
        <family val="3"/>
        <charset val="134"/>
        <scheme val="minor"/>
      </rPr>
      <t>伟</t>
    </r>
  </si>
  <si>
    <t>無し</t>
  </si>
  <si>
    <t>虔奔</t>
  </si>
  <si>
    <r>
      <t>赣</t>
    </r>
    <r>
      <rPr>
        <sz val="11"/>
        <color theme="1"/>
        <rFont val="ＭＳ Ｐゴシック"/>
        <family val="3"/>
        <charset val="128"/>
        <scheme val="minor"/>
      </rPr>
      <t>州芷依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</si>
  <si>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甜酒; 蜂蜜酒; 黄酒; 葡萄酒; 烈酒</t>
    </r>
  </si>
  <si>
    <r>
      <t>喻</t>
    </r>
    <r>
      <rPr>
        <sz val="11"/>
        <color theme="1"/>
        <rFont val="ＭＳ Ｐゴシック"/>
        <family val="3"/>
        <charset val="128"/>
        <scheme val="minor"/>
      </rPr>
      <t>园学子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</si>
  <si>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果酒; 黄酒; 米酒; 葡萄酒; 高粱酒;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</si>
  <si>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郸</t>
    </r>
    <r>
      <rPr>
        <sz val="11"/>
        <color theme="1"/>
        <rFont val="ＭＳ Ｐゴシック"/>
        <family val="3"/>
        <charset val="128"/>
        <scheme val="minor"/>
      </rPr>
      <t>帝美</t>
    </r>
  </si>
  <si>
    <r>
      <t xml:space="preserve">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果酒（含酒精）; 利口酒</t>
    </r>
  </si>
  <si>
    <t>韶陶</t>
  </si>
  <si>
    <r>
      <t>葡萄酒;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</t>
    </r>
  </si>
  <si>
    <r>
      <t>普</t>
    </r>
    <r>
      <rPr>
        <sz val="11"/>
        <color theme="1"/>
        <rFont val="ＭＳ Ｐゴシック"/>
        <family val="3"/>
        <charset val="134"/>
        <scheme val="minor"/>
      </rPr>
      <t>济</t>
    </r>
    <r>
      <rPr>
        <sz val="11"/>
        <color theme="1"/>
        <rFont val="ＭＳ Ｐゴシック"/>
        <family val="3"/>
        <charset val="128"/>
        <scheme val="minor"/>
      </rPr>
      <t>利仁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</si>
  <si>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灿</t>
    </r>
    <r>
      <rPr>
        <sz val="11"/>
        <color theme="1"/>
        <rFont val="ＭＳ Ｐゴシック"/>
        <family val="3"/>
        <charset val="128"/>
        <scheme val="minor"/>
      </rPr>
      <t>芹</t>
    </r>
  </si>
  <si>
    <r>
      <t xml:space="preserve">黄酒; 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</si>
  <si>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徐孝仁</t>
  </si>
  <si>
    <r>
      <t>黄酒; 果酒; 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白酒;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米酒</t>
    </r>
  </si>
  <si>
    <t>修世福</t>
  </si>
  <si>
    <r>
      <t xml:space="preserve">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朗姆酒; 果酒（含酒精）; 威士忌; 餐后酒（利口酒和烈酒）;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</si>
  <si>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娄山雄脉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</si>
  <si>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州酒韵酒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</si>
  <si>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黄酒; 食用酒精;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</si>
  <si>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晟</t>
    </r>
    <r>
      <rPr>
        <sz val="11"/>
        <color theme="1"/>
        <rFont val="ＭＳ Ｐゴシック"/>
        <family val="3"/>
        <charset val="134"/>
        <scheme val="minor"/>
      </rPr>
      <t>赞</t>
    </r>
    <r>
      <rPr>
        <sz val="11"/>
        <color theme="1"/>
        <rFont val="ＭＳ Ｐゴシック"/>
        <family val="3"/>
        <charset val="128"/>
        <scheme val="minor"/>
      </rPr>
      <t>助邦手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</si>
  <si>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口袋虎科技集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</si>
  <si>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白酒; 黄酒; 果酒; 含酒精的气泡水; 蒸煮提取物（利口酒和烈酒）;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</si>
  <si>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红诺</t>
    </r>
    <r>
      <rPr>
        <sz val="11"/>
        <color theme="1"/>
        <rFont val="ＭＳ Ｐゴシック"/>
        <family val="3"/>
        <charset val="128"/>
        <scheme val="minor"/>
      </rPr>
      <t>棘</t>
    </r>
  </si>
  <si>
    <t>新疆清雅丰健康科技有限公司</t>
  </si>
  <si>
    <r>
      <t>果酒（含酒精）; 白干酒（中国白酒）;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果酒; 露酒; 甜酒</t>
    </r>
  </si>
  <si>
    <r>
      <t>豫</t>
    </r>
    <r>
      <rPr>
        <sz val="11"/>
        <color theme="1"/>
        <rFont val="ＭＳ Ｐゴシック"/>
        <family val="3"/>
        <charset val="134"/>
        <scheme val="minor"/>
      </rPr>
      <t>简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</si>
  <si>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葡萄酒; 威士忌; 露酒; 米酒;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</si>
  <si>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关春</t>
    </r>
  </si>
  <si>
    <r>
      <t>开州区三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口</t>
    </r>
    <r>
      <rPr>
        <sz val="11"/>
        <color theme="1"/>
        <rFont val="ＭＳ Ｐゴシック"/>
        <family val="3"/>
        <charset val="134"/>
        <scheme val="minor"/>
      </rPr>
      <t>乡杨</t>
    </r>
    <r>
      <rPr>
        <sz val="11"/>
        <color theme="1"/>
        <rFont val="ＭＳ Ｐゴシック"/>
        <family val="3"/>
        <charset val="128"/>
        <scheme val="minor"/>
      </rPr>
      <t>关村</t>
    </r>
    <r>
      <rPr>
        <sz val="11"/>
        <color theme="1"/>
        <rFont val="ＭＳ Ｐゴシック"/>
        <family val="3"/>
        <charset val="134"/>
        <scheme val="minor"/>
      </rPr>
      <t>经济联</t>
    </r>
    <r>
      <rPr>
        <sz val="11"/>
        <color theme="1"/>
        <rFont val="ＭＳ Ｐゴシック"/>
        <family val="3"/>
        <charset val="128"/>
        <scheme val="minor"/>
      </rPr>
      <t>合社</t>
    </r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</si>
  <si>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梅酒; 水果汽酒; 青梅酒; 甜酒; 白酒;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米酒; 白干酒（中国白酒）</t>
    </r>
  </si>
  <si>
    <r>
      <t>庆</t>
    </r>
    <r>
      <rPr>
        <sz val="11"/>
        <color theme="1"/>
        <rFont val="ＭＳ Ｐゴシック"/>
        <family val="3"/>
        <charset val="128"/>
        <scheme val="minor"/>
      </rPr>
      <t>味</t>
    </r>
    <r>
      <rPr>
        <sz val="11"/>
        <color theme="1"/>
        <rFont val="ＭＳ Ｐゴシック"/>
        <family val="3"/>
        <charset val="134"/>
        <scheme val="minor"/>
      </rPr>
      <t>农</t>
    </r>
  </si>
  <si>
    <r>
      <t>张炜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</si>
  <si>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</t>
    </r>
  </si>
  <si>
    <r>
      <t>伊藤越之</t>
    </r>
    <r>
      <rPr>
        <sz val="11"/>
        <color theme="1"/>
        <rFont val="ＭＳ Ｐゴシック"/>
        <family val="3"/>
        <charset val="134"/>
        <scheme val="minor"/>
      </rPr>
      <t>鹰</t>
    </r>
  </si>
  <si>
    <t>李宏鑫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</si>
  <si>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高粱酒; 黄酒; 食用酒精; 佐餐酒; 白酒</t>
    </r>
  </si>
  <si>
    <t>鼎毅</t>
  </si>
  <si>
    <r>
      <t>彭海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</si>
  <si>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米酒;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威士忌;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</si>
  <si>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岁</t>
    </r>
    <r>
      <rPr>
        <sz val="11"/>
        <color theme="1"/>
        <rFont val="ＭＳ Ｐゴシック"/>
        <family val="3"/>
        <charset val="128"/>
        <scheme val="minor"/>
      </rPr>
      <t>月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</si>
  <si>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普宁市成鑫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</si>
  <si>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烈酒; 苦味酒; 威士忌; 果酒（含酒精）; 葡萄酒;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</si>
  <si>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氿酬盛宴</t>
  </si>
  <si>
    <t>彭家攀</t>
  </si>
  <si>
    <r>
      <t>餐后酒（利口酒和烈酒）; 露酒;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苹果酒; 果酒（含酒精）;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</si>
  <si>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北粮人</t>
  </si>
  <si>
    <r>
      <t>张</t>
    </r>
    <r>
      <rPr>
        <sz val="11"/>
        <color theme="1"/>
        <rFont val="ＭＳ Ｐゴシック"/>
        <family val="3"/>
        <charset val="128"/>
        <scheme val="minor"/>
      </rPr>
      <t>春彦******************</t>
    </r>
  </si>
  <si>
    <r>
      <t xml:space="preserve">威士忌;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</si>
  <si>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HESS PERSSON ESTATES PANTHERA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</si>
  <si>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</t>
    </r>
  </si>
  <si>
    <t>小瓜工大</t>
  </si>
  <si>
    <r>
      <t>果酒; 威士忌;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高粱酒;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</si>
  <si>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窖礼礼筳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</si>
  <si>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州窖礼酒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</si>
  <si>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甜酒; 佐餐酒; 葡萄酒; 露酒;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米酒</t>
    </r>
  </si>
  <si>
    <r>
      <t>缘满</t>
    </r>
    <r>
      <rPr>
        <sz val="11"/>
        <color theme="1"/>
        <rFont val="ＭＳ Ｐゴシック"/>
        <family val="3"/>
        <charset val="128"/>
        <scheme val="minor"/>
      </rPr>
      <t>台</t>
    </r>
  </si>
  <si>
    <t>徐甜莉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</si>
  <si>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果酒; 清酒（日本米酒）;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黄酒; 白酒; 葡萄酒</t>
    </r>
  </si>
  <si>
    <r>
      <t>银发</t>
    </r>
    <r>
      <rPr>
        <sz val="11"/>
        <color theme="1"/>
        <rFont val="ＭＳ Ｐゴシック"/>
        <family val="3"/>
        <charset val="128"/>
        <scheme val="minor"/>
      </rPr>
      <t>无</t>
    </r>
    <r>
      <rPr>
        <sz val="11"/>
        <color theme="1"/>
        <rFont val="ＭＳ Ｐゴシック"/>
        <family val="3"/>
        <charset val="134"/>
        <scheme val="minor"/>
      </rPr>
      <t>忧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</si>
  <si>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银发</t>
    </r>
    <r>
      <rPr>
        <sz val="11"/>
        <color theme="1"/>
        <rFont val="ＭＳ Ｐゴシック"/>
        <family val="3"/>
        <charset val="128"/>
        <scheme val="minor"/>
      </rPr>
      <t>无</t>
    </r>
    <r>
      <rPr>
        <sz val="11"/>
        <color theme="1"/>
        <rFont val="ＭＳ Ｐゴシック"/>
        <family val="3"/>
        <charset val="134"/>
        <scheme val="minor"/>
      </rPr>
      <t>忧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</si>
  <si>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薄荷酒;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蜂蜜酒;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</si>
  <si>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r>
      <t>绝顶</t>
    </r>
    <r>
      <rPr>
        <sz val="11"/>
        <color theme="1"/>
        <rFont val="ＭＳ Ｐゴシック"/>
        <family val="3"/>
        <charset val="128"/>
        <scheme val="minor"/>
      </rPr>
      <t>凌云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</si>
  <si>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威士忌; 伏特加酒;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</si>
  <si>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鹅</t>
    </r>
    <r>
      <rPr>
        <sz val="11"/>
        <color theme="1"/>
        <rFont val="ＭＳ Ｐゴシック"/>
        <family val="3"/>
        <charset val="128"/>
        <scheme val="minor"/>
      </rPr>
      <t>池洞</t>
    </r>
  </si>
  <si>
    <r>
      <t>苹果酒;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</si>
  <si>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悦君兮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</si>
  <si>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梨酒; 餐后酒（利口酒和烈酒）; 果酒; 葡萄酒; 蜂蜜酒</t>
    </r>
  </si>
  <si>
    <t>LIKEJIUJIU</t>
  </si>
  <si>
    <r>
      <t>戴声</t>
    </r>
    <r>
      <rPr>
        <sz val="11"/>
        <color theme="1"/>
        <rFont val="ＭＳ Ｐゴシック"/>
        <family val="3"/>
        <charset val="134"/>
        <scheme val="minor"/>
      </rPr>
      <t>剑</t>
    </r>
  </si>
  <si>
    <r>
      <t>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白酒; 米酒</t>
    </r>
  </si>
  <si>
    <r>
      <t>绵</t>
    </r>
    <r>
      <rPr>
        <sz val="11"/>
        <color theme="1"/>
        <rFont val="ＭＳ Ｐゴシック"/>
        <family val="3"/>
        <charset val="128"/>
        <scheme val="minor"/>
      </rPr>
      <t>羊</t>
    </r>
    <r>
      <rPr>
        <sz val="11"/>
        <color theme="1"/>
        <rFont val="ＭＳ Ｐゴシック"/>
        <family val="3"/>
        <charset val="134"/>
        <scheme val="minor"/>
      </rPr>
      <t>蓝</t>
    </r>
  </si>
  <si>
    <t>王芳</t>
  </si>
  <si>
    <r>
      <t>柑香酒; 餐后酒（利口酒和烈酒）; 葡萄酒; 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高粱酒;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白干酒（中国白酒）; 青梅酒; 清酒（日本米酒）; 伏特加酒</t>
    </r>
  </si>
  <si>
    <r>
      <t>瑞</t>
    </r>
    <r>
      <rPr>
        <sz val="11"/>
        <color theme="1"/>
        <rFont val="ＭＳ Ｐゴシック"/>
        <family val="3"/>
        <charset val="134"/>
        <scheme val="minor"/>
      </rPr>
      <t>进门</t>
    </r>
  </si>
  <si>
    <r>
      <t>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</si>
  <si>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鎏粮</t>
  </si>
  <si>
    <r>
      <t>张</t>
    </r>
    <r>
      <rPr>
        <sz val="11"/>
        <color theme="1"/>
        <rFont val="ＭＳ Ｐゴシック"/>
        <family val="3"/>
        <charset val="128"/>
        <scheme val="minor"/>
      </rPr>
      <t>建波</t>
    </r>
  </si>
  <si>
    <r>
      <t>米酒; 汽酒; 黄酒; 清酒（日本米酒）;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</si>
  <si>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宴百</t>
    </r>
    <r>
      <rPr>
        <sz val="11"/>
        <color theme="1"/>
        <rFont val="ＭＳ Ｐゴシック"/>
        <family val="3"/>
        <charset val="134"/>
        <scheme val="minor"/>
      </rPr>
      <t>壶</t>
    </r>
  </si>
  <si>
    <r>
      <t>新理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</si>
  <si>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甜果酒; 米酒; 黄酒;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日式甜米酒; 甜酒; 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</t>
    </r>
  </si>
  <si>
    <r>
      <t>阿</t>
    </r>
    <r>
      <rPr>
        <sz val="11"/>
        <color theme="1"/>
        <rFont val="ＭＳ Ｐゴシック"/>
        <family val="3"/>
        <charset val="134"/>
        <scheme val="minor"/>
      </rPr>
      <t>尔宾</t>
    </r>
    <r>
      <rPr>
        <sz val="11"/>
        <color theme="1"/>
        <rFont val="ＭＳ Ｐゴシック"/>
        <family val="3"/>
        <charset val="128"/>
        <scheme val="minor"/>
      </rPr>
      <t>娜</t>
    </r>
  </si>
  <si>
    <r>
      <t>成都智澳酒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</si>
  <si>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食用酒精; 米酒</t>
    </r>
  </si>
  <si>
    <r>
      <t>信立</t>
    </r>
    <r>
      <rPr>
        <sz val="11"/>
        <color theme="1"/>
        <rFont val="ＭＳ Ｐゴシック"/>
        <family val="3"/>
        <charset val="134"/>
        <scheme val="minor"/>
      </rPr>
      <t>农</t>
    </r>
  </si>
  <si>
    <r>
      <t>福建柯立</t>
    </r>
    <r>
      <rPr>
        <sz val="11"/>
        <color theme="1"/>
        <rFont val="ＭＳ Ｐゴシック"/>
        <family val="3"/>
        <charset val="134"/>
        <scheme val="minor"/>
      </rPr>
      <t>农农业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</si>
  <si>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黄酒</t>
    </r>
  </si>
  <si>
    <t>韵娄山</t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</si>
  <si>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青稞酒; 黄酒; 果酒（含酒精）</t>
    </r>
  </si>
  <si>
    <t>KCENQUM 康善全</t>
  </si>
  <si>
    <r>
      <t>张</t>
    </r>
    <r>
      <rPr>
        <sz val="11"/>
        <color theme="1"/>
        <rFont val="ＭＳ Ｐゴシック"/>
        <family val="3"/>
        <charset val="128"/>
        <scheme val="minor"/>
      </rPr>
      <t>梦寒</t>
    </r>
  </si>
  <si>
    <r>
      <t xml:space="preserve">利口酒; 果酒（含酒精）; 茴香酒（利口酒）;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餐后酒（利口酒和烈酒）; 葡萄酒; 薄荷酒; 蜂蜜酒</t>
    </r>
  </si>
  <si>
    <r>
      <t>窖</t>
    </r>
    <r>
      <rPr>
        <sz val="11"/>
        <color theme="1"/>
        <rFont val="ＭＳ Ｐゴシック"/>
        <family val="3"/>
        <charset val="134"/>
        <scheme val="minor"/>
      </rPr>
      <t>员</t>
    </r>
    <r>
      <rPr>
        <sz val="11"/>
        <color theme="1"/>
        <rFont val="ＭＳ Ｐゴシック"/>
        <family val="3"/>
        <charset val="128"/>
        <scheme val="minor"/>
      </rPr>
      <t>外</t>
    </r>
  </si>
  <si>
    <t>刘春蓬</t>
  </si>
  <si>
    <r>
      <t xml:space="preserve">黄酒; 白酒; 高粱酒;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</si>
  <si>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小侠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</si>
  <si>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杰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</si>
  <si>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青稞酒; 威士忌; 清酒（日本米酒）; 米酒; 葡萄酒; 果酒（含酒精）</t>
    </r>
  </si>
  <si>
    <r>
      <t>老广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盛</t>
    </r>
  </si>
  <si>
    <r>
      <t>叙永</t>
    </r>
    <r>
      <rPr>
        <sz val="11"/>
        <color theme="1"/>
        <rFont val="ＭＳ Ｐゴシック"/>
        <family val="3"/>
        <charset val="134"/>
        <scheme val="minor"/>
      </rPr>
      <t>县传统酿</t>
    </r>
    <r>
      <rPr>
        <sz val="11"/>
        <color theme="1"/>
        <rFont val="ＭＳ Ｐゴシック"/>
        <family val="3"/>
        <charset val="128"/>
        <scheme val="minor"/>
      </rPr>
      <t>酒科技</t>
    </r>
    <r>
      <rPr>
        <sz val="11"/>
        <color theme="1"/>
        <rFont val="ＭＳ Ｐゴシック"/>
        <family val="3"/>
        <charset val="134"/>
        <scheme val="minor"/>
      </rPr>
      <t>馆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</si>
  <si>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果酒; 甜酒; 清酒; 露酒;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米酒; 高粱酒</t>
    </r>
  </si>
  <si>
    <t>喜斟天下</t>
  </si>
  <si>
    <r>
      <t>查</t>
    </r>
    <r>
      <rPr>
        <sz val="11"/>
        <color theme="1"/>
        <rFont val="ＭＳ Ｐゴシック"/>
        <family val="3"/>
        <charset val="128"/>
        <scheme val="minor"/>
      </rPr>
      <t>达</t>
    </r>
    <r>
      <rPr>
        <sz val="11"/>
        <color theme="1"/>
        <rFont val="ＭＳ Ｐゴシック"/>
        <family val="3"/>
        <charset val="134"/>
        <scheme val="minor"/>
      </rPr>
      <t>桥</t>
    </r>
  </si>
  <si>
    <r>
      <t>葡萄酒;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黄酒; 餐后酒（利口酒和烈酒）; 白酒</t>
    </r>
  </si>
  <si>
    <t>孤独青春</t>
  </si>
  <si>
    <r>
      <t>汇创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（上海）有限公司</t>
    </r>
  </si>
  <si>
    <r>
      <t>黄酒; 威士忌; 朗姆酒;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</t>
    </r>
  </si>
  <si>
    <r>
      <t>康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</si>
  <si>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康</t>
    </r>
    <r>
      <rPr>
        <sz val="11"/>
        <color theme="1"/>
        <rFont val="ＭＳ Ｐゴシック"/>
        <family val="3"/>
        <charset val="134"/>
        <scheme val="minor"/>
      </rPr>
      <t>缘药业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</si>
  <si>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米酒; 果酒（含酒精）; 汽酒;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尼瓦（以甘蔗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</si>
  <si>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龙门</t>
    </r>
    <r>
      <rPr>
        <sz val="11"/>
        <color theme="1"/>
        <rFont val="ＭＳ Ｐゴシック"/>
        <family val="3"/>
        <charset val="128"/>
        <scheme val="minor"/>
      </rPr>
      <t>二十品·宋</t>
    </r>
  </si>
  <si>
    <r>
      <t>河南瑞凌商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</si>
  <si>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</t>
    </r>
  </si>
  <si>
    <t>潘信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</si>
  <si>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威士忌;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</t>
    </r>
  </si>
  <si>
    <t>石花无悠</t>
  </si>
  <si>
    <r>
      <t>清酒（日本米酒）;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</t>
    </r>
  </si>
  <si>
    <r>
      <t>义</t>
    </r>
    <r>
      <rPr>
        <sz val="11"/>
        <color theme="1"/>
        <rFont val="ＭＳ Ｐゴシック"/>
        <family val="3"/>
        <charset val="128"/>
        <scheme val="minor"/>
      </rPr>
      <t>酌天下</t>
    </r>
  </si>
  <si>
    <r>
      <t xml:space="preserve">黄酒; 高粱酒;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露酒; 白酒; 餐后酒（利口酒和烈酒）</t>
    </r>
  </si>
  <si>
    <t>北国情</t>
  </si>
  <si>
    <t>惠志文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</si>
  <si>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甘蔗制烈酒;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</si>
  <si>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西域拾里廊</t>
  </si>
  <si>
    <r>
      <t>新疆拾里廊文化旅游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</si>
  <si>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葡萄酒; 薄荷酒; 果酒（含酒精）;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含酒精的气泡水;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黄酒</t>
    </r>
  </si>
  <si>
    <r>
      <t>谷公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方</t>
    </r>
  </si>
  <si>
    <r>
      <t>四川谷公酒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</si>
  <si>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酸酒（低等葡萄酒）;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苹果酒; 葡萄酒; 果酒（含酒精）</t>
    </r>
  </si>
  <si>
    <t>万客粮</t>
  </si>
  <si>
    <r>
      <t>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白干酒（中国白酒）;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利口酒;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食用酒精; 白酒; 高粱酒</t>
    </r>
  </si>
  <si>
    <r>
      <t>蕴</t>
    </r>
    <r>
      <rPr>
        <sz val="11"/>
        <color theme="1"/>
        <rFont val="ＭＳ Ｐゴシック"/>
        <family val="3"/>
        <charset val="128"/>
        <scheme val="minor"/>
      </rPr>
      <t>知己</t>
    </r>
  </si>
  <si>
    <r>
      <t>清酒（日本米酒）;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葡萄酒; 汽酒;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</si>
  <si>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邮顺</t>
  </si>
  <si>
    <r>
      <t>张</t>
    </r>
    <r>
      <rPr>
        <sz val="11"/>
        <color theme="1"/>
        <rFont val="ＭＳ Ｐゴシック"/>
        <family val="3"/>
        <charset val="128"/>
        <scheme val="minor"/>
      </rPr>
      <t>勇</t>
    </r>
  </si>
  <si>
    <r>
      <t xml:space="preserve">烈酒; 高粱酒;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果酒（含酒精）; 甜酒</t>
    </r>
  </si>
  <si>
    <t>青畲</t>
  </si>
  <si>
    <t>无双控股有限公司</t>
  </si>
  <si>
    <r>
      <t xml:space="preserve">水果汽酒;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佐餐酒;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天然汽酒;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</si>
  <si>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枳道</t>
  </si>
  <si>
    <r>
      <t>樟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市王子酒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</si>
  <si>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</si>
  <si>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龙门</t>
    </r>
    <r>
      <rPr>
        <sz val="11"/>
        <color theme="1"/>
        <rFont val="ＭＳ Ｐゴシック"/>
        <family val="3"/>
        <charset val="128"/>
        <scheme val="minor"/>
      </rPr>
      <t>二十品·唐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</si>
  <si>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</si>
  <si>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青春孤独</t>
  </si>
  <si>
    <r>
      <t>朗姆酒; 威士忌;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伏特加酒; 食用酒精;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</si>
  <si>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TOPB</t>
  </si>
  <si>
    <t>李彪</t>
  </si>
  <si>
    <r>
      <t xml:space="preserve">白酒; 伏特加酒;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</t>
    </r>
  </si>
  <si>
    <t>FENQUXIANG</t>
  </si>
  <si>
    <r>
      <t>王</t>
    </r>
    <r>
      <rPr>
        <sz val="11"/>
        <color theme="1"/>
        <rFont val="ＭＳ Ｐゴシック"/>
        <family val="3"/>
        <charset val="134"/>
        <scheme val="minor"/>
      </rPr>
      <t>续军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</si>
  <si>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 xml:space="preserve">白干酒（中国白酒）; 高粱酒; 烈性干酒; 苹果酒; 米酒; 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白葡萄酒; 白酒</t>
    </r>
  </si>
  <si>
    <t>高任</t>
  </si>
  <si>
    <r>
      <t>徐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彬</t>
    </r>
  </si>
  <si>
    <r>
      <t xml:space="preserve">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露酒; 米酒; 餐后酒（利口酒和烈酒）; 黄酒;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</si>
  <si>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昂跑</t>
  </si>
  <si>
    <r>
      <t>莆田一号</t>
    </r>
    <r>
      <rPr>
        <sz val="11"/>
        <color theme="1"/>
        <rFont val="ＭＳ Ｐゴシック"/>
        <family val="3"/>
        <charset val="134"/>
        <scheme val="minor"/>
      </rPr>
      <t>仓贸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</si>
  <si>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汽酒; 白酒; 果酒（含酒精）;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薄荷酒</t>
    </r>
  </si>
  <si>
    <r>
      <t>忆</t>
    </r>
    <r>
      <rPr>
        <sz val="11"/>
        <color theme="1"/>
        <rFont val="ＭＳ Ｐゴシック"/>
        <family val="3"/>
        <charset val="128"/>
        <scheme val="minor"/>
      </rPr>
      <t>昭君</t>
    </r>
  </si>
  <si>
    <r>
      <t>白酒; 清酒（日本米酒）;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</si>
  <si>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巷恭</t>
  </si>
  <si>
    <t>李天能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</si>
  <si>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米酒; 含酒精的气泡水; 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</si>
  <si>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识</t>
    </r>
    <r>
      <rPr>
        <sz val="11"/>
        <color theme="1"/>
        <rFont val="ＭＳ Ｐゴシック"/>
        <family val="3"/>
        <charset val="128"/>
        <scheme val="minor"/>
      </rPr>
      <t>君子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</si>
  <si>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葡萄酒; 果酒（含酒精）; 食用酒精;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</t>
    </r>
  </si>
  <si>
    <t>枳商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</si>
  <si>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</si>
  <si>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枳耘</t>
  </si>
  <si>
    <r>
      <t>开胃酒;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</si>
  <si>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宝墩安墩逸</t>
  </si>
  <si>
    <r>
      <t>成都市新津宝墩酒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</si>
  <si>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果酒（含酒精）; 白干酒（中国白酒）; 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米酒</t>
    </r>
  </si>
  <si>
    <t>拙粹</t>
  </si>
  <si>
    <r>
      <t xml:space="preserve">白酒; 烈酒;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清酒; 高粱酒;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</si>
  <si>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卡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>漫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</si>
  <si>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冬清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</si>
  <si>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</si>
  <si>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MITAMAN</t>
  </si>
  <si>
    <r>
      <t>广州梵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洛芙国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</si>
  <si>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含酒精的气泡水; 威士忌; 果酒（含酒精）; 白酒; 起泡白葡萄酒; 葡萄酒; 朗姆酒; 伏特加酒;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</si>
  <si>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许义</t>
    </r>
    <r>
      <rPr>
        <sz val="11"/>
        <color theme="1"/>
        <rFont val="ＭＳ Ｐゴシック"/>
        <family val="3"/>
        <charset val="128"/>
        <scheme val="minor"/>
      </rPr>
      <t>章</t>
    </r>
  </si>
  <si>
    <t>张亚风</t>
  </si>
  <si>
    <r>
      <t>威士忌;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薄荷酒; 白酒; 白干酒（中国白酒）; 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青稞酒; 葡萄酒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</si>
  <si>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以里</t>
    </r>
  </si>
  <si>
    <r>
      <t xml:space="preserve">米酒; 果酒（含酒精）;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含酒精的气泡水;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</si>
  <si>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陶梦令</t>
  </si>
  <si>
    <r>
      <t>彭</t>
    </r>
    <r>
      <rPr>
        <sz val="11"/>
        <color theme="1"/>
        <rFont val="ＭＳ Ｐゴシック"/>
        <family val="3"/>
        <charset val="134"/>
        <scheme val="minor"/>
      </rPr>
      <t>泽县</t>
    </r>
    <r>
      <rPr>
        <sz val="11"/>
        <color theme="1"/>
        <rFont val="ＭＳ Ｐゴシック"/>
        <family val="3"/>
        <charset val="128"/>
        <scheme val="minor"/>
      </rPr>
      <t>今日文化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</si>
  <si>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威士忌; 白酒; 米酒; 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黄酒; 葡萄酒</t>
    </r>
  </si>
  <si>
    <r>
      <t>龙门</t>
    </r>
    <r>
      <rPr>
        <sz val="11"/>
        <color theme="1"/>
        <rFont val="ＭＳ Ｐゴシック"/>
        <family val="3"/>
        <charset val="128"/>
        <scheme val="minor"/>
      </rPr>
      <t>二十品·魏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</si>
  <si>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</si>
  <si>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群谷醇</t>
  </si>
  <si>
    <r>
      <t>亳州市田园</t>
    </r>
    <r>
      <rPr>
        <sz val="11"/>
        <color theme="1"/>
        <rFont val="ＭＳ Ｐゴシック"/>
        <family val="3"/>
        <charset val="134"/>
        <scheme val="minor"/>
      </rPr>
      <t>荟农业发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</si>
  <si>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果酒（含酒精）</t>
    </r>
  </si>
  <si>
    <r>
      <t>绵</t>
    </r>
    <r>
      <rPr>
        <sz val="11"/>
        <color theme="1"/>
        <rFont val="ＭＳ Ｐゴシック"/>
        <family val="3"/>
        <charset val="128"/>
        <scheme val="minor"/>
      </rPr>
      <t>五春</t>
    </r>
  </si>
  <si>
    <r>
      <t>李趁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</si>
  <si>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米酒;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</t>
    </r>
  </si>
  <si>
    <r>
      <t>酿</t>
    </r>
    <r>
      <rPr>
        <sz val="11"/>
        <color theme="1"/>
        <rFont val="ＭＳ Ｐゴシック"/>
        <family val="3"/>
        <charset val="128"/>
        <scheme val="minor"/>
      </rPr>
      <t>父·藏海</t>
    </r>
  </si>
  <si>
    <r>
      <t xml:space="preserve">蜂蜜酒; 食用酒精; 果酒（含酒精）;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</si>
  <si>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r>
      <t>稒</t>
    </r>
    <r>
      <rPr>
        <sz val="11"/>
        <color theme="1"/>
        <rFont val="ＭＳ Ｐゴシック"/>
        <family val="3"/>
        <charset val="128"/>
        <scheme val="minor"/>
      </rPr>
      <t>阳王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</si>
  <si>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白干酒（中国白酒）; 蒸煮提取物（利口酒和烈酒）;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食用酒精; 葡萄酒</t>
    </r>
  </si>
  <si>
    <t>A8</t>
  </si>
  <si>
    <t>吴志忠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</si>
  <si>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果酒（含酒精）; 蜂蜜酒; 白酒</t>
    </r>
  </si>
  <si>
    <r>
      <t>鸣鸣</t>
    </r>
    <r>
      <rPr>
        <sz val="11"/>
        <color theme="1"/>
        <rFont val="ＭＳ Ｐゴシック"/>
        <family val="3"/>
        <charset val="128"/>
        <scheme val="minor"/>
      </rPr>
      <t>很忙</t>
    </r>
  </si>
  <si>
    <r>
      <t>湖南</t>
    </r>
    <r>
      <rPr>
        <sz val="11"/>
        <color theme="1"/>
        <rFont val="ＭＳ Ｐゴシック"/>
        <family val="3"/>
        <charset val="134"/>
        <scheme val="minor"/>
      </rPr>
      <t>鸣鸣</t>
    </r>
    <r>
      <rPr>
        <sz val="11"/>
        <color theme="1"/>
        <rFont val="ＭＳ Ｐゴシック"/>
        <family val="3"/>
        <charset val="128"/>
        <scheme val="minor"/>
      </rPr>
      <t>很忙商</t>
    </r>
    <r>
      <rPr>
        <sz val="11"/>
        <color theme="1"/>
        <rFont val="ＭＳ Ｐゴシック"/>
        <family val="3"/>
        <charset val="134"/>
        <scheme val="minor"/>
      </rPr>
      <t>业连锁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</si>
  <si>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</si>
  <si>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求</t>
    </r>
    <r>
      <rPr>
        <sz val="11"/>
        <color theme="1"/>
        <rFont val="ＭＳ Ｐゴシック"/>
        <family val="3"/>
        <charset val="134"/>
        <scheme val="minor"/>
      </rPr>
      <t>闲</t>
    </r>
  </si>
  <si>
    <t>张跃进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</si>
  <si>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清酒（日本米酒）; 青稞酒;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汽酒</t>
    </r>
  </si>
  <si>
    <t>安墩逸</t>
  </si>
  <si>
    <r>
      <t>果酒（含酒精）; 白干酒（中国白酒）; 黄酒; 葡萄酒;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米酒; 高粱酒</t>
    </r>
  </si>
  <si>
    <t>昭君歌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</si>
  <si>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葡萄酒; 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</si>
  <si>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市巨岭酒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</si>
  <si>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果酒(含酒精);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料(啤酒除外);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烈酒(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料); 米酒; 开胃酒; 白酒; 葡萄酒; 黄酒</t>
    </r>
  </si>
  <si>
    <t>盖欧美</t>
  </si>
  <si>
    <r>
      <t>中科海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</si>
  <si>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梅酒; 米酒; 青稞酒;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白酒; 黄酒; 果酒（含酒精）; 甜果酒; 葡萄酒</t>
    </r>
  </si>
  <si>
    <r>
      <t>酿</t>
    </r>
    <r>
      <rPr>
        <sz val="11"/>
        <color theme="1"/>
        <rFont val="ＭＳ Ｐゴシック"/>
        <family val="3"/>
        <charset val="128"/>
        <scheme val="minor"/>
      </rPr>
      <t>父·踏云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</si>
  <si>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开胃酒; 葡萄酒; 蜂蜜酒;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</si>
  <si>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石花无酉</t>
  </si>
  <si>
    <r>
      <t>清酒（日本米酒）;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白酒;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</si>
  <si>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酿</t>
    </r>
    <r>
      <rPr>
        <sz val="11"/>
        <color theme="1"/>
        <rFont val="ＭＳ Ｐゴシック"/>
        <family val="3"/>
        <charset val="128"/>
        <scheme val="minor"/>
      </rPr>
      <t>父·乾坤</t>
    </r>
  </si>
  <si>
    <r>
      <t xml:space="preserve">白酒;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</si>
  <si>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LANGBING</t>
  </si>
  <si>
    <r>
      <t>东</t>
    </r>
    <r>
      <rPr>
        <sz val="11"/>
        <color theme="1"/>
        <rFont val="ＭＳ Ｐゴシック"/>
        <family val="3"/>
        <charset val="128"/>
        <scheme val="minor"/>
      </rPr>
      <t>海餐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文化管理（深圳）有限公司</t>
    </r>
  </si>
  <si>
    <r>
      <t xml:space="preserve">米酒; 威士忌; 白酒;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</si>
  <si>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庆</t>
    </r>
    <r>
      <rPr>
        <sz val="11"/>
        <color theme="1"/>
        <rFont val="ＭＳ Ｐゴシック"/>
        <family val="3"/>
        <charset val="128"/>
        <scheme val="minor"/>
      </rPr>
      <t>的元味</t>
    </r>
  </si>
  <si>
    <r>
      <t>上海竹虎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</si>
  <si>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食用酒精; 白酒; 甜酒;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</si>
  <si>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TOPK</t>
  </si>
  <si>
    <r>
      <t>张</t>
    </r>
    <r>
      <rPr>
        <sz val="11"/>
        <color theme="1"/>
        <rFont val="ＭＳ Ｐゴシック"/>
        <family val="3"/>
        <charset val="128"/>
        <scheme val="minor"/>
      </rPr>
      <t>新宇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</si>
  <si>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威士忌; 米酒;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</si>
  <si>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百拳开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</si>
  <si>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卫</t>
    </r>
    <r>
      <rPr>
        <sz val="11"/>
        <color theme="1"/>
        <rFont val="ＭＳ Ｐゴシック"/>
        <family val="3"/>
        <charset val="128"/>
        <scheme val="minor"/>
      </rPr>
      <t>国者文化科技有限公司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</si>
  <si>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开胃酒; 汽酒</t>
    </r>
  </si>
  <si>
    <t>石岐滴珠</t>
  </si>
  <si>
    <t>中山市石岐酒厂有限公司</t>
  </si>
  <si>
    <r>
      <t>露酒; 青梅酒;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</si>
  <si>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仧乐</t>
  </si>
  <si>
    <t>乾屹（北京）科技有限公司</t>
  </si>
  <si>
    <r>
      <t>食用酒精;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白干酒（中国白酒）; 白酒; 葡萄酒; 高粱酒; 黄酒</t>
    </r>
  </si>
  <si>
    <t>观识</t>
  </si>
  <si>
    <r>
      <t>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白酒</t>
    </r>
  </si>
  <si>
    <r>
      <t>十八路</t>
    </r>
    <r>
      <rPr>
        <sz val="11"/>
        <color theme="1"/>
        <rFont val="ＭＳ Ｐゴシック"/>
        <family val="3"/>
        <charset val="134"/>
        <scheme val="minor"/>
      </rPr>
      <t>诸</t>
    </r>
    <r>
      <rPr>
        <sz val="11"/>
        <color theme="1"/>
        <rFont val="ＭＳ Ｐゴシック"/>
        <family val="3"/>
        <charset val="128"/>
        <scheme val="minor"/>
      </rPr>
      <t>侯</t>
    </r>
  </si>
  <si>
    <r>
      <t>华尔</t>
    </r>
    <r>
      <rPr>
        <sz val="11"/>
        <color theme="1"/>
        <rFont val="ＭＳ Ｐゴシック"/>
        <family val="3"/>
        <charset val="128"/>
        <scheme val="minor"/>
      </rPr>
      <t>街影</t>
    </r>
    <r>
      <rPr>
        <sz val="11"/>
        <color theme="1"/>
        <rFont val="ＭＳ Ｐゴシック"/>
        <family val="3"/>
        <charset val="134"/>
        <scheme val="minor"/>
      </rPr>
      <t>视</t>
    </r>
    <r>
      <rPr>
        <sz val="11"/>
        <color theme="1"/>
        <rFont val="ＭＳ Ｐゴシック"/>
        <family val="3"/>
        <charset val="128"/>
        <scheme val="minor"/>
      </rPr>
      <t>基地（深圳）有限公司</t>
    </r>
  </si>
  <si>
    <r>
      <t xml:space="preserve">开胃酒; 甜果酒;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</si>
  <si>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疆大煌</t>
  </si>
  <si>
    <r>
      <t>罗</t>
    </r>
    <r>
      <rPr>
        <sz val="11"/>
        <color theme="1"/>
        <rFont val="ＭＳ Ｐゴシック"/>
        <family val="3"/>
        <charset val="128"/>
        <scheme val="minor"/>
      </rPr>
      <t>雪</t>
    </r>
    <r>
      <rPr>
        <sz val="11"/>
        <color theme="1"/>
        <rFont val="ＭＳ Ｐゴシック"/>
        <family val="3"/>
        <charset val="134"/>
        <scheme val="minor"/>
      </rPr>
      <t>枫</t>
    </r>
  </si>
  <si>
    <r>
      <t>果酒（含酒精）;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</si>
  <si>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九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策</t>
    </r>
  </si>
  <si>
    <r>
      <t xml:space="preserve">白酒; 葡萄酒; 蜂蜜酒;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</si>
  <si>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米滋源</t>
  </si>
  <si>
    <t>牟立花</t>
  </si>
  <si>
    <r>
      <t>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</si>
  <si>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肆玖无极</t>
  </si>
  <si>
    <r>
      <t>白酒;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黄酒; 米酒; 葡萄酒</t>
    </r>
  </si>
  <si>
    <t>房州情</t>
  </si>
  <si>
    <r>
      <t>房州情文化礼品（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州）有限公司</t>
    </r>
  </si>
  <si>
    <r>
      <t>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</t>
    </r>
  </si>
  <si>
    <r>
      <t>垦</t>
    </r>
    <r>
      <rPr>
        <sz val="11"/>
        <color theme="1"/>
        <rFont val="ＭＳ Ｐゴシック"/>
        <family val="3"/>
        <charset val="128"/>
        <scheme val="minor"/>
      </rPr>
      <t>荒手</t>
    </r>
  </si>
  <si>
    <r>
      <t>黄酒; 葡萄酒; 白酒; 蒸煮提取物（利口酒和烈酒）; 米酒; 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</si>
  <si>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康服到</t>
  </si>
  <si>
    <r>
      <t>康服到(北京)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</si>
  <si>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薄荷酒; 果酒（含酒精）; 开胃酒; 黄酒</t>
    </r>
  </si>
  <si>
    <r>
      <t>真</t>
    </r>
    <r>
      <rPr>
        <sz val="11"/>
        <color theme="1"/>
        <rFont val="ＭＳ Ｐゴシック"/>
        <family val="3"/>
        <charset val="134"/>
        <scheme val="minor"/>
      </rPr>
      <t>雾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</si>
  <si>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杜松子酒; 黄酒; 白酒;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</si>
  <si>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南宋珀</t>
  </si>
  <si>
    <r>
      <t>杭州本源百惠供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</si>
  <si>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梨酒; 黄酒; 清酒（日本米酒）;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米酒; 蜂蜜酒; 薄荷酒</t>
    </r>
  </si>
  <si>
    <r>
      <t>炎黄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</si>
  <si>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健</t>
    </r>
  </si>
  <si>
    <r>
      <t>黄酒;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果酒; 葡萄酒; 青稞酒;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威士忌; 米酒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</si>
  <si>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枪</t>
    </r>
    <r>
      <rPr>
        <sz val="11"/>
        <color theme="1"/>
        <rFont val="ＭＳ Ｐゴシック"/>
        <family val="3"/>
        <charset val="128"/>
        <scheme val="minor"/>
      </rPr>
      <t>鹿</t>
    </r>
  </si>
  <si>
    <r>
      <t>牡丹江市</t>
    </r>
    <r>
      <rPr>
        <sz val="11"/>
        <color theme="1"/>
        <rFont val="ＭＳ Ｐゴシック"/>
        <family val="3"/>
        <charset val="134"/>
        <scheme val="minor"/>
      </rPr>
      <t>财</t>
    </r>
    <r>
      <rPr>
        <sz val="11"/>
        <color theme="1"/>
        <rFont val="ＭＳ Ｐゴシック"/>
        <family val="3"/>
        <charset val="128"/>
        <scheme val="minor"/>
      </rPr>
      <t>达商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</si>
  <si>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</si>
  <si>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浔</t>
    </r>
    <r>
      <rPr>
        <sz val="11"/>
        <color theme="1"/>
        <rFont val="ＭＳ Ｐゴシック"/>
        <family val="3"/>
        <charset val="128"/>
        <scheme val="minor"/>
      </rPr>
      <t>搏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</si>
  <si>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浔</t>
    </r>
    <r>
      <rPr>
        <sz val="11"/>
        <color theme="1"/>
        <rFont val="ＭＳ Ｐゴシック"/>
        <family val="3"/>
        <charset val="128"/>
        <scheme val="minor"/>
      </rPr>
      <t>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</si>
  <si>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高粱酒;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</si>
  <si>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北同官正</t>
  </si>
  <si>
    <r>
      <t>李</t>
    </r>
    <r>
      <rPr>
        <sz val="11"/>
        <color theme="1"/>
        <rFont val="ＭＳ Ｐゴシック"/>
        <family val="3"/>
        <charset val="134"/>
        <scheme val="minor"/>
      </rPr>
      <t>现腾</t>
    </r>
  </si>
  <si>
    <r>
      <t>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</si>
  <si>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万佳省</t>
  </si>
  <si>
    <r>
      <t>新</t>
    </r>
    <r>
      <rPr>
        <sz val="11"/>
        <color theme="1"/>
        <rFont val="ＭＳ Ｐゴシック"/>
        <family val="3"/>
        <charset val="134"/>
        <scheme val="minor"/>
      </rPr>
      <t>郑</t>
    </r>
    <r>
      <rPr>
        <sz val="11"/>
        <color theme="1"/>
        <rFont val="ＭＳ Ｐゴシック"/>
        <family val="3"/>
        <charset val="128"/>
        <scheme val="minor"/>
      </rPr>
      <t>市万佳商</t>
    </r>
    <r>
      <rPr>
        <sz val="11"/>
        <color theme="1"/>
        <rFont val="ＭＳ Ｐゴシック"/>
        <family val="3"/>
        <charset val="134"/>
        <scheme val="minor"/>
      </rPr>
      <t>业连锁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</si>
  <si>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蜂蜜酒; 甜果酒; 果酒（含酒精）; 露酒; 清酒;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葡萄酒</t>
    </r>
  </si>
  <si>
    <r>
      <t>湖北省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食同源医学研究有限公司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</si>
  <si>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</t>
    </r>
  </si>
  <si>
    <t>CHI KANG JIANG JIU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</si>
  <si>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州赤康酒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</si>
  <si>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青稞酒; 葡萄酒;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米酒;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高粱酒; 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</si>
  <si>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丛</t>
    </r>
    <r>
      <rPr>
        <sz val="11"/>
        <color theme="1"/>
        <rFont val="ＭＳ Ｐゴシック"/>
        <family val="3"/>
        <charset val="128"/>
        <scheme val="minor"/>
      </rPr>
      <t>甄暖城</t>
    </r>
  </si>
  <si>
    <r>
      <t>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</si>
  <si>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廖勇志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</si>
  <si>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果酒（含酒精）; 葡萄酒</t>
    </r>
  </si>
  <si>
    <t>日月@灵气</t>
  </si>
  <si>
    <t>胡小平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</si>
  <si>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白酒;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青梅酒; 果酒（含酒精）; 葡萄酒; 米酒; 黄酒</t>
    </r>
  </si>
  <si>
    <r>
      <t>荣滇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</si>
  <si>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威士忌; 米酒; 果酒; 青稞酒; 黄酒;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</t>
    </r>
  </si>
  <si>
    <t>糖憨憨</t>
  </si>
  <si>
    <r>
      <t>广西几味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生供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</si>
  <si>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白酒;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米酒</t>
    </r>
  </si>
  <si>
    <t>松竹菊</t>
  </si>
  <si>
    <r>
      <t xml:space="preserve">葡萄酒; 米酒; 朗姆酒; 伏特加酒;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果酒（含酒精）; 清酒（日本米酒）; 白酒</t>
    </r>
  </si>
  <si>
    <t>曾小祥</t>
  </si>
  <si>
    <t>曾祥德</t>
  </si>
  <si>
    <r>
      <t xml:space="preserve">青稞酒; 果酒（含酒精）;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白酒;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</si>
  <si>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元气母</t>
    </r>
    <r>
      <rPr>
        <sz val="11"/>
        <color theme="1"/>
        <rFont val="ＭＳ Ｐゴシック"/>
        <family val="3"/>
        <charset val="134"/>
        <scheme val="minor"/>
      </rPr>
      <t>亲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</si>
  <si>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汉骏</t>
    </r>
    <r>
      <rPr>
        <sz val="11"/>
        <color theme="1"/>
        <rFont val="ＭＳ Ｐゴシック"/>
        <family val="3"/>
        <charset val="128"/>
        <scheme val="minor"/>
      </rPr>
      <t>青企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</si>
  <si>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果酒（含酒精）; 蜂蜜酒; 开胃酒;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苦艾酒</t>
    </r>
  </si>
  <si>
    <t>葡毓</t>
  </si>
  <si>
    <r>
      <t>赵</t>
    </r>
    <r>
      <rPr>
        <sz val="11"/>
        <color theme="1"/>
        <rFont val="ＭＳ Ｐゴシック"/>
        <family val="3"/>
        <charset val="128"/>
        <scheme val="minor"/>
      </rPr>
      <t>清涛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</si>
  <si>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朗姆酒; 威士忌; 开胃酒;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葡萄酒</t>
    </r>
  </si>
  <si>
    <t>舜煌朝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</si>
  <si>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食用酒精; 果酒（含酒精）; 白酒;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</si>
  <si>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陶溪川</t>
  </si>
  <si>
    <r>
      <t>景德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陶文旅控股集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</si>
  <si>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薄荷酒;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</t>
    </r>
  </si>
  <si>
    <t>儒藏仁德</t>
  </si>
  <si>
    <r>
      <t>石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明</t>
    </r>
  </si>
  <si>
    <r>
      <t xml:space="preserve">黄酒; 白酒; 蒸煮提取物（利口酒和烈酒）;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食用酒精;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</si>
  <si>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石婆</t>
    </r>
    <r>
      <rPr>
        <sz val="11"/>
        <color theme="1"/>
        <rFont val="ＭＳ Ｐゴシック"/>
        <family val="3"/>
        <charset val="134"/>
        <scheme val="minor"/>
      </rPr>
      <t>桥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</si>
  <si>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米酒; 白酒</t>
    </r>
  </si>
  <si>
    <r>
      <t>酒都匠</t>
    </r>
    <r>
      <rPr>
        <sz val="11"/>
        <color theme="1"/>
        <rFont val="ＭＳ Ｐゴシック"/>
        <family val="3"/>
        <charset val="134"/>
        <scheme val="minor"/>
      </rPr>
      <t>领</t>
    </r>
  </si>
  <si>
    <r>
      <t>熊</t>
    </r>
    <r>
      <rPr>
        <sz val="11"/>
        <color theme="1"/>
        <rFont val="ＭＳ Ｐゴシック"/>
        <family val="3"/>
        <charset val="134"/>
        <scheme val="minor"/>
      </rPr>
      <t>卫</t>
    </r>
  </si>
  <si>
    <r>
      <t xml:space="preserve">果酒（含酒精）; 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</si>
  <si>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西藏好物文化有限公司</t>
  </si>
  <si>
    <r>
      <t xml:space="preserve">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果酒（含酒精）</t>
    </r>
  </si>
  <si>
    <r>
      <t>纯</t>
    </r>
    <r>
      <rPr>
        <sz val="11"/>
        <color theme="1"/>
        <rFont val="ＭＳ Ｐゴシック"/>
        <family val="3"/>
        <charset val="128"/>
        <scheme val="minor"/>
      </rPr>
      <t>久</t>
    </r>
    <r>
      <rPr>
        <sz val="11"/>
        <color theme="1"/>
        <rFont val="ＭＳ Ｐゴシック"/>
        <family val="3"/>
        <charset val="134"/>
        <scheme val="minor"/>
      </rPr>
      <t>忆岁</t>
    </r>
    <r>
      <rPr>
        <sz val="11"/>
        <color theme="1"/>
        <rFont val="ＭＳ Ｐゴシック"/>
        <family val="3"/>
        <charset val="128"/>
        <scheme val="minor"/>
      </rPr>
      <t>月</t>
    </r>
  </si>
  <si>
    <r>
      <t>成都市子云亭酒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</si>
  <si>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汽酒; 含酒精的气泡水; 果酒（含酒精）;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</si>
  <si>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XOMTLSLS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</si>
  <si>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坛</t>
    </r>
    <r>
      <rPr>
        <sz val="11"/>
        <color theme="1"/>
        <rFont val="ＭＳ Ｐゴシック"/>
        <family val="3"/>
        <charset val="128"/>
        <scheme val="minor"/>
      </rPr>
      <t>将</t>
    </r>
    <r>
      <rPr>
        <sz val="11"/>
        <color theme="1"/>
        <rFont val="ＭＳ Ｐゴシック"/>
        <family val="3"/>
        <charset val="134"/>
        <scheme val="minor"/>
      </rPr>
      <t>军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</si>
  <si>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 xml:space="preserve">清酒;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</si>
  <si>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优</t>
    </r>
    <r>
      <rPr>
        <sz val="11"/>
        <color theme="1"/>
        <rFont val="ＭＳ Ｐゴシック"/>
        <family val="3"/>
        <charset val="128"/>
        <scheme val="minor"/>
      </rPr>
      <t>品</t>
    </r>
    <r>
      <rPr>
        <sz val="11"/>
        <color theme="1"/>
        <rFont val="ＭＳ Ｐゴシック"/>
        <family val="3"/>
        <charset val="134"/>
        <scheme val="minor"/>
      </rPr>
      <t>谣</t>
    </r>
  </si>
  <si>
    <t>樊蓉</t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</si>
  <si>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威士忌; 白酒</t>
    </r>
  </si>
  <si>
    <r>
      <t>十里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光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</si>
  <si>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</t>
    </r>
  </si>
  <si>
    <r>
      <t>通</t>
    </r>
    <r>
      <rPr>
        <sz val="11"/>
        <color theme="1"/>
        <rFont val="ＭＳ Ｐゴシック"/>
        <family val="3"/>
        <charset val="134"/>
        <scheme val="minor"/>
      </rPr>
      <t>闲</t>
    </r>
  </si>
  <si>
    <r>
      <t>新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区和晶酒</t>
    </r>
    <r>
      <rPr>
        <sz val="11"/>
        <color theme="1"/>
        <rFont val="ＭＳ Ｐゴシック"/>
        <family val="3"/>
        <charset val="134"/>
        <scheme val="minor"/>
      </rPr>
      <t>类经营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</si>
  <si>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米酒</t>
    </r>
  </si>
  <si>
    <r>
      <t>绍</t>
    </r>
    <r>
      <rPr>
        <sz val="11"/>
        <color theme="1"/>
        <rFont val="ＭＳ Ｐゴシック"/>
        <family val="3"/>
        <charset val="128"/>
        <scheme val="minor"/>
      </rPr>
      <t>九洲</t>
    </r>
  </si>
  <si>
    <t>朱志芳</t>
  </si>
  <si>
    <r>
      <t>葡萄酒; 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</si>
  <si>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维</t>
    </r>
    <r>
      <rPr>
        <sz val="11"/>
        <color theme="1"/>
        <rFont val="ＭＳ Ｐゴシック"/>
        <family val="3"/>
        <charset val="128"/>
        <scheme val="minor"/>
      </rPr>
      <t>央</t>
    </r>
  </si>
  <si>
    <t>毛阳勇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</si>
  <si>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</si>
  <si>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窝</t>
    </r>
    <r>
      <rPr>
        <sz val="11"/>
        <color theme="1"/>
        <rFont val="ＭＳ Ｐゴシック"/>
        <family val="3"/>
        <charset val="128"/>
        <scheme val="minor"/>
      </rPr>
      <t>集口</t>
    </r>
  </si>
  <si>
    <t>李文宁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</si>
  <si>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</si>
  <si>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盆地人家</t>
  </si>
  <si>
    <r>
      <t>张</t>
    </r>
    <r>
      <rPr>
        <sz val="11"/>
        <color theme="1"/>
        <rFont val="ＭＳ Ｐゴシック"/>
        <family val="3"/>
        <charset val="128"/>
        <scheme val="minor"/>
      </rPr>
      <t>玉山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</si>
  <si>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威士忌</t>
    </r>
  </si>
  <si>
    <r>
      <t>廷</t>
    </r>
    <r>
      <rPr>
        <sz val="11"/>
        <color theme="1"/>
        <rFont val="ＭＳ Ｐゴシック"/>
        <family val="3"/>
        <charset val="134"/>
        <scheme val="minor"/>
      </rPr>
      <t>宫汉</t>
    </r>
    <r>
      <rPr>
        <sz val="11"/>
        <color theme="1"/>
        <rFont val="ＭＳ Ｐゴシック"/>
        <family val="3"/>
        <charset val="128"/>
        <scheme val="minor"/>
      </rPr>
      <t>大</t>
    </r>
  </si>
  <si>
    <r>
      <t xml:space="preserve">黄酒; 汽酒; 青稞酒;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白酒; 蜂蜜酒</t>
    </r>
  </si>
  <si>
    <t>梅沃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</si>
  <si>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清酒（日本米酒）; 黄酒;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梅酒;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</si>
  <si>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永滇酒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</si>
  <si>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 xml:space="preserve">黄酒; 果酒; 高粱酒; 威士忌; 白酒;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</t>
    </r>
  </si>
  <si>
    <r>
      <t>钰</t>
    </r>
    <r>
      <rPr>
        <sz val="11"/>
        <color theme="1"/>
        <rFont val="ＭＳ Ｐゴシック"/>
        <family val="3"/>
        <charset val="128"/>
        <scheme val="minor"/>
      </rPr>
      <t>品天</t>
    </r>
    <r>
      <rPr>
        <sz val="11"/>
        <color theme="1"/>
        <rFont val="ＭＳ Ｐゴシック"/>
        <family val="3"/>
        <charset val="134"/>
        <scheme val="minor"/>
      </rPr>
      <t>铖</t>
    </r>
  </si>
  <si>
    <r>
      <t>北京酒</t>
    </r>
    <r>
      <rPr>
        <sz val="11"/>
        <color theme="1"/>
        <rFont val="ＭＳ Ｐゴシック"/>
        <family val="3"/>
        <charset val="134"/>
        <scheme val="minor"/>
      </rPr>
      <t>窝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</si>
  <si>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青稞酒;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</si>
  <si>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雅小森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</si>
  <si>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伏特加酒;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</si>
  <si>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会稽江南湘</t>
  </si>
  <si>
    <r>
      <t>谈</t>
    </r>
    <r>
      <rPr>
        <sz val="11"/>
        <color theme="1"/>
        <rFont val="ＭＳ Ｐゴシック"/>
        <family val="3"/>
        <charset val="128"/>
        <scheme val="minor"/>
      </rPr>
      <t>秋</t>
    </r>
    <r>
      <rPr>
        <sz val="11"/>
        <color theme="1"/>
        <rFont val="ＭＳ Ｐゴシック"/>
        <family val="3"/>
        <charset val="129"/>
        <scheme val="minor"/>
      </rPr>
      <t>洁</t>
    </r>
  </si>
  <si>
    <r>
      <t>白酒; 蜂蜜酒; 黄酒; 米酒; 葡萄酒; 高粱酒; 甘蔗制烈酒;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</si>
  <si>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r>
      <t>佛山市南海区智品捷商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</si>
  <si>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威士忌; 起泡白葡萄酒; 白葡萄酒;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烈酒; 黄酒</t>
    </r>
  </si>
  <si>
    <t>郭阳王</t>
  </si>
  <si>
    <r>
      <t>霍牡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</si>
  <si>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果酒（含酒精）; 露酒; 白酒;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</si>
  <si>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蔚州白白</t>
  </si>
  <si>
    <r>
      <t>朱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玲</t>
    </r>
  </si>
  <si>
    <r>
      <t>米酒;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</si>
  <si>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粤福粤喜</t>
  </si>
  <si>
    <t>张辉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</si>
  <si>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白酒</t>
    </r>
  </si>
  <si>
    <r>
      <t>会稽江南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</si>
  <si>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蜂蜜酒; 黄酒; 甘蔗制烈酒; 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</t>
    </r>
  </si>
  <si>
    <t>篆塘</t>
  </si>
  <si>
    <r>
      <t>昆明篆新供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</si>
  <si>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</si>
  <si>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大秦</t>
    </r>
    <r>
      <rPr>
        <sz val="11"/>
        <color theme="1"/>
        <rFont val="ＭＳ Ｐゴシック"/>
        <family val="3"/>
        <charset val="134"/>
        <scheme val="minor"/>
      </rPr>
      <t>续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</si>
  <si>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露酒;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苹果酒; 葡萄酒; 果酒（含酒精）</t>
    </r>
  </si>
  <si>
    <r>
      <t>翁俸甄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</si>
  <si>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州甄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</si>
  <si>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</si>
  <si>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卢</t>
    </r>
    <r>
      <rPr>
        <sz val="11"/>
        <color theme="1"/>
        <rFont val="ＭＳ Ｐゴシック"/>
        <family val="3"/>
        <charset val="128"/>
        <scheme val="minor"/>
      </rPr>
      <t>公酒坊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</si>
  <si>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亚风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</si>
  <si>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</si>
  <si>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技大人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</si>
  <si>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米酒; 白酒; 葡萄酒; 白干酒（中国白酒）; 威士忌</t>
    </r>
  </si>
  <si>
    <t>深小信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</si>
  <si>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白酒; 葡萄酒; 威士忌; 米酒;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</si>
  <si>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仙壹都</t>
  </si>
  <si>
    <r>
      <t>西安仙都酒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</si>
  <si>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开胃酒; 米酒;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</t>
    </r>
  </si>
  <si>
    <r>
      <t>硕</t>
    </r>
    <r>
      <rPr>
        <sz val="11"/>
        <color theme="1"/>
        <rFont val="ＭＳ Ｐゴシック"/>
        <family val="3"/>
        <charset val="128"/>
        <scheme val="minor"/>
      </rPr>
      <t>歌</t>
    </r>
  </si>
  <si>
    <r>
      <t>徐州酒</t>
    </r>
    <r>
      <rPr>
        <sz val="11"/>
        <color theme="1"/>
        <rFont val="ＭＳ Ｐゴシック"/>
        <family val="3"/>
        <charset val="134"/>
        <scheme val="minor"/>
      </rPr>
      <t>荟</t>
    </r>
    <r>
      <rPr>
        <sz val="11"/>
        <color theme="1"/>
        <rFont val="ＭＳ Ｐゴシック"/>
        <family val="3"/>
        <charset val="128"/>
        <scheme val="minor"/>
      </rPr>
      <t>堂商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</si>
  <si>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米酒; 利口酒; 苦味酒; 青稞酒; 黄酒;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</si>
  <si>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会稽江南醉</t>
  </si>
  <si>
    <r>
      <t xml:space="preserve">高粱酒;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甘蔗制烈酒; 葡萄酒; 蜂蜜酒;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</t>
    </r>
  </si>
  <si>
    <r>
      <t>半</t>
    </r>
    <r>
      <rPr>
        <sz val="11"/>
        <color theme="1"/>
        <rFont val="ＭＳ Ｐゴシック"/>
        <family val="3"/>
        <charset val="134"/>
        <scheme val="minor"/>
      </rPr>
      <t>边</t>
    </r>
    <r>
      <rPr>
        <sz val="11"/>
        <color theme="1"/>
        <rFont val="ＭＳ Ｐゴシック"/>
        <family val="3"/>
        <charset val="128"/>
        <scheme val="minor"/>
      </rPr>
      <t>街（深圳）体育用品有限公司</t>
    </r>
  </si>
  <si>
    <r>
      <t>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伏特加酒;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白干酒（中国白酒）; 高粱酒;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混合威士忌酒</t>
    </r>
  </si>
  <si>
    <r>
      <t>英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斯洛有限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</si>
  <si>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利口酒; 烈酒;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</si>
  <si>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庞</t>
    </r>
    <r>
      <rPr>
        <sz val="11"/>
        <color theme="1"/>
        <rFont val="ＭＳ Ｐゴシック"/>
        <family val="3"/>
        <charset val="128"/>
        <scheme val="minor"/>
      </rPr>
      <t>人醉</t>
    </r>
  </si>
  <si>
    <r>
      <t>庞</t>
    </r>
    <r>
      <rPr>
        <sz val="11"/>
        <color theme="1"/>
        <rFont val="ＭＳ Ｐゴシック"/>
        <family val="3"/>
        <charset val="128"/>
        <scheme val="minor"/>
      </rPr>
      <t>恒</t>
    </r>
    <r>
      <rPr>
        <sz val="11"/>
        <color theme="1"/>
        <rFont val="ＭＳ Ｐゴシック"/>
        <family val="3"/>
        <charset val="134"/>
        <scheme val="minor"/>
      </rPr>
      <t>远</t>
    </r>
  </si>
  <si>
    <r>
      <t xml:space="preserve">黄酒; 露酒;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果酒; 白酒; 汽酒</t>
    </r>
  </si>
  <si>
    <t>斟客酌友</t>
  </si>
  <si>
    <r>
      <t xml:space="preserve">米酒; 果酒（含酒精）; 黄酒; 葡萄酒;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</si>
  <si>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蒸煮提取物（利口酒和烈酒）;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开胃酒</t>
    </r>
  </si>
  <si>
    <r>
      <t>咆哮小</t>
    </r>
    <r>
      <rPr>
        <sz val="11"/>
        <color theme="1"/>
        <rFont val="ＭＳ Ｐゴシック"/>
        <family val="3"/>
        <charset val="134"/>
        <scheme val="minor"/>
      </rPr>
      <t>鸟</t>
    </r>
  </si>
  <si>
    <r>
      <t>广州招商工</t>
    </r>
    <r>
      <rPr>
        <sz val="11"/>
        <color theme="1"/>
        <rFont val="ＭＳ Ｐゴシック"/>
        <family val="3"/>
        <charset val="134"/>
        <scheme val="minor"/>
      </rPr>
      <t>场</t>
    </r>
    <r>
      <rPr>
        <sz val="11"/>
        <color theme="1"/>
        <rFont val="ＭＳ Ｐゴシック"/>
        <family val="3"/>
        <charset val="128"/>
        <scheme val="minor"/>
      </rPr>
      <t>控股有限公司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</si>
  <si>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白酒; 米酒;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</si>
  <si>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半生清云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</si>
  <si>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东鲜满记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</si>
  <si>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</si>
  <si>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会稽江南梦</t>
  </si>
  <si>
    <r>
      <t>米酒; 蜂蜜酒; 白酒; 果酒; 葡萄酒; 高粱酒;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</si>
  <si>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WU YONG ZHI YONG</t>
  </si>
  <si>
    <r>
      <t>杭州方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大用文化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</si>
  <si>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>葡萄酒; 开胃酒;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果酒（含酒精）</t>
    </r>
  </si>
  <si>
    <r>
      <t>盛保</t>
    </r>
    <r>
      <rPr>
        <sz val="11"/>
        <color theme="1"/>
        <rFont val="ＭＳ Ｐゴシック"/>
        <family val="3"/>
        <charset val="134"/>
        <scheme val="minor"/>
      </rPr>
      <t>罗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</si>
  <si>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高粱酒;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</si>
  <si>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与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同道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</si>
  <si>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汉颐</t>
    </r>
    <r>
      <rPr>
        <sz val="11"/>
        <color theme="1"/>
        <rFont val="ＭＳ Ｐゴシック"/>
        <family val="3"/>
        <charset val="128"/>
        <scheme val="minor"/>
      </rPr>
      <t>之道运</t>
    </r>
    <r>
      <rPr>
        <sz val="11"/>
        <color theme="1"/>
        <rFont val="ＭＳ Ｐゴシック"/>
        <family val="3"/>
        <charset val="134"/>
        <scheme val="minor"/>
      </rPr>
      <t>动</t>
    </r>
    <r>
      <rPr>
        <sz val="11"/>
        <color theme="1"/>
        <rFont val="ＭＳ Ｐゴシック"/>
        <family val="3"/>
        <charset val="128"/>
        <scheme val="minor"/>
      </rPr>
      <t>医学研究中心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</si>
  <si>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清酒; 葡萄酒; 米酒; 黄酒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</si>
  <si>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</si>
  <si>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糕糕典典</t>
  </si>
  <si>
    <t>方勤萍</t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</si>
  <si>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伏特加酒; 食用酒精; 白酒; 汽酒; 米酒; 黄酒; 葡萄酒</t>
    </r>
  </si>
  <si>
    <r>
      <t>福粤</t>
    </r>
    <r>
      <rPr>
        <sz val="11"/>
        <color theme="1"/>
        <rFont val="ＭＳ Ｐゴシック"/>
        <family val="3"/>
        <charset val="134"/>
        <scheme val="minor"/>
      </rPr>
      <t>汇</t>
    </r>
  </si>
  <si>
    <r>
      <t xml:space="preserve">威士忌; 米酒; 黄酒;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</si>
  <si>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京芽</t>
  </si>
  <si>
    <r>
      <t>潘</t>
    </r>
    <r>
      <rPr>
        <sz val="11"/>
        <color theme="1"/>
        <rFont val="ＭＳ Ｐゴシック"/>
        <family val="3"/>
        <charset val="134"/>
        <scheme val="minor"/>
      </rPr>
      <t>艳</t>
    </r>
    <r>
      <rPr>
        <sz val="11"/>
        <color theme="1"/>
        <rFont val="ＭＳ Ｐゴシック"/>
        <family val="3"/>
        <charset val="128"/>
        <scheme val="minor"/>
      </rPr>
      <t>亭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</si>
  <si>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果酒（含酒精）; 米酒</t>
    </r>
  </si>
  <si>
    <r>
      <t>稒</t>
    </r>
    <r>
      <rPr>
        <sz val="11"/>
        <color theme="1"/>
        <rFont val="ＭＳ Ｐゴシック"/>
        <family val="3"/>
        <charset val="128"/>
        <scheme val="minor"/>
      </rPr>
      <t>阳古泉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</si>
  <si>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白酒; 白干酒（中国白酒）</t>
    </r>
  </si>
  <si>
    <t>WFBP</t>
  </si>
  <si>
    <r>
      <t>曾春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</si>
  <si>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 xml:space="preserve">甘蔗制烈酒;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</si>
  <si>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皖相溪</t>
  </si>
  <si>
    <r>
      <t>程二</t>
    </r>
    <r>
      <rPr>
        <sz val="11"/>
        <color theme="1"/>
        <rFont val="ＭＳ Ｐゴシック"/>
        <family val="3"/>
        <charset val="134"/>
        <scheme val="minor"/>
      </rPr>
      <t>环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</si>
  <si>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食用酒精;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伏特加酒; 果酒（含酒精）</t>
    </r>
  </si>
  <si>
    <r>
      <t>财</t>
    </r>
    <r>
      <rPr>
        <sz val="11"/>
        <color theme="1"/>
        <rFont val="ＭＳ Ｐゴシック"/>
        <family val="3"/>
        <charset val="128"/>
        <scheme val="minor"/>
      </rPr>
      <t>粤</t>
    </r>
    <r>
      <rPr>
        <sz val="11"/>
        <color theme="1"/>
        <rFont val="ＭＳ Ｐゴシック"/>
        <family val="3"/>
        <charset val="134"/>
        <scheme val="minor"/>
      </rPr>
      <t>汇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</si>
  <si>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威士忌;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</si>
  <si>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北京博奥一五零国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健康管理有限公司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</si>
  <si>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蜂蜜酒;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苹果酒</t>
    </r>
  </si>
  <si>
    <r>
      <t>醉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翠滴醇</t>
    </r>
  </si>
  <si>
    <t>蒋俊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</si>
  <si>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甜果酒; 白酒;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</si>
  <si>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瑰夏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光</t>
    </r>
  </si>
  <si>
    <r>
      <t>云南集美鼎欣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</si>
  <si>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薄荷酒;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食用酒精;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</si>
  <si>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篆塘篆新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</si>
  <si>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</si>
  <si>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PAARDENKLOOF</t>
  </si>
  <si>
    <r>
      <t>南非昌隆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</si>
  <si>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起泡白葡萄酒;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</si>
  <si>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7K</t>
  </si>
  <si>
    <r>
      <t>占双</t>
    </r>
    <r>
      <rPr>
        <sz val="11"/>
        <color theme="1"/>
        <rFont val="ＭＳ Ｐゴシック"/>
        <family val="3"/>
        <charset val="134"/>
        <scheme val="minor"/>
      </rPr>
      <t>义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</si>
  <si>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果酒（含酒精）; 葡萄酒; 蜂蜜酒; 威士忌; 黄酒</t>
    </r>
  </si>
  <si>
    <r>
      <t>岳麓</t>
    </r>
    <r>
      <rPr>
        <sz val="11"/>
        <color theme="1"/>
        <rFont val="ＭＳ Ｐゴシック"/>
        <family val="3"/>
        <charset val="134"/>
        <scheme val="minor"/>
      </rPr>
      <t>泽</t>
    </r>
  </si>
  <si>
    <t>朱梦瑶</t>
  </si>
  <si>
    <r>
      <t xml:space="preserve">葡萄酒; 威士忌;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果酒（含酒精）; 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</si>
  <si>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艳</t>
    </r>
    <r>
      <rPr>
        <sz val="11"/>
        <color theme="1"/>
        <rFont val="ＭＳ Ｐゴシック"/>
        <family val="3"/>
        <charset val="128"/>
        <scheme val="minor"/>
      </rPr>
      <t>鹿康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</si>
  <si>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晓艳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</si>
  <si>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白干酒（中国白酒）;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</t>
    </r>
  </si>
  <si>
    <t>河南省曲大姐食品有限公司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</si>
  <si>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米酒; 黄酒; 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</si>
  <si>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吴</t>
    </r>
    <r>
      <rPr>
        <sz val="11"/>
        <color theme="1"/>
        <rFont val="ＭＳ Ｐゴシック"/>
        <family val="3"/>
        <charset val="134"/>
        <scheme val="minor"/>
      </rPr>
      <t>饱饱</t>
    </r>
  </si>
  <si>
    <t>吴勇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</si>
  <si>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烈酒; 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</si>
  <si>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半生福</t>
  </si>
  <si>
    <r>
      <t>利口酒;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白酒; 高粱酒; 果酒;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</si>
  <si>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藏宝箱</t>
  </si>
  <si>
    <r>
      <t>杨</t>
    </r>
    <r>
      <rPr>
        <sz val="11"/>
        <color theme="1"/>
        <rFont val="ＭＳ Ｐゴシック"/>
        <family val="3"/>
        <charset val="128"/>
        <scheme val="minor"/>
      </rPr>
      <t>雪</t>
    </r>
  </si>
  <si>
    <r>
      <t>米酒; 白酒; 果酒;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甜果酒; 葡萄酒; 甜酒; 高粱酒</t>
    </r>
  </si>
  <si>
    <r>
      <t>凸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康</t>
    </r>
  </si>
  <si>
    <r>
      <t>杭州凸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康科技有限公司</t>
    </r>
  </si>
  <si>
    <r>
      <t>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苹果酒; 清酒（日本米酒）;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威士忌</t>
    </r>
  </si>
  <si>
    <r>
      <t>亩</t>
    </r>
    <r>
      <rPr>
        <sz val="11"/>
        <color theme="1"/>
        <rFont val="ＭＳ Ｐゴシック"/>
        <family val="3"/>
        <charset val="128"/>
        <scheme val="minor"/>
      </rPr>
      <t>棠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</si>
  <si>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娜</t>
    </r>
  </si>
  <si>
    <r>
      <t>米酒; 白酒;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高粱酒; 梅酒;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</si>
  <si>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JAKKALSVLEI</t>
  </si>
  <si>
    <r>
      <t>人</t>
    </r>
    <r>
      <rPr>
        <sz val="11"/>
        <color theme="1"/>
        <rFont val="ＭＳ Ｐゴシック"/>
        <family val="3"/>
        <charset val="134"/>
        <scheme val="minor"/>
      </rPr>
      <t>间</t>
    </r>
    <r>
      <rPr>
        <sz val="11"/>
        <color theme="1"/>
        <rFont val="ＭＳ Ｐゴシック"/>
        <family val="3"/>
        <charset val="128"/>
        <scheme val="minor"/>
      </rPr>
      <t>孟婆</t>
    </r>
    <r>
      <rPr>
        <sz val="11"/>
        <color theme="1"/>
        <rFont val="ＭＳ Ｐゴシック"/>
        <family val="3"/>
        <charset val="134"/>
        <scheme val="minor"/>
      </rPr>
      <t>汤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</si>
  <si>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州故事精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</si>
  <si>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高粱酒; 白酒;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</t>
    </r>
  </si>
  <si>
    <t>最四海</t>
  </si>
  <si>
    <r>
      <t>杨</t>
    </r>
    <r>
      <rPr>
        <sz val="11"/>
        <color theme="1"/>
        <rFont val="ＭＳ Ｐゴシック"/>
        <family val="3"/>
        <charset val="128"/>
        <scheme val="minor"/>
      </rPr>
      <t>媛媛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</si>
  <si>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</si>
  <si>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山海</t>
    </r>
    <r>
      <rPr>
        <sz val="11"/>
        <color theme="1"/>
        <rFont val="ＭＳ Ｐゴシック"/>
        <family val="3"/>
        <charset val="134"/>
        <scheme val="minor"/>
      </rPr>
      <t>纲</t>
    </r>
    <r>
      <rPr>
        <sz val="11"/>
        <color theme="1"/>
        <rFont val="ＭＳ Ｐゴシック"/>
        <family val="3"/>
        <charset val="128"/>
        <scheme val="minor"/>
      </rPr>
      <t>目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</si>
  <si>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食用酒精; 白酒</t>
    </r>
  </si>
  <si>
    <r>
      <t>鸣</t>
    </r>
    <r>
      <rPr>
        <sz val="11"/>
        <color theme="1"/>
        <rFont val="ＭＳ Ｐゴシック"/>
        <family val="3"/>
        <charset val="128"/>
        <scheme val="minor"/>
      </rPr>
      <t>粹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</si>
  <si>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州中</t>
    </r>
    <r>
      <rPr>
        <sz val="11"/>
        <color theme="1"/>
        <rFont val="ＭＳ Ｐゴシック"/>
        <family val="3"/>
        <charset val="134"/>
        <scheme val="minor"/>
      </rPr>
      <t>岙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</si>
  <si>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高粱酒;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</si>
  <si>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首廷</t>
  </si>
  <si>
    <t>李道玉</t>
  </si>
  <si>
    <r>
      <t>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葡萄酒; 米酒; 伏特加酒;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威士忌</t>
    </r>
  </si>
  <si>
    <t>英雄吴</t>
  </si>
  <si>
    <r>
      <t>吴明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</si>
  <si>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</si>
  <si>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t>LEFLAWLESS</t>
  </si>
  <si>
    <r>
      <t>杭州</t>
    </r>
    <r>
      <rPr>
        <sz val="11"/>
        <color theme="1"/>
        <rFont val="ＭＳ Ｐゴシック"/>
        <family val="3"/>
        <charset val="134"/>
        <scheme val="minor"/>
      </rPr>
      <t>铂</t>
    </r>
    <r>
      <rPr>
        <sz val="11"/>
        <color theme="1"/>
        <rFont val="ＭＳ Ｐゴシック"/>
        <family val="3"/>
        <charset val="128"/>
        <scheme val="minor"/>
      </rPr>
      <t>曼家居科技有限公司</t>
    </r>
  </si>
  <si>
    <r>
      <t>开胃酒; 米酒; 高粱酒; 果酒; 伏特加酒;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葡萄酒; 甜酒</t>
    </r>
  </si>
  <si>
    <t>老牛角</t>
  </si>
  <si>
    <r>
      <t>内蒙古阿荣旗徐府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</si>
  <si>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米酒; 利口酒;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</si>
  <si>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云</t>
    </r>
    <r>
      <rPr>
        <sz val="11"/>
        <color theme="1"/>
        <rFont val="ＭＳ Ｐゴシック"/>
        <family val="3"/>
        <charset val="129"/>
        <scheme val="minor"/>
      </rPr>
      <t>怀</t>
    </r>
  </si>
  <si>
    <r>
      <t>徐州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亦盛商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</si>
  <si>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白酒; 米酒; 清酒;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开胃酒; 果酒（含酒精）</t>
    </r>
  </si>
  <si>
    <t>五口田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</si>
  <si>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州珉康堂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</si>
  <si>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开胃酒;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</si>
  <si>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金稻川</t>
  </si>
  <si>
    <r>
      <t>杨</t>
    </r>
    <r>
      <rPr>
        <sz val="11"/>
        <color theme="1"/>
        <rFont val="ＭＳ Ｐゴシック"/>
        <family val="3"/>
        <charset val="128"/>
        <scheme val="minor"/>
      </rPr>
      <t>明路</t>
    </r>
  </si>
  <si>
    <r>
      <t>开胃酒; 果酒（含酒精）; 米酒;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</si>
  <si>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螳川宝地</t>
  </si>
  <si>
    <r>
      <t>云南</t>
    </r>
    <r>
      <rPr>
        <sz val="11"/>
        <color theme="1"/>
        <rFont val="ＭＳ Ｐゴシック"/>
        <family val="3"/>
        <charset val="134"/>
        <scheme val="minor"/>
      </rPr>
      <t>韬</t>
    </r>
    <r>
      <rPr>
        <sz val="11"/>
        <color theme="1"/>
        <rFont val="ＭＳ Ｐゴシック"/>
        <family val="3"/>
        <charset val="128"/>
        <scheme val="minor"/>
      </rPr>
      <t>立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</si>
  <si>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露酒; 汽酒; 甜酒</t>
    </r>
  </si>
  <si>
    <t>岳香春</t>
  </si>
  <si>
    <r>
      <t>文水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宇香醇酒</t>
    </r>
    <r>
      <rPr>
        <sz val="11"/>
        <color theme="1"/>
        <rFont val="ＭＳ Ｐゴシック"/>
        <family val="3"/>
        <charset val="134"/>
        <scheme val="minor"/>
      </rPr>
      <t>类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</si>
  <si>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薄荷酒; 苦味酒; 米酒; 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五加皮酒（中国混合烈酒）; 黄酒; 白干酒（中国白酒）; 梨酒;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</si>
  <si>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淼盈酒</t>
  </si>
  <si>
    <r>
      <t>佛山市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康共友烟酒有限公司</t>
    </r>
  </si>
  <si>
    <r>
      <t xml:space="preserve">白酒;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威士忌;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</si>
  <si>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宝州台</t>
  </si>
  <si>
    <r>
      <t>宝</t>
    </r>
    <r>
      <rPr>
        <sz val="11"/>
        <color theme="1"/>
        <rFont val="ＭＳ Ｐゴシック"/>
        <family val="3"/>
        <charset val="134"/>
        <scheme val="minor"/>
      </rPr>
      <t>应</t>
    </r>
    <r>
      <rPr>
        <sz val="11"/>
        <color theme="1"/>
        <rFont val="ＭＳ Ｐゴシック"/>
        <family val="3"/>
        <charset val="128"/>
        <scheme val="minor"/>
      </rPr>
      <t>宝州酒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</si>
  <si>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蜂蜜酒;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</si>
  <si>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厨中</t>
    </r>
    <r>
      <rPr>
        <sz val="11"/>
        <color theme="1"/>
        <rFont val="ＭＳ Ｐゴシック"/>
        <family val="3"/>
        <charset val="134"/>
        <scheme val="minor"/>
      </rPr>
      <t>飞</t>
    </r>
  </si>
  <si>
    <t>赵飞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</si>
  <si>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高粱酒; 威士忌;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烈酒; 果酒</t>
    </r>
  </si>
  <si>
    <t>中原渡</t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</si>
  <si>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</si>
  <si>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杭博士</t>
  </si>
  <si>
    <r>
      <t>毕</t>
    </r>
    <r>
      <rPr>
        <sz val="11"/>
        <color theme="1"/>
        <rFont val="ＭＳ Ｐゴシック"/>
        <family val="3"/>
        <charset val="128"/>
        <scheme val="minor"/>
      </rPr>
      <t>井玲</t>
    </r>
  </si>
  <si>
    <r>
      <t>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伏特加酒;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</si>
  <si>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人</t>
    </r>
    <r>
      <rPr>
        <sz val="11"/>
        <color theme="1"/>
        <rFont val="ＭＳ Ｐゴシック"/>
        <family val="3"/>
        <charset val="134"/>
        <scheme val="minor"/>
      </rPr>
      <t>鱼</t>
    </r>
    <r>
      <rPr>
        <sz val="11"/>
        <color theme="1"/>
        <rFont val="ＭＳ Ｐゴシック"/>
        <family val="3"/>
        <charset val="128"/>
        <scheme val="minor"/>
      </rPr>
      <t>狗</t>
    </r>
  </si>
  <si>
    <r>
      <t>烈酒;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果酒（含酒精）; 朗姆酒;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伏特加酒</t>
    </r>
  </si>
  <si>
    <r>
      <t>拾</t>
    </r>
    <r>
      <rPr>
        <sz val="11"/>
        <color theme="1"/>
        <rFont val="ＭＳ Ｐゴシック"/>
        <family val="3"/>
        <charset val="134"/>
        <scheme val="minor"/>
      </rPr>
      <t>为贵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</si>
  <si>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州滴滴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</si>
  <si>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白酒; 蒸煮提取物（利口酒和烈酒）;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开胃酒; 葡萄酒;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</si>
  <si>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满</t>
    </r>
    <r>
      <rPr>
        <sz val="11"/>
        <color theme="1"/>
        <rFont val="ＭＳ Ｐゴシック"/>
        <family val="3"/>
        <charset val="128"/>
        <scheme val="minor"/>
      </rPr>
      <t>量</t>
    </r>
  </si>
  <si>
    <r>
      <t>悦品堂</t>
    </r>
    <r>
      <rPr>
        <sz val="11"/>
        <color theme="1"/>
        <rFont val="ＭＳ Ｐゴシック"/>
        <family val="3"/>
        <charset val="134"/>
        <scheme val="minor"/>
      </rPr>
      <t>药业郑</t>
    </r>
    <r>
      <rPr>
        <sz val="11"/>
        <color theme="1"/>
        <rFont val="ＭＳ Ｐゴシック"/>
        <family val="3"/>
        <charset val="128"/>
        <scheme val="minor"/>
      </rPr>
      <t>州有限公司</t>
    </r>
  </si>
  <si>
    <r>
      <t>柑香酒;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露酒;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果酒（含酒精）</t>
    </r>
  </si>
  <si>
    <r>
      <t>御樽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</si>
  <si>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清酒（日本米酒）;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黄酒; 葡萄酒;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</si>
  <si>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北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兄</t>
    </r>
  </si>
  <si>
    <t>白建英</t>
  </si>
  <si>
    <r>
      <t xml:space="preserve">白酒; 果酒（含酒精）; 食用酒精; 葡萄酒;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开胃酒</t>
    </r>
  </si>
  <si>
    <t>VT</t>
  </si>
  <si>
    <r>
      <t>广西</t>
    </r>
    <r>
      <rPr>
        <sz val="11"/>
        <color theme="1"/>
        <rFont val="ＭＳ Ｐゴシック"/>
        <family val="3"/>
        <charset val="134"/>
        <scheme val="minor"/>
      </rPr>
      <t>长华贸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</si>
  <si>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咖啡利口酒;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餐后酒（利口酒和烈酒）;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利口酒; 果酒; 伏特加酒</t>
    </r>
  </si>
  <si>
    <r>
      <t>藤博</t>
    </r>
    <r>
      <rPr>
        <sz val="11"/>
        <color theme="1"/>
        <rFont val="ＭＳ Ｐゴシック"/>
        <family val="3"/>
        <charset val="134"/>
        <scheme val="minor"/>
      </rPr>
      <t>轩</t>
    </r>
  </si>
  <si>
    <r>
      <t>曾国</t>
    </r>
    <r>
      <rPr>
        <sz val="11"/>
        <color theme="1"/>
        <rFont val="ＭＳ Ｐゴシック"/>
        <family val="3"/>
        <charset val="134"/>
        <scheme val="minor"/>
      </rPr>
      <t>顶</t>
    </r>
  </si>
  <si>
    <r>
      <t xml:space="preserve">葡萄酒; 威士忌; 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果酒（含酒精）;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</si>
  <si>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家在平原</t>
  </si>
  <si>
    <r>
      <t>平原人家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酒厂</t>
    </r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</si>
  <si>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葡萄酒; 清酒（日本米酒）;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</si>
  <si>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武家福</t>
  </si>
  <si>
    <t>武相甫</t>
  </si>
  <si>
    <r>
      <t>白酒; 青稞酒; 黄酒; 果酒; 葡萄酒;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烈酒; 米酒</t>
    </r>
  </si>
  <si>
    <r>
      <t>炫彩丹霞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</si>
  <si>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甘</t>
    </r>
    <r>
      <rPr>
        <sz val="11"/>
        <color theme="1"/>
        <rFont val="ＭＳ Ｐゴシック"/>
        <family val="3"/>
        <charset val="134"/>
        <scheme val="minor"/>
      </rPr>
      <t>肃</t>
    </r>
    <r>
      <rPr>
        <sz val="11"/>
        <color theme="1"/>
        <rFont val="ＭＳ Ｐゴシック"/>
        <family val="3"/>
        <charset val="128"/>
        <scheme val="minor"/>
      </rPr>
      <t>康杉技</t>
    </r>
    <r>
      <rPr>
        <sz val="11"/>
        <color theme="1"/>
        <rFont val="ＭＳ Ｐゴシック"/>
        <family val="3"/>
        <charset val="134"/>
        <scheme val="minor"/>
      </rPr>
      <t>术设备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</si>
  <si>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蒸煮提取物（利口酒和烈酒）;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白酒; 茴香酒（利口酒）; 利口酒; 葡萄酒; 清酒（日本米酒）</t>
    </r>
  </si>
  <si>
    <t>台泉酒庄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</si>
  <si>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台泉酒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</si>
  <si>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高粱酒; 利口酒; 伏特加酒; 朗姆酒; 白葡萄酒; 威士忌; 烈酒; 白酒; 果酒（含酒精）; 开胃酒</t>
  </si>
  <si>
    <r>
      <t>百</t>
    </r>
    <r>
      <rPr>
        <sz val="11"/>
        <color theme="1"/>
        <rFont val="ＭＳ Ｐゴシック"/>
        <family val="3"/>
        <charset val="134"/>
        <scheme val="minor"/>
      </rPr>
      <t>读</t>
    </r>
  </si>
  <si>
    <r>
      <t>蔡</t>
    </r>
    <r>
      <rPr>
        <sz val="11"/>
        <color theme="1"/>
        <rFont val="ＭＳ Ｐゴシック"/>
        <family val="3"/>
        <charset val="134"/>
        <scheme val="minor"/>
      </rPr>
      <t>跃进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</si>
  <si>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</si>
  <si>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西拉·路易</t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</si>
  <si>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白葡萄酒; 黄酒; 威士忌; 白酒; 起泡白葡萄酒;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</si>
  <si>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唐吨庄园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</si>
  <si>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市古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源坤酒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</si>
  <si>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</si>
  <si>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t>郑统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</si>
  <si>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州匡家企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</si>
  <si>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果酒（含酒精）; 米酒; 青稞酒;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苦味酒; 食用酒精; 蒸煮提取物（利口酒和烈酒）; 白酒; 白干酒（中国白酒）</t>
    </r>
  </si>
  <si>
    <t>臻薛</t>
  </si>
  <si>
    <r>
      <t>薛利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</si>
  <si>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 xml:space="preserve">苹果酒; 蜂蜜酒;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葡萄酒; 青稞酒;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汽酒</t>
    </r>
  </si>
  <si>
    <r>
      <t>地</t>
    </r>
    <r>
      <rPr>
        <sz val="11"/>
        <color theme="1"/>
        <rFont val="ＭＳ Ｐゴシック"/>
        <family val="3"/>
        <charset val="134"/>
        <scheme val="minor"/>
      </rPr>
      <t>纷</t>
    </r>
  </si>
  <si>
    <r>
      <t>新</t>
    </r>
    <r>
      <rPr>
        <sz val="11"/>
        <color theme="1"/>
        <rFont val="ＭＳ Ｐゴシック"/>
        <family val="3"/>
        <charset val="134"/>
        <scheme val="minor"/>
      </rPr>
      <t>乡县</t>
    </r>
    <r>
      <rPr>
        <sz val="11"/>
        <color theme="1"/>
        <rFont val="ＭＳ Ｐゴシック"/>
        <family val="3"/>
        <charset val="128"/>
        <scheme val="minor"/>
      </rPr>
      <t>恩惠商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</si>
  <si>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高粱酒; 葡萄酒; 果酒; 清酒;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威士忌</t>
    </r>
  </si>
  <si>
    <t>万佳甄</t>
  </si>
  <si>
    <r>
      <t xml:space="preserve">露酒; 清酒;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蜂蜜酒; 甜果酒; 果酒（含酒精）; 黄酒;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</si>
  <si>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威州</t>
    </r>
    <r>
      <rPr>
        <sz val="11"/>
        <color theme="1"/>
        <rFont val="ＭＳ Ｐゴシック"/>
        <family val="3"/>
        <charset val="129"/>
        <scheme val="minor"/>
      </rPr>
      <t>洺</t>
    </r>
    <r>
      <rPr>
        <sz val="11"/>
        <color theme="1"/>
        <rFont val="ＭＳ Ｐゴシック"/>
        <family val="3"/>
        <charset val="128"/>
        <scheme val="minor"/>
      </rPr>
      <t>水</t>
    </r>
  </si>
  <si>
    <r>
      <t>宋占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</si>
  <si>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米酒; 白酒; 黄酒; 葡萄酒; 烈酒;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</si>
  <si>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富中王</t>
  </si>
  <si>
    <r>
      <t>青稞酒; 白酒; 茴香酒（利口酒）;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</t>
    </r>
  </si>
  <si>
    <t>SILA.LOUIS</t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</si>
  <si>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起泡白葡萄酒;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白葡萄酒; 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烈酒</t>
    </r>
  </si>
  <si>
    <t>冀之光</t>
  </si>
  <si>
    <r>
      <t>成呈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</si>
  <si>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 xml:space="preserve">果酒（含酒精）; 白酒; 米酒; 开胃酒;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</si>
  <si>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印象</t>
    </r>
    <r>
      <rPr>
        <sz val="11"/>
        <color theme="1"/>
        <rFont val="ＭＳ Ｐゴシック"/>
        <family val="3"/>
        <charset val="134"/>
        <scheme val="minor"/>
      </rPr>
      <t>庞</t>
    </r>
    <r>
      <rPr>
        <sz val="11"/>
        <color theme="1"/>
        <rFont val="ＭＳ Ｐゴシック"/>
        <family val="3"/>
        <charset val="128"/>
        <scheme val="minor"/>
      </rPr>
      <t>泉沟</t>
    </r>
  </si>
  <si>
    <t>白鑫鑫</t>
  </si>
  <si>
    <r>
      <t xml:space="preserve">黄酒; 伏特加酒;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白酒; 朗姆酒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</si>
  <si>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米酒; 食用酒精; 果酒（含酒精）; 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白酒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</si>
  <si>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将士</t>
    </r>
  </si>
  <si>
    <t>王思翔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</si>
  <si>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黄酒; 白酒;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</si>
  <si>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火堆田</t>
  </si>
  <si>
    <r>
      <t>段迎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</si>
  <si>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>开胃酒; 葡萄酒; 米酒;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利口酒; 梨酒; 果酒（含酒精）</t>
    </r>
  </si>
  <si>
    <r>
      <t>M 莫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格勒河</t>
    </r>
  </si>
  <si>
    <r>
      <t>葡萄酒; 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利口酒; 开胃酒</t>
    </r>
  </si>
  <si>
    <t>台典人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</si>
  <si>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州台典酒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</si>
  <si>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白酒; 果酒; 烈酒; 露酒;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开胃酒; 米酒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</si>
  <si>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鉴苏</t>
    </r>
  </si>
  <si>
    <r>
      <t>蒋梦</t>
    </r>
    <r>
      <rPr>
        <sz val="11"/>
        <color theme="1"/>
        <rFont val="ＭＳ Ｐゴシック"/>
        <family val="3"/>
        <charset val="134"/>
        <scheme val="minor"/>
      </rPr>
      <t>娇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</si>
  <si>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威士忌; 葡萄酒</t>
    </r>
  </si>
  <si>
    <r>
      <t>贯</t>
    </r>
    <r>
      <rPr>
        <sz val="11"/>
        <color theme="1"/>
        <rFont val="ＭＳ Ｐゴシック"/>
        <family val="3"/>
        <charset val="128"/>
        <scheme val="minor"/>
      </rPr>
      <t>宝山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</si>
  <si>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达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子科技有限公司</t>
    </r>
  </si>
  <si>
    <r>
      <t>果酒;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葡萄酒; 白干酒（中国白酒）;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</si>
  <si>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爵芝</t>
  </si>
  <si>
    <r>
      <t>耿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洲</t>
    </r>
  </si>
  <si>
    <r>
      <t xml:space="preserve">高粱酒;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甜酒; 米酒; 葡萄酒;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烈酒</t>
    </r>
  </si>
  <si>
    <r>
      <t>及由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窖</t>
    </r>
  </si>
  <si>
    <t>王素荣</t>
  </si>
  <si>
    <r>
      <t>高粱酒;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露酒; 米酒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</si>
  <si>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本养</t>
    </r>
  </si>
  <si>
    <r>
      <t>新干</t>
    </r>
    <r>
      <rPr>
        <sz val="11"/>
        <color theme="1"/>
        <rFont val="ＭＳ Ｐゴシック"/>
        <family val="3"/>
        <charset val="134"/>
        <scheme val="minor"/>
      </rPr>
      <t>线</t>
    </r>
    <r>
      <rPr>
        <sz val="11"/>
        <color theme="1"/>
        <rFont val="ＭＳ Ｐゴシック"/>
        <family val="3"/>
        <charset val="128"/>
        <scheme val="minor"/>
      </rPr>
      <t>健康管理（深圳）股份有限公司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</si>
  <si>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含酒精的气泡水; 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</si>
  <si>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陆</t>
    </r>
    <r>
      <rPr>
        <sz val="11"/>
        <color theme="1"/>
        <rFont val="ＭＳ Ｐゴシック"/>
        <family val="3"/>
        <charset val="128"/>
        <scheme val="minor"/>
      </rPr>
      <t>玖足游</t>
    </r>
  </si>
  <si>
    <t>浙江种草咖啡有限公司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</si>
  <si>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葡萄酒; 薄荷酒; 果酒;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</t>
    </r>
  </si>
  <si>
    <r>
      <t>对</t>
    </r>
    <r>
      <rPr>
        <sz val="11"/>
        <color theme="1"/>
        <rFont val="ＭＳ Ｐゴシック"/>
        <family val="3"/>
        <charset val="128"/>
        <scheme val="minor"/>
      </rPr>
      <t>月歌</t>
    </r>
  </si>
  <si>
    <r>
      <t>温</t>
    </r>
    <r>
      <rPr>
        <sz val="11"/>
        <color theme="1"/>
        <rFont val="ＭＳ Ｐゴシック"/>
        <family val="3"/>
        <charset val="134"/>
        <scheme val="minor"/>
      </rPr>
      <t>华标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</si>
  <si>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开胃酒; 清酒（日本米酒）; 米酒</t>
    </r>
  </si>
  <si>
    <r>
      <t>生日</t>
    </r>
    <r>
      <rPr>
        <sz val="11"/>
        <color theme="1"/>
        <rFont val="ＭＳ Ｐゴシック"/>
        <family val="3"/>
        <charset val="134"/>
        <scheme val="minor"/>
      </rPr>
      <t>岛</t>
    </r>
  </si>
  <si>
    <r>
      <t>盘锦赵钱孙</t>
    </r>
    <r>
      <rPr>
        <sz val="11"/>
        <color theme="1"/>
        <rFont val="ＭＳ Ｐゴシック"/>
        <family val="3"/>
        <charset val="128"/>
        <scheme val="minor"/>
      </rPr>
      <t>李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</si>
  <si>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水果汽酒;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</si>
  <si>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栖石里 QI SHI LI HOMESTAY</t>
  </si>
  <si>
    <r>
      <t>张</t>
    </r>
    <r>
      <rPr>
        <sz val="11"/>
        <color theme="1"/>
        <rFont val="ＭＳ Ｐゴシック"/>
        <family val="3"/>
        <charset val="128"/>
        <scheme val="minor"/>
      </rPr>
      <t>家界栖石里旅游文化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</si>
  <si>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含酒精的气泡水; 伏特加酒; 蜂蜜酒; 黄酒; 青稞酒; 果酒（含酒精）; 葡萄酒;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</t>
    </r>
  </si>
  <si>
    <r>
      <t>黔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渡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</si>
  <si>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</si>
  <si>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晟品</t>
    </r>
    <r>
      <rPr>
        <sz val="11"/>
        <color theme="1"/>
        <rFont val="ＭＳ Ｐゴシック"/>
        <family val="3"/>
        <charset val="134"/>
        <scheme val="minor"/>
      </rPr>
      <t>荟</t>
    </r>
  </si>
  <si>
    <r>
      <t>洛阳国晟商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物流有限公司</t>
    </r>
  </si>
  <si>
    <r>
      <t>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米酒;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</si>
  <si>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巴芝林</t>
  </si>
  <si>
    <t>周芝林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</si>
  <si>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蜂蜜酒; 青稞酒;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</si>
  <si>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神福台</t>
  </si>
  <si>
    <t>林建密</t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</si>
  <si>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白酒</t>
    </r>
  </si>
  <si>
    <r>
      <t>坝</t>
    </r>
    <r>
      <rPr>
        <sz val="11"/>
        <color theme="1"/>
        <rFont val="ＭＳ Ｐゴシック"/>
        <family val="3"/>
        <charset val="128"/>
        <scheme val="minor"/>
      </rPr>
      <t>上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子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</si>
  <si>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彪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</si>
  <si>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白酒</t>
    </r>
  </si>
  <si>
    <t>洛小夕</t>
  </si>
  <si>
    <r>
      <t>洛阳市</t>
    </r>
    <r>
      <rPr>
        <sz val="11"/>
        <color theme="1"/>
        <rFont val="ＭＳ Ｐゴシック"/>
        <family val="3"/>
        <charset val="134"/>
        <scheme val="minor"/>
      </rPr>
      <t>闽</t>
    </r>
    <r>
      <rPr>
        <sz val="11"/>
        <color theme="1"/>
        <rFont val="ＭＳ Ｐゴシック"/>
        <family val="3"/>
        <charset val="128"/>
        <scheme val="minor"/>
      </rPr>
      <t>鑫食品有限公司</t>
    </r>
  </si>
  <si>
    <r>
      <t xml:space="preserve">白酒; 清酒; 梅酒;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</si>
  <si>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梨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后</t>
    </r>
  </si>
  <si>
    <r>
      <t>邵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芳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</si>
  <si>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威士忌</t>
    </r>
  </si>
  <si>
    <r>
      <t>始</t>
    </r>
    <r>
      <rPr>
        <sz val="11"/>
        <color theme="1"/>
        <rFont val="ＭＳ Ｐゴシック"/>
        <family val="3"/>
        <charset val="134"/>
        <scheme val="minor"/>
      </rPr>
      <t>兴县</t>
    </r>
    <r>
      <rPr>
        <sz val="11"/>
        <color theme="1"/>
        <rFont val="ＭＳ Ｐゴシック"/>
        <family val="3"/>
        <charset val="128"/>
        <scheme val="minor"/>
      </rPr>
      <t>司前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富村</t>
    </r>
    <r>
      <rPr>
        <sz val="11"/>
        <color theme="1"/>
        <rFont val="ＭＳ Ｐゴシック"/>
        <family val="3"/>
        <charset val="134"/>
        <scheme val="minor"/>
      </rPr>
      <t>现</t>
    </r>
    <r>
      <rPr>
        <sz val="11"/>
        <color theme="1"/>
        <rFont val="ＭＳ Ｐゴシック"/>
        <family val="3"/>
        <charset val="128"/>
        <scheme val="minor"/>
      </rPr>
      <t>代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</si>
  <si>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五加皮酒（中国混合烈酒）; 米酒;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蒸煮提取物（利口酒和烈酒）;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黄酒</t>
    </r>
  </si>
  <si>
    <t>小睿仕</t>
  </si>
  <si>
    <r>
      <t>湖南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晟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</si>
  <si>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起泡白葡萄酒;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果酒;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天然汽酒</t>
    </r>
  </si>
  <si>
    <t>膳健</t>
  </si>
  <si>
    <r>
      <t>杨</t>
    </r>
    <r>
      <rPr>
        <sz val="11"/>
        <color theme="1"/>
        <rFont val="ＭＳ Ｐゴシック"/>
        <family val="3"/>
        <charset val="128"/>
        <scheme val="minor"/>
      </rPr>
      <t>倩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</si>
  <si>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清酒; 威士忌; 果酒（含酒精）; 食用酒精; 汽酒; 葡萄酒</t>
    </r>
  </si>
  <si>
    <r>
      <t>鱼</t>
    </r>
    <r>
      <rPr>
        <sz val="11"/>
        <color theme="1"/>
        <rFont val="ＭＳ Ｐゴシック"/>
        <family val="3"/>
        <charset val="128"/>
        <scheme val="minor"/>
      </rPr>
      <t>嬉芰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</si>
  <si>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丰</t>
    </r>
    <r>
      <rPr>
        <sz val="11"/>
        <color theme="1"/>
        <rFont val="ＭＳ Ｐゴシック"/>
        <family val="3"/>
        <charset val="134"/>
        <scheme val="minor"/>
      </rPr>
      <t>临门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</si>
  <si>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威士忌; 食用酒精; 米酒; 葡萄酒; 薄荷酒; 蜂蜜酒; 果酒</t>
    </r>
  </si>
  <si>
    <r>
      <t xml:space="preserve">海利欧斯 </t>
    </r>
    <r>
      <rPr>
        <sz val="11"/>
        <color theme="1"/>
        <rFont val="ＭＳ Ｐゴシック"/>
        <family val="3"/>
        <charset val="134"/>
        <scheme val="minor"/>
      </rPr>
      <t>许</t>
    </r>
    <r>
      <rPr>
        <sz val="11"/>
        <color theme="1"/>
        <rFont val="ＭＳ Ｐゴシック"/>
        <family val="3"/>
        <charset val="128"/>
        <scheme val="minor"/>
      </rPr>
      <t>田 HELIOS KYODA</t>
    </r>
  </si>
  <si>
    <t>海利欧斯酒造有限公司</t>
  </si>
  <si>
    <r>
      <t>威士忌;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伏特加酒;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杜松子酒; 开胃酒;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利口酒;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</t>
    </r>
  </si>
  <si>
    <r>
      <t>黔鼎</t>
    </r>
    <r>
      <rPr>
        <sz val="11"/>
        <color theme="1"/>
        <rFont val="ＭＳ Ｐゴシック"/>
        <family val="3"/>
        <charset val="134"/>
        <scheme val="minor"/>
      </rPr>
      <t>鸿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</si>
  <si>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</si>
  <si>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t>零甲天下</t>
  </si>
  <si>
    <r>
      <t>卢</t>
    </r>
    <r>
      <rPr>
        <sz val="11"/>
        <color theme="1"/>
        <rFont val="ＭＳ Ｐゴシック"/>
        <family val="3"/>
        <charset val="128"/>
        <scheme val="minor"/>
      </rPr>
      <t>国基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</si>
  <si>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伏特加酒; 食用酒精;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米酒; 白酒; 清酒</t>
    </r>
  </si>
  <si>
    <r>
      <t>农</t>
    </r>
    <r>
      <rPr>
        <sz val="11"/>
        <color theme="1"/>
        <rFont val="ＭＳ Ｐゴシック"/>
        <family val="3"/>
        <charset val="128"/>
        <scheme val="minor"/>
      </rPr>
      <t>谷</t>
    </r>
    <r>
      <rPr>
        <sz val="11"/>
        <color theme="1"/>
        <rFont val="ＭＳ Ｐゴシック"/>
        <family val="3"/>
        <charset val="134"/>
        <scheme val="minor"/>
      </rPr>
      <t>纪</t>
    </r>
  </si>
  <si>
    <r>
      <t>车</t>
    </r>
    <r>
      <rPr>
        <sz val="11"/>
        <color theme="1"/>
        <rFont val="ＭＳ Ｐゴシック"/>
        <family val="3"/>
        <charset val="128"/>
        <scheme val="minor"/>
      </rPr>
      <t>立超</t>
    </r>
  </si>
  <si>
    <r>
      <t>威士忌;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利口酒;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清酒（日本米酒）; 白酒</t>
    </r>
  </si>
  <si>
    <r>
      <t>九里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</si>
  <si>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清酒; 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</si>
  <si>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秦霸王</t>
  </si>
  <si>
    <t>王明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</si>
  <si>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青稞酒;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苹果酒</t>
    </r>
  </si>
  <si>
    <t>鑫然</t>
  </si>
  <si>
    <r>
      <t>浙江旺大鑫供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</si>
  <si>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开胃酒; 青稞酒; 黄酒; 利口酒; 米酒</t>
    </r>
  </si>
  <si>
    <r>
      <t>龟</t>
    </r>
    <r>
      <rPr>
        <sz val="11"/>
        <color theme="1"/>
        <rFont val="ＭＳ Ｐゴシック"/>
        <family val="3"/>
        <charset val="128"/>
        <scheme val="minor"/>
      </rPr>
      <t>川</t>
    </r>
  </si>
  <si>
    <t>高粱酒; 清酒; 果酒（含酒精）; 梅酒; 甜酒; 酸酒（低等葡萄酒）; 烈酒; 米酒; 草莓酒; 白酒</t>
  </si>
  <si>
    <r>
      <t>龙</t>
    </r>
    <r>
      <rPr>
        <sz val="11"/>
        <color theme="1"/>
        <rFont val="ＭＳ Ｐゴシック"/>
        <family val="3"/>
        <charset val="128"/>
        <scheme val="minor"/>
      </rPr>
      <t>黔御古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</si>
  <si>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州百年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</si>
  <si>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威士忌; 开胃酒</t>
    </r>
  </si>
  <si>
    <r>
      <t>金太</t>
    </r>
    <r>
      <rPr>
        <sz val="11"/>
        <color theme="1"/>
        <rFont val="ＭＳ Ｐゴシック"/>
        <family val="3"/>
        <charset val="134"/>
        <scheme val="minor"/>
      </rPr>
      <t>骏</t>
    </r>
  </si>
  <si>
    <t>殷成泰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</si>
  <si>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开胃酒; 蜂蜜酒; 果酒（含酒精）; 白酒</t>
    </r>
  </si>
  <si>
    <r>
      <t>钦</t>
    </r>
    <r>
      <rPr>
        <sz val="11"/>
        <color theme="1"/>
        <rFont val="ＭＳ Ｐゴシック"/>
        <family val="3"/>
        <charset val="128"/>
        <scheme val="minor"/>
      </rPr>
      <t>野</t>
    </r>
  </si>
  <si>
    <r>
      <t>黄酒;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</t>
    </r>
  </si>
  <si>
    <r>
      <t>赖</t>
    </r>
    <r>
      <rPr>
        <sz val="11"/>
        <color theme="1"/>
        <rFont val="ＭＳ Ｐゴシック"/>
        <family val="3"/>
        <charset val="128"/>
        <scheme val="minor"/>
      </rPr>
      <t>初恩</t>
    </r>
  </si>
  <si>
    <r>
      <t>蒸煮提取物（利口酒和烈酒）; 果酒; 高粱酒;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烈酒</t>
    </r>
  </si>
  <si>
    <r>
      <t>仁</t>
    </r>
    <r>
      <rPr>
        <sz val="11"/>
        <color theme="1"/>
        <rFont val="ＭＳ Ｐゴシック"/>
        <family val="3"/>
        <charset val="134"/>
        <scheme val="minor"/>
      </rPr>
      <t>势</t>
    </r>
  </si>
  <si>
    <r>
      <t>黄建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</si>
  <si>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开胃酒;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果酒; 葡萄酒; 五加皮酒（中国混合烈酒）</t>
    </r>
  </si>
  <si>
    <r>
      <t>润</t>
    </r>
    <r>
      <rPr>
        <sz val="11"/>
        <color theme="1"/>
        <rFont val="ＭＳ Ｐゴシック"/>
        <family val="3"/>
        <charset val="128"/>
        <scheme val="minor"/>
      </rPr>
      <t>逍遥</t>
    </r>
  </si>
  <si>
    <t>王星星</t>
  </si>
  <si>
    <r>
      <t xml:space="preserve">清酒（日本米酒）; 果酒（含酒精）;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开胃酒</t>
    </r>
  </si>
  <si>
    <r>
      <t>胜</t>
    </r>
    <r>
      <rPr>
        <sz val="11"/>
        <color theme="1"/>
        <rFont val="ＭＳ Ｐゴシック"/>
        <family val="3"/>
        <charset val="128"/>
        <scheme val="minor"/>
      </rPr>
      <t>匠心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</si>
  <si>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伏特加酒; 清酒（日本米酒）; 开胃酒</t>
    </r>
  </si>
  <si>
    <t>衡昌天道</t>
  </si>
  <si>
    <r>
      <t xml:space="preserve">青梅酒; 白干酒（中国白酒）; 白酒;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高粱酒; 汽酒; 利口酒</t>
    </r>
  </si>
  <si>
    <r>
      <t>衡昌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坊天通</t>
    </r>
  </si>
  <si>
    <r>
      <t xml:space="preserve">白干酒（中国白酒）; 利口酒; 高粱酒;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青梅酒;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汽酒</t>
    </r>
  </si>
  <si>
    <t>添暹</t>
  </si>
  <si>
    <r>
      <t>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白酒; 葡萄酒; 果酒（含酒精）;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</t>
    </r>
  </si>
  <si>
    <r>
      <t>美臣</t>
    </r>
    <r>
      <rPr>
        <sz val="11"/>
        <color theme="1"/>
        <rFont val="ＭＳ Ｐゴシック"/>
        <family val="3"/>
        <charset val="134"/>
        <scheme val="minor"/>
      </rPr>
      <t>蕴</t>
    </r>
  </si>
  <si>
    <r>
      <t>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白酒; 米酒</t>
    </r>
  </si>
  <si>
    <t>衣海洋</t>
  </si>
  <si>
    <t>蒋松云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</si>
  <si>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杜松子酒; 果酒（含酒精）;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 xml:space="preserve">力酒; 白酒; 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</si>
  <si>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求行</t>
  </si>
  <si>
    <r>
      <t>陈</t>
    </r>
    <r>
      <rPr>
        <sz val="11"/>
        <color theme="1"/>
        <rFont val="ＭＳ Ｐゴシック"/>
        <family val="3"/>
        <charset val="128"/>
        <scheme val="minor"/>
      </rPr>
      <t>小玲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</si>
  <si>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米酒; 黄酒; 果酒(含酒精); 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</t>
    </r>
  </si>
  <si>
    <t>御粮友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</si>
  <si>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米酒; 黄酒;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威士忌; 果酒(含酒精); 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</si>
  <si>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龟</t>
    </r>
    <r>
      <rPr>
        <sz val="11"/>
        <color theme="1"/>
        <rFont val="ＭＳ Ｐゴシック"/>
        <family val="3"/>
        <charset val="128"/>
        <scheme val="minor"/>
      </rPr>
      <t>响</t>
    </r>
  </si>
  <si>
    <t>白酒; 酸酒（低等葡萄酒）; 烈酒; 米酒; 梅酒; 甜酒; 果酒（含酒精）; 高粱酒; 清酒; 草莓酒</t>
  </si>
  <si>
    <t>衡昌天通</t>
  </si>
  <si>
    <r>
      <t xml:space="preserve">白干酒（中国白酒）; 白酒; 高粱酒;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利口酒; 伏特加酒; 青梅酒;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</si>
  <si>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敬</t>
    </r>
    <r>
      <rPr>
        <sz val="11"/>
        <color theme="1"/>
        <rFont val="ＭＳ Ｐゴシック"/>
        <family val="3"/>
        <charset val="134"/>
        <scheme val="minor"/>
      </rPr>
      <t>护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</si>
  <si>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苏习</t>
    </r>
    <r>
      <rPr>
        <sz val="11"/>
        <color theme="1"/>
        <rFont val="ＭＳ Ｐゴシック"/>
        <family val="3"/>
        <charset val="128"/>
        <scheme val="minor"/>
      </rPr>
      <t>善中医研究有限公司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</si>
  <si>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甜酒; 高粱酒; 五加皮酒（中国混合烈酒）;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黄酒;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</t>
    </r>
  </si>
  <si>
    <r>
      <t>两</t>
    </r>
    <r>
      <rPr>
        <sz val="11"/>
        <color theme="1"/>
        <rFont val="ＭＳ Ｐゴシック"/>
        <family val="3"/>
        <charset val="134"/>
        <scheme val="minor"/>
      </rPr>
      <t>剑</t>
    </r>
    <r>
      <rPr>
        <sz val="11"/>
        <color theme="1"/>
        <rFont val="ＭＳ Ｐゴシック"/>
        <family val="3"/>
        <charset val="128"/>
        <scheme val="minor"/>
      </rPr>
      <t>客</t>
    </r>
  </si>
  <si>
    <r>
      <t>苏晓</t>
    </r>
    <r>
      <rPr>
        <sz val="11"/>
        <color theme="1"/>
        <rFont val="ＭＳ Ｐゴシック"/>
        <family val="3"/>
        <charset val="128"/>
        <scheme val="minor"/>
      </rPr>
      <t>青（</t>
    </r>
    <r>
      <rPr>
        <sz val="11"/>
        <color theme="1"/>
        <rFont val="ＭＳ Ｐゴシック"/>
        <family val="3"/>
        <charset val="134"/>
        <scheme val="minor"/>
      </rPr>
      <t>护</t>
    </r>
    <r>
      <rPr>
        <sz val="11"/>
        <color theme="1"/>
        <rFont val="ＭＳ Ｐゴシック"/>
        <family val="3"/>
        <charset val="128"/>
        <scheme val="minor"/>
      </rPr>
      <t>照号</t>
    </r>
    <r>
      <rPr>
        <sz val="11"/>
        <color theme="1"/>
        <rFont val="ＭＳ Ｐゴシック"/>
        <family val="3"/>
        <charset val="134"/>
        <scheme val="minor"/>
      </rPr>
      <t>码</t>
    </r>
    <r>
      <rPr>
        <sz val="11"/>
        <color theme="1"/>
        <rFont val="ＭＳ Ｐゴシック"/>
        <family val="3"/>
        <charset val="128"/>
        <scheme val="minor"/>
      </rPr>
      <t>：**HC*****）</t>
    </r>
  </si>
  <si>
    <r>
      <t>白葡萄酒;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伏特加酒; 苦艾酒; 餐后酒（利口酒和烈酒）;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葡萄汽酒; 烈酒;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含酒精的气泡水;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</si>
  <si>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九养九</t>
  </si>
  <si>
    <t>蔡勇</t>
  </si>
  <si>
    <r>
      <t xml:space="preserve">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</si>
  <si>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泰鹿祥</t>
  </si>
  <si>
    <t>游道生</t>
  </si>
  <si>
    <r>
      <t>果酒（含酒精）;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蜂蜜酒; 白酒; 汽酒</t>
    </r>
  </si>
  <si>
    <r>
      <t>贴</t>
    </r>
    <r>
      <rPr>
        <sz val="11"/>
        <color theme="1"/>
        <rFont val="ＭＳ Ｐゴシック"/>
        <family val="3"/>
        <charset val="128"/>
        <scheme val="minor"/>
      </rPr>
      <t>医森</t>
    </r>
  </si>
  <si>
    <r>
      <t>深圳前海誉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星科技有限公司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</si>
  <si>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</t>
    </r>
  </si>
  <si>
    <r>
      <t>鸭</t>
    </r>
    <r>
      <rPr>
        <sz val="11"/>
        <color theme="1"/>
        <rFont val="ＭＳ Ｐゴシック"/>
        <family val="3"/>
        <charset val="128"/>
        <scheme val="minor"/>
      </rPr>
      <t>沟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</si>
  <si>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高粱酒;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</si>
  <si>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江口醇 醇和之光</t>
  </si>
  <si>
    <r>
      <t>四川江口醇隆鼎酒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</si>
  <si>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</si>
  <si>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米摘</t>
  </si>
  <si>
    <r>
      <t>杨</t>
    </r>
    <r>
      <rPr>
        <sz val="11"/>
        <color theme="1"/>
        <rFont val="ＭＳ Ｐゴシック"/>
        <family val="3"/>
        <charset val="128"/>
        <scheme val="minor"/>
      </rPr>
      <t>素素</t>
    </r>
  </si>
  <si>
    <r>
      <t>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米酒; 葡萄酒;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</t>
    </r>
  </si>
  <si>
    <t>京都桃花富</t>
  </si>
  <si>
    <r>
      <t>北京皇家京都酒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</si>
  <si>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舜</t>
    </r>
    <r>
      <rPr>
        <sz val="11"/>
        <color theme="1"/>
        <rFont val="ＭＳ Ｐゴシック"/>
        <family val="3"/>
        <charset val="134"/>
        <scheme val="minor"/>
      </rPr>
      <t>诚</t>
    </r>
  </si>
  <si>
    <r>
      <t>蔡明</t>
    </r>
    <r>
      <rPr>
        <sz val="11"/>
        <color theme="1"/>
        <rFont val="ＭＳ Ｐゴシック"/>
        <family val="3"/>
        <charset val="134"/>
        <scheme val="minor"/>
      </rPr>
      <t>储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</si>
  <si>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伏特加酒;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</si>
  <si>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鹿班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</si>
  <si>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江西禅鹿酒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</si>
  <si>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黄酒; 开胃酒; 高粱酒; 烈酒;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</t>
    </r>
  </si>
  <si>
    <t>川无双</t>
  </si>
  <si>
    <r>
      <t>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清酒（日本米酒）</t>
    </r>
  </si>
  <si>
    <r>
      <t>仟酒漫</t>
    </r>
    <r>
      <rPr>
        <sz val="11"/>
        <color theme="1"/>
        <rFont val="ＭＳ Ｐゴシック"/>
        <family val="3"/>
        <charset val="134"/>
        <scheme val="minor"/>
      </rPr>
      <t>饮</t>
    </r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</si>
  <si>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江仟酒商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</si>
  <si>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</si>
  <si>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钻华</t>
    </r>
  </si>
  <si>
    <r>
      <t xml:space="preserve">果酒（含酒精）;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</si>
  <si>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t>福聆康源</t>
  </si>
  <si>
    <r>
      <t>武</t>
    </r>
    <r>
      <rPr>
        <sz val="11"/>
        <color theme="1"/>
        <rFont val="ＭＳ Ｐゴシック"/>
        <family val="3"/>
        <charset val="134"/>
        <scheme val="minor"/>
      </rPr>
      <t>汉润</t>
    </r>
    <r>
      <rPr>
        <sz val="11"/>
        <color theme="1"/>
        <rFont val="ＭＳ Ｐゴシック"/>
        <family val="3"/>
        <charset val="128"/>
        <scheme val="minor"/>
      </rPr>
      <t>福令科技有限公司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</si>
  <si>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果酒（含酒精）; 薄荷酒; 白酒; 水果汽酒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</si>
  <si>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屋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</si>
  <si>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果酒（含酒精）; 开胃酒;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</si>
  <si>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谷穗精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</si>
  <si>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清酒（日本米酒）; 果酒（含酒精）; 开胃酒;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</si>
  <si>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花如梦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</si>
  <si>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米酒; 蜂蜜酒</t>
    </r>
  </si>
  <si>
    <r>
      <t>睦</t>
    </r>
    <r>
      <rPr>
        <sz val="11"/>
        <color theme="1"/>
        <rFont val="ＭＳ Ｐゴシック"/>
        <family val="3"/>
        <charset val="134"/>
        <scheme val="minor"/>
      </rPr>
      <t>邻</t>
    </r>
    <r>
      <rPr>
        <sz val="11"/>
        <color theme="1"/>
        <rFont val="ＭＳ Ｐゴシック"/>
        <family val="3"/>
        <charset val="128"/>
        <scheme val="minor"/>
      </rPr>
      <t>盛耀</t>
    </r>
  </si>
  <si>
    <r>
      <t>浙江睦容商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</si>
  <si>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利口酒; 开胃酒; 伏特加酒;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苦味酒</t>
    </r>
  </si>
  <si>
    <t>舒大服</t>
  </si>
  <si>
    <t>潘青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</si>
  <si>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清酒（日本米酒）;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</si>
  <si>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山月</t>
    </r>
    <r>
      <rPr>
        <sz val="11"/>
        <color theme="1"/>
        <rFont val="ＭＳ Ｐゴシック"/>
        <family val="3"/>
        <charset val="134"/>
        <scheme val="minor"/>
      </rPr>
      <t>赋</t>
    </r>
  </si>
  <si>
    <r>
      <t>饮</t>
    </r>
    <r>
      <rPr>
        <sz val="11"/>
        <color theme="1"/>
        <rFont val="ＭＳ Ｐゴシック"/>
        <family val="3"/>
        <charset val="128"/>
        <scheme val="minor"/>
      </rPr>
      <t>用烈酒; 清酒; 果酒（含酒精）; 白酒; 蒸煮提取物（利口酒和烈酒）;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露酒;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</si>
  <si>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易昭月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</si>
  <si>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易昭月酒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</si>
  <si>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果酒（含酒精）; 开胃酒; 葡萄酒;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</si>
  <si>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杏</t>
    </r>
    <r>
      <rPr>
        <sz val="11"/>
        <color theme="1"/>
        <rFont val="ＭＳ Ｐゴシック"/>
        <family val="3"/>
        <charset val="134"/>
        <scheme val="minor"/>
      </rPr>
      <t>顶</t>
    </r>
    <r>
      <rPr>
        <sz val="11"/>
        <color theme="1"/>
        <rFont val="ＭＳ Ｐゴシック"/>
        <family val="3"/>
        <charset val="128"/>
        <scheme val="minor"/>
      </rPr>
      <t>天下</t>
    </r>
  </si>
  <si>
    <r>
      <t xml:space="preserve">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</si>
  <si>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古曲运</t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</si>
  <si>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黄酒; 葡萄酒; 清酒（日本米酒）;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</si>
  <si>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钿</t>
    </r>
    <r>
      <rPr>
        <sz val="11"/>
        <color theme="1"/>
        <rFont val="ＭＳ Ｐゴシック"/>
        <family val="3"/>
        <charset val="128"/>
        <scheme val="minor"/>
      </rPr>
      <t>哥来了</t>
    </r>
  </si>
  <si>
    <r>
      <t>潮州市</t>
    </r>
    <r>
      <rPr>
        <sz val="11"/>
        <color theme="1"/>
        <rFont val="ＭＳ Ｐゴシック"/>
        <family val="3"/>
        <charset val="134"/>
        <scheme val="minor"/>
      </rPr>
      <t>钿</t>
    </r>
    <r>
      <rPr>
        <sz val="11"/>
        <color theme="1"/>
        <rFont val="ＭＳ Ｐゴシック"/>
        <family val="3"/>
        <charset val="128"/>
        <scheme val="minor"/>
      </rPr>
      <t>哥来了文化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</si>
  <si>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黄酒; 米酒;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</si>
  <si>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天萃康</t>
    </r>
    <r>
      <rPr>
        <sz val="11"/>
        <color theme="1"/>
        <rFont val="ＭＳ Ｐゴシック"/>
        <family val="3"/>
        <charset val="134"/>
        <scheme val="minor"/>
      </rPr>
      <t>饮</t>
    </r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</si>
  <si>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韵天萃健康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理有限公司</t>
    </r>
  </si>
  <si>
    <r>
      <t xml:space="preserve">露酒;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梅酒; 蜂蜜酒; 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黄酒; 白酒</t>
    </r>
  </si>
  <si>
    <t>衍德园</t>
  </si>
  <si>
    <r>
      <t>四川</t>
    </r>
    <r>
      <rPr>
        <sz val="11"/>
        <color theme="1"/>
        <rFont val="ＭＳ Ｐゴシック"/>
        <family val="3"/>
        <charset val="134"/>
        <scheme val="minor"/>
      </rPr>
      <t>赖</t>
    </r>
    <r>
      <rPr>
        <sz val="11"/>
        <color theme="1"/>
        <rFont val="ＭＳ Ｐゴシック"/>
        <family val="3"/>
        <charset val="128"/>
        <scheme val="minor"/>
      </rPr>
      <t>糟坊酒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</si>
  <si>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青稞酒; 米酒; 清酒（日本米酒）; 黄酒; 高粱酒; 白干酒（中国白酒）; 果酒; 葡萄酒</t>
    </r>
  </si>
  <si>
    <r>
      <t>复圣芳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</si>
  <si>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沙复圣芳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文化有限公司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</si>
  <si>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小男</t>
    </r>
  </si>
  <si>
    <r>
      <t>甘</t>
    </r>
    <r>
      <rPr>
        <sz val="11"/>
        <color theme="1"/>
        <rFont val="ＭＳ Ｐゴシック"/>
        <family val="3"/>
        <charset val="134"/>
        <scheme val="minor"/>
      </rPr>
      <t>肃陇</t>
    </r>
    <r>
      <rPr>
        <sz val="11"/>
        <color theme="1"/>
        <rFont val="ＭＳ Ｐゴシック"/>
        <family val="3"/>
        <charset val="128"/>
        <scheme val="minor"/>
      </rPr>
      <t>小南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</si>
  <si>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含酒精的气泡水; 黄酒; 食用酒精; 葡萄酒; 米酒; 白酒</t>
    </r>
  </si>
  <si>
    <r>
      <t>灏</t>
    </r>
    <r>
      <rPr>
        <sz val="11"/>
        <color theme="1"/>
        <rFont val="ＭＳ Ｐゴシック"/>
        <family val="3"/>
        <charset val="128"/>
        <scheme val="minor"/>
      </rPr>
      <t>星达</t>
    </r>
  </si>
  <si>
    <r>
      <t>星海</t>
    </r>
    <r>
      <rPr>
        <sz val="11"/>
        <color theme="1"/>
        <rFont val="ＭＳ Ｐゴシック"/>
        <family val="3"/>
        <charset val="134"/>
        <scheme val="minor"/>
      </rPr>
      <t>图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</si>
  <si>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开胃酒;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白酒; 薄荷酒</t>
    </r>
  </si>
  <si>
    <r>
      <t>谷尚</t>
    </r>
    <r>
      <rPr>
        <sz val="11"/>
        <color theme="1"/>
        <rFont val="ＭＳ Ｐゴシック"/>
        <family val="3"/>
        <charset val="134"/>
        <scheme val="minor"/>
      </rPr>
      <t>纪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</si>
  <si>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威士忌; 白酒; 利口酒; 米酒; 清酒（日本米酒）</t>
    </r>
  </si>
  <si>
    <r>
      <t>绍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全</t>
    </r>
  </si>
  <si>
    <r>
      <t>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伏特加酒</t>
    </r>
  </si>
  <si>
    <r>
      <t xml:space="preserve">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白酒</t>
    </r>
  </si>
  <si>
    <r>
      <t>润</t>
    </r>
    <r>
      <rPr>
        <sz val="11"/>
        <color theme="1"/>
        <rFont val="ＭＳ Ｐゴシック"/>
        <family val="3"/>
        <charset val="128"/>
        <scheme val="minor"/>
      </rPr>
      <t>福令</t>
    </r>
  </si>
  <si>
    <r>
      <t>白酒; 水果汽酒; 果酒（含酒精）; 薄荷酒; 葡萄酒;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</si>
  <si>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嘉状元</t>
  </si>
  <si>
    <t>甘碧君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</si>
  <si>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</si>
  <si>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睡仙醉</t>
  </si>
  <si>
    <r>
      <t>良心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代（山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管理有限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</si>
  <si>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薄荷酒; 白酒; 高粱酒; 果酒; 黄酒;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朝</t>
    </r>
    <r>
      <rPr>
        <sz val="11"/>
        <color theme="1"/>
        <rFont val="ＭＳ Ｐゴシック"/>
        <family val="3"/>
        <charset val="134"/>
        <scheme val="minor"/>
      </rPr>
      <t>鲜烧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</si>
  <si>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兆健堂</t>
  </si>
  <si>
    <r>
      <t>湖北耀荣木瓜生物科技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</si>
  <si>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黄酒; 白酒; 清酒;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甜酒;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</si>
  <si>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纳</t>
    </r>
    <r>
      <rPr>
        <sz val="11"/>
        <color theme="1"/>
        <rFont val="ＭＳ Ｐゴシック"/>
        <family val="3"/>
        <charset val="128"/>
        <scheme val="minor"/>
      </rPr>
      <t>汀高</t>
    </r>
  </si>
  <si>
    <r>
      <t>合肥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博广告品牌</t>
    </r>
    <r>
      <rPr>
        <sz val="11"/>
        <color theme="1"/>
        <rFont val="ＭＳ Ｐゴシック"/>
        <family val="3"/>
        <charset val="134"/>
        <scheme val="minor"/>
      </rPr>
      <t>设计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</si>
  <si>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朗姆酒;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威士忌; 利口酒</t>
    </r>
  </si>
  <si>
    <r>
      <t>中古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 xml:space="preserve"> ZOMGUISLE</t>
    </r>
  </si>
  <si>
    <r>
      <t>广州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越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</si>
  <si>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烈酒; 清酒; 葡萄酒; 苹果酒;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</si>
  <si>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玺</t>
    </r>
    <r>
      <rPr>
        <sz val="11"/>
        <color theme="1"/>
        <rFont val="ＭＳ Ｐゴシック"/>
        <family val="3"/>
        <charset val="128"/>
        <scheme val="minor"/>
      </rPr>
      <t>田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</si>
  <si>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岱玉宝酒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</si>
  <si>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葡萄酒; 白酒; 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果酒; 含酒精蛋奶酒; 青梅酒;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 xml:space="preserve">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草本型利口酒;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</si>
  <si>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XIAOMAODI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</si>
  <si>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州百年小茅酒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</si>
  <si>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白酒;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白干酒（中国白酒）; 露酒; 薄荷酒;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</t>
    </r>
  </si>
  <si>
    <t>黛露美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</si>
  <si>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</si>
  <si>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潮桑</t>
  </si>
  <si>
    <r>
      <t>蔡壮</t>
    </r>
    <r>
      <rPr>
        <sz val="11"/>
        <color theme="1"/>
        <rFont val="ＭＳ Ｐゴシック"/>
        <family val="3"/>
        <charset val="134"/>
        <scheme val="minor"/>
      </rPr>
      <t>铄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</si>
  <si>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青稞酒; 果酒; 白酒; 葡萄酒; 露酒;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</si>
  <si>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旺大鑫</t>
  </si>
  <si>
    <r>
      <t>米酒;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利口酒; 蒸煮提取物（利口酒和烈酒）; 黄酒</t>
    </r>
  </si>
  <si>
    <t>五丰行 NG FUNG HONG</t>
  </si>
  <si>
    <r>
      <t>华润</t>
    </r>
    <r>
      <rPr>
        <sz val="11"/>
        <color theme="1"/>
        <rFont val="ＭＳ Ｐゴシック"/>
        <family val="3"/>
        <charset val="128"/>
        <scheme val="minor"/>
      </rPr>
      <t>五丰（中国）投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</si>
  <si>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黄酒; 甜酒; 果酒;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</si>
  <si>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浙一井</t>
  </si>
  <si>
    <r>
      <t>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</si>
  <si>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某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呈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</si>
  <si>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</si>
  <si>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玉馥冠</t>
  </si>
  <si>
    <r>
      <t>黄</t>
    </r>
    <r>
      <rPr>
        <sz val="11"/>
        <color theme="1"/>
        <rFont val="ＭＳ Ｐゴシック"/>
        <family val="3"/>
        <charset val="134"/>
        <scheme val="minor"/>
      </rPr>
      <t>军</t>
    </r>
    <r>
      <rPr>
        <sz val="11"/>
        <color theme="1"/>
        <rFont val="ＭＳ Ｐゴシック"/>
        <family val="3"/>
        <charset val="128"/>
        <scheme val="minor"/>
      </rPr>
      <t>梅</t>
    </r>
  </si>
  <si>
    <r>
      <t>果酒; 高粱酒; 白酒; 蜂蜜酒;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烈酒;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</si>
  <si>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杏魁天下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</si>
  <si>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果酒（含酒精）; 清酒（日本米酒）;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</si>
  <si>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俑</t>
    </r>
  </si>
  <si>
    <r>
      <t>河南一本</t>
    </r>
    <r>
      <rPr>
        <sz val="11"/>
        <color theme="1"/>
        <rFont val="ＭＳ Ｐゴシック"/>
        <family val="3"/>
        <charset val="134"/>
        <scheme val="minor"/>
      </rPr>
      <t>语录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</si>
  <si>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伏特加酒;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米酒</t>
    </r>
  </si>
  <si>
    <t>句透</t>
  </si>
  <si>
    <r>
      <t>北京正青春国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</si>
  <si>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汽酒</t>
    </r>
  </si>
  <si>
    <t>彩中皇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</si>
  <si>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</si>
  <si>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琅古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</si>
  <si>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琅古酒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</si>
  <si>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餐后酒（利口酒和烈酒）;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苹果酒;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</si>
  <si>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李康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</si>
  <si>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米酒; 葡萄酒; 苹果酒</t>
    </r>
  </si>
  <si>
    <r>
      <t xml:space="preserve">果酒（含酒精）;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</si>
  <si>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及由窖</t>
  </si>
  <si>
    <r>
      <t>米酒; 白酒;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露酒; 葡萄酒; 果酒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</si>
  <si>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三关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</si>
  <si>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洲</t>
    </r>
  </si>
  <si>
    <r>
      <t xml:space="preserve">露酒; 梅酒; 黄酒; 米酒; 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</si>
  <si>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䲠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</si>
  <si>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再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</si>
  <si>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果酒（含酒精）; 黄酒; 食用酒精; 白酒</t>
    </r>
  </si>
  <si>
    <r>
      <t>送水</t>
    </r>
    <r>
      <rPr>
        <sz val="11"/>
        <color theme="1"/>
        <rFont val="ＭＳ Ｐゴシック"/>
        <family val="3"/>
        <charset val="134"/>
        <scheme val="minor"/>
      </rPr>
      <t>马</t>
    </r>
  </si>
  <si>
    <r>
      <t>官利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</si>
  <si>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 xml:space="preserve">米酒;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果酒; 蒸煮提取物（利口酒和烈酒）;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</si>
  <si>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誉粱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</si>
  <si>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利口酒; 伏特加酒;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</si>
  <si>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乙起喜</t>
  </si>
  <si>
    <r>
      <t xml:space="preserve">白酒;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黄酒;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</si>
  <si>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SZGUSHI</t>
  </si>
  <si>
    <r>
      <t>顶层</t>
    </r>
    <r>
      <rPr>
        <sz val="11"/>
        <color theme="1"/>
        <rFont val="ＭＳ Ｐゴシック"/>
        <family val="3"/>
        <charset val="128"/>
        <scheme val="minor"/>
      </rPr>
      <t>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（深圳）有限公司</t>
    </r>
  </si>
  <si>
    <r>
      <t xml:space="preserve">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</si>
  <si>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散花著</t>
  </si>
  <si>
    <t>李浩浩</t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</si>
  <si>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白干酒（中国白酒）</t>
    </r>
  </si>
  <si>
    <t>伴成仙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</si>
  <si>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彩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慧网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</si>
  <si>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葡萄酒; 黄酒; 威士忌; 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</si>
  <si>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七里情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34"/>
        <scheme val="minor"/>
      </rPr>
      <t>赞</t>
    </r>
    <r>
      <rPr>
        <sz val="11"/>
        <color theme="1"/>
        <rFont val="ＭＳ Ｐゴシック"/>
        <family val="3"/>
        <charset val="128"/>
        <scheme val="minor"/>
      </rPr>
      <t>歌</t>
    </r>
  </si>
  <si>
    <r>
      <t>湖北普立</t>
    </r>
    <r>
      <rPr>
        <sz val="11"/>
        <color theme="1"/>
        <rFont val="ＭＳ Ｐゴシック"/>
        <family val="3"/>
        <charset val="129"/>
        <scheme val="minor"/>
      </rPr>
      <t>洁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保科技有限公司</t>
    </r>
  </si>
  <si>
    <r>
      <t>米酒; 果酒（含酒精）; 葡萄酒; 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清酒; 高粱酒</t>
    </r>
  </si>
  <si>
    <t>金珍井</t>
  </si>
  <si>
    <r>
      <t xml:space="preserve">利口酒; 葡萄酒;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</si>
  <si>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t>酒圣炎黄</t>
  </si>
  <si>
    <r>
      <t>郸</t>
    </r>
    <r>
      <rPr>
        <sz val="11"/>
        <color theme="1"/>
        <rFont val="ＭＳ Ｐゴシック"/>
        <family val="3"/>
        <charset val="128"/>
        <scheme val="minor"/>
      </rPr>
      <t>城</t>
    </r>
    <r>
      <rPr>
        <sz val="11"/>
        <color theme="1"/>
        <rFont val="ＭＳ Ｐゴシック"/>
        <family val="3"/>
        <charset val="134"/>
        <scheme val="minor"/>
      </rPr>
      <t>县孙澜</t>
    </r>
    <r>
      <rPr>
        <sz val="11"/>
        <color theme="1"/>
        <rFont val="ＭＳ Ｐゴシック"/>
        <family val="3"/>
        <charset val="128"/>
        <scheme val="minor"/>
      </rPr>
      <t>在百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</si>
  <si>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 xml:space="preserve">米酒; 葡萄酒; 果酒（含酒精）; 蜂蜜酒; 利口酒;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开胃酒</t>
    </r>
  </si>
  <si>
    <r>
      <t>陶</t>
    </r>
    <r>
      <rPr>
        <sz val="11"/>
        <color theme="1"/>
        <rFont val="ＭＳ Ｐゴシック"/>
        <family val="3"/>
        <charset val="134"/>
        <scheme val="minor"/>
      </rPr>
      <t>骄</t>
    </r>
    <r>
      <rPr>
        <sz val="11"/>
        <color theme="1"/>
        <rFont val="ＭＳ Ｐゴシック"/>
        <family val="3"/>
        <charset val="128"/>
        <scheme val="minor"/>
      </rPr>
      <t>子</t>
    </r>
  </si>
  <si>
    <t>李玉振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</si>
  <si>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清酒;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威士忌;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</si>
  <si>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蒙</t>
    </r>
    <r>
      <rPr>
        <sz val="11"/>
        <color theme="1"/>
        <rFont val="ＭＳ Ｐゴシック"/>
        <family val="3"/>
        <charset val="134"/>
        <scheme val="minor"/>
      </rPr>
      <t>赣</t>
    </r>
  </si>
  <si>
    <r>
      <t>北京薪火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道国</t>
    </r>
    <r>
      <rPr>
        <sz val="11"/>
        <color theme="1"/>
        <rFont val="ＭＳ Ｐゴシック"/>
        <family val="3"/>
        <charset val="134"/>
        <scheme val="minor"/>
      </rPr>
      <t>际传</t>
    </r>
    <r>
      <rPr>
        <sz val="11"/>
        <color theme="1"/>
        <rFont val="ＭＳ Ｐゴシック"/>
        <family val="3"/>
        <charset val="128"/>
        <scheme val="minor"/>
      </rPr>
      <t>媒文化</t>
    </r>
    <r>
      <rPr>
        <sz val="11"/>
        <color theme="1"/>
        <rFont val="ＭＳ Ｐゴシック"/>
        <family val="3"/>
        <charset val="134"/>
        <scheme val="minor"/>
      </rPr>
      <t>艺术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</si>
  <si>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</si>
  <si>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蜀国祥瑞</t>
  </si>
  <si>
    <r>
      <t>甜酒; 白酒;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果酒(含酒精);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威士忌; 米酒</t>
    </r>
  </si>
  <si>
    <t>MOUNTAIN SNOW</t>
  </si>
  <si>
    <r>
      <t>江西潮望投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</si>
  <si>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白酒;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蜂蜜酒; 黄酒</t>
    </r>
  </si>
  <si>
    <t>天命者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</si>
  <si>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白酒; 葡萄酒; 果酒（含酒精）; 米酒; 露酒</t>
    </r>
  </si>
  <si>
    <r>
      <t>文德</t>
    </r>
    <r>
      <rPr>
        <sz val="11"/>
        <color theme="1"/>
        <rFont val="ＭＳ Ｐゴシック"/>
        <family val="3"/>
        <charset val="134"/>
        <scheme val="minor"/>
      </rPr>
      <t>乡</t>
    </r>
  </si>
  <si>
    <r>
      <t>北京墅石国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石材有限公司</t>
    </r>
  </si>
  <si>
    <r>
      <t xml:space="preserve">果酒（含酒精）; 清酒（日本米酒）;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</t>
    </r>
  </si>
  <si>
    <r>
      <t>成</t>
    </r>
    <r>
      <rPr>
        <sz val="11"/>
        <color theme="1"/>
        <rFont val="ＭＳ Ｐゴシック"/>
        <family val="3"/>
        <charset val="134"/>
        <scheme val="minor"/>
      </rPr>
      <t>砚</t>
    </r>
    <r>
      <rPr>
        <sz val="11"/>
        <color theme="1"/>
        <rFont val="ＭＳ Ｐゴシック"/>
        <family val="3"/>
        <charset val="128"/>
        <scheme val="minor"/>
      </rPr>
      <t>王</t>
    </r>
  </si>
  <si>
    <t>张润连</t>
  </si>
  <si>
    <r>
      <t xml:space="preserve">葡萄酒; 米酒; 黄酒; 利口酒; 青稞酒;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</t>
    </r>
  </si>
  <si>
    <t>十三朝 圣典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</si>
  <si>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西酒聖品牌运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</si>
  <si>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</si>
  <si>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辣吾川</t>
  </si>
  <si>
    <r>
      <t>上海七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黄品牌管理有限公司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</si>
  <si>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汽酒; 黄酒; 清酒（日本米酒）;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葡萄酒</t>
    </r>
  </si>
  <si>
    <t>青台川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</si>
  <si>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白酒; 葡萄酒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</si>
  <si>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酿门</t>
    </r>
  </si>
  <si>
    <r>
      <t>果酒（含酒精）; 葡萄酒;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苹果酒;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</t>
    </r>
  </si>
  <si>
    <r>
      <t>碰杯</t>
    </r>
    <r>
      <rPr>
        <sz val="11"/>
        <color theme="1"/>
        <rFont val="ＭＳ Ｐゴシック"/>
        <family val="3"/>
        <charset val="134"/>
        <scheme val="minor"/>
      </rPr>
      <t>乐</t>
    </r>
  </si>
  <si>
    <t>深圳市宏利恒科技有限公司</t>
  </si>
  <si>
    <t>白酒; 米酒; 果酒; 葡萄酒; 甜酒; 食用酒精; 汽酒; 清酒; 开胃酒; 黄酒</t>
  </si>
  <si>
    <t>青蕾吉合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</si>
  <si>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州青蕾吉合文化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</si>
  <si>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</si>
  <si>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台醇道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</si>
  <si>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苹果酒; 露酒; 白酒; 餐后酒（利口酒和烈酒）;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</si>
  <si>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钻</t>
    </r>
    <r>
      <rPr>
        <sz val="11"/>
        <color theme="1"/>
        <rFont val="ＭＳ Ｐゴシック"/>
        <family val="3"/>
        <charset val="128"/>
        <scheme val="minor"/>
      </rPr>
      <t>中樽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</si>
  <si>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露酒; 米酒; 苹果酒;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果酒（含酒精）; 白酒; 葡萄酒</t>
    </r>
  </si>
  <si>
    <t>澂覃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</si>
  <si>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州双宇和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</si>
  <si>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汽酒;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含酒精的气泡水;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</si>
  <si>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理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</si>
  <si>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</si>
  <si>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黄酒; 米酒</t>
    </r>
  </si>
  <si>
    <t>茗恋</t>
  </si>
  <si>
    <r>
      <t>果酒（含酒精）;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青稞酒;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</si>
  <si>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贵澜华</t>
    </r>
    <r>
      <rPr>
        <sz val="11"/>
        <color theme="1"/>
        <rFont val="ＭＳ Ｐゴシック"/>
        <family val="3"/>
        <charset val="128"/>
        <scheme val="minor"/>
      </rPr>
      <t>曜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</si>
  <si>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</si>
  <si>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 xml:space="preserve">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</si>
  <si>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对</t>
    </r>
    <r>
      <rPr>
        <sz val="11"/>
        <color theme="1"/>
        <rFont val="ＭＳ Ｐゴシック"/>
        <family val="3"/>
        <charset val="128"/>
        <scheme val="minor"/>
      </rPr>
      <t>皮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</si>
  <si>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市新会六真好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皮生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</si>
  <si>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苹果酒; 果酒（含酒精）; 茴香酒（利口酒）;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薄荷酒</t>
    </r>
  </si>
  <si>
    <r>
      <t>碧落途</t>
    </r>
    <r>
      <rPr>
        <sz val="11"/>
        <color theme="1"/>
        <rFont val="ＭＳ Ｐゴシック"/>
        <family val="3"/>
        <charset val="134"/>
        <scheme val="minor"/>
      </rPr>
      <t>苏</t>
    </r>
  </si>
  <si>
    <r>
      <t>洛阳忘</t>
    </r>
    <r>
      <rPr>
        <sz val="11"/>
        <color theme="1"/>
        <rFont val="ＭＳ Ｐゴシック"/>
        <family val="3"/>
        <charset val="134"/>
        <scheme val="minor"/>
      </rPr>
      <t>忧</t>
    </r>
    <r>
      <rPr>
        <sz val="11"/>
        <color theme="1"/>
        <rFont val="ＭＳ Ｐゴシック"/>
        <family val="3"/>
        <charset val="128"/>
        <scheme val="minor"/>
      </rPr>
      <t>君文化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</si>
  <si>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青稞酒; 白酒; 白干酒（中国白酒）</t>
    </r>
  </si>
  <si>
    <r>
      <t>陈记</t>
    </r>
    <r>
      <rPr>
        <sz val="11"/>
        <color theme="1"/>
        <rFont val="ＭＳ Ｐゴシック"/>
        <family val="3"/>
        <charset val="128"/>
        <scheme val="minor"/>
      </rPr>
      <t>香山家宴</t>
    </r>
  </si>
  <si>
    <r>
      <t>中山肥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</si>
  <si>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米酒; 黄酒; 烈酒;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咖啡利口酒</t>
    </r>
  </si>
  <si>
    <r>
      <t>胶</t>
    </r>
    <r>
      <rPr>
        <sz val="11"/>
        <color theme="1"/>
        <rFont val="ＭＳ Ｐゴシック"/>
        <family val="3"/>
        <charset val="134"/>
        <scheme val="minor"/>
      </rPr>
      <t>颜</t>
    </r>
    <r>
      <rPr>
        <sz val="11"/>
        <color theme="1"/>
        <rFont val="ＭＳ Ｐゴシック"/>
        <family val="3"/>
        <charset val="128"/>
        <scheme val="minor"/>
      </rPr>
      <t>古道</t>
    </r>
  </si>
  <si>
    <r>
      <t>聊城胶姑娘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</si>
  <si>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薄荷酒; 果酒（含酒精）; 混合威士忌酒;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青梅酒;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</t>
    </r>
  </si>
  <si>
    <t>誉彩</t>
  </si>
  <si>
    <r>
      <t>王文</t>
    </r>
    <r>
      <rPr>
        <sz val="11"/>
        <color theme="1"/>
        <rFont val="ＭＳ Ｐゴシック"/>
        <family val="3"/>
        <charset val="134"/>
        <scheme val="minor"/>
      </rPr>
      <t>晓</t>
    </r>
  </si>
  <si>
    <r>
      <t xml:space="preserve">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高粱酒; 青稞酒; 米酒; 烈酒; 葡萄酒;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</si>
  <si>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遇彩</t>
  </si>
  <si>
    <r>
      <t xml:space="preserve">白酒; 烈酒;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高粱酒; 青稞酒; 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</si>
  <si>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吴窖良造</t>
  </si>
  <si>
    <r>
      <t>清酒（日本米酒）; 黄酒; 白酒;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</t>
    </r>
  </si>
  <si>
    <r>
      <t>荣云和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</si>
  <si>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米酒; 葡萄酒;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烈酒</t>
    </r>
  </si>
  <si>
    <t>茶旺</t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</si>
  <si>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米酒;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</si>
  <si>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呈</t>
    </r>
    <r>
      <rPr>
        <sz val="11"/>
        <color theme="1"/>
        <rFont val="ＭＳ Ｐゴシック"/>
        <family val="3"/>
        <charset val="134"/>
        <scheme val="minor"/>
      </rPr>
      <t>钻</t>
    </r>
  </si>
  <si>
    <r>
      <t>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苹果酒; 露酒; 餐后酒（利口酒和烈酒）; 果酒（含酒精）; 葡萄酒</t>
    </r>
  </si>
  <si>
    <r>
      <t>烁</t>
    </r>
    <r>
      <rPr>
        <sz val="11"/>
        <color theme="1"/>
        <rFont val="ＭＳ Ｐゴシック"/>
        <family val="3"/>
        <charset val="128"/>
        <scheme val="minor"/>
      </rPr>
      <t>彩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</si>
  <si>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烈酒; 葡萄酒; 白酒; 高粱酒; 米酒; 果酒;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</si>
  <si>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咏彩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</si>
  <si>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烈酒;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青稞酒; 高粱酒; 果酒; 黄酒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</si>
  <si>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全程</t>
    </r>
  </si>
  <si>
    <r>
      <t>心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力（北京）文化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</si>
  <si>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白酒;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薄荷酒</t>
    </r>
  </si>
  <si>
    <r>
      <t>金谷天</t>
    </r>
    <r>
      <rPr>
        <sz val="11"/>
        <color theme="1"/>
        <rFont val="ＭＳ Ｐゴシック"/>
        <family val="3"/>
        <charset val="134"/>
        <scheme val="minor"/>
      </rPr>
      <t>诚</t>
    </r>
  </si>
  <si>
    <r>
      <t>成都金谷地酒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</si>
  <si>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</si>
  <si>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拾花</t>
    </r>
    <r>
      <rPr>
        <sz val="11"/>
        <color theme="1"/>
        <rFont val="ＭＳ Ｐゴシック"/>
        <family val="3"/>
        <charset val="134"/>
        <scheme val="minor"/>
      </rPr>
      <t>录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</si>
  <si>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州君酌韵品酒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</si>
  <si>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米酒; 黄酒; 白酒; 葡萄酒; 梨酒;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</si>
  <si>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米酒; 黄酒; 威士忌;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</si>
  <si>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月己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</si>
  <si>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伏特加酒</t>
    </r>
  </si>
  <si>
    <t>百宴匠</t>
  </si>
  <si>
    <r>
      <t>葡萄酒; 米酒; 果酒（含酒精）;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露酒;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</si>
  <si>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天池</t>
    </r>
    <r>
      <rPr>
        <sz val="11"/>
        <color theme="1"/>
        <rFont val="ＭＳ Ｐゴシック"/>
        <family val="3"/>
        <charset val="134"/>
        <scheme val="minor"/>
      </rPr>
      <t>诀</t>
    </r>
  </si>
  <si>
    <r>
      <t>许钰</t>
    </r>
    <r>
      <rPr>
        <sz val="11"/>
        <color theme="1"/>
        <rFont val="ＭＳ Ｐゴシック"/>
        <family val="3"/>
        <charset val="128"/>
        <scheme val="minor"/>
      </rPr>
      <t>鑫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</si>
  <si>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料(啤酒除外);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果酒(含酒精); 白酒; 烈酒(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料)</t>
    </r>
  </si>
  <si>
    <r>
      <t>绝</t>
    </r>
    <r>
      <rPr>
        <sz val="11"/>
        <color theme="1"/>
        <rFont val="ＭＳ Ｐゴシック"/>
        <family val="3"/>
        <charset val="128"/>
        <scheme val="minor"/>
      </rPr>
      <t>彩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</si>
  <si>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果酒; 米酒;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白酒; 高粱酒</t>
    </r>
  </si>
  <si>
    <t>金富喜</t>
  </si>
  <si>
    <r>
      <t>果酒(含酒精);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威士忌; 甜酒</t>
    </r>
  </si>
  <si>
    <r>
      <t>冀郷福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</si>
  <si>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果酒; 烈酒; 葡萄酒;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米酒; 白酒</t>
    </r>
  </si>
  <si>
    <t>武功山有一村</t>
  </si>
  <si>
    <r>
      <t>黄酒; 开胃酒;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</si>
  <si>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杞</t>
    </r>
    <r>
      <rPr>
        <sz val="11"/>
        <color theme="1"/>
        <rFont val="ＭＳ Ｐゴシック"/>
        <family val="3"/>
        <charset val="134"/>
        <scheme val="minor"/>
      </rPr>
      <t>泽</t>
    </r>
  </si>
  <si>
    <r>
      <t xml:space="preserve">黄酒; 葡萄酒; 白酒; 清酒; 烈酒; 高粱酒; 果酒;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</si>
  <si>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嵛</t>
    </r>
    <r>
      <rPr>
        <sz val="11"/>
        <color theme="1"/>
        <rFont val="ＭＳ Ｐゴシック"/>
        <family val="3"/>
        <charset val="128"/>
        <scheme val="minor"/>
      </rPr>
      <t>上草露</t>
    </r>
  </si>
  <si>
    <r>
      <t>乳山市五洲同康科技开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</si>
  <si>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果酒;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黄酒; 白酒; 葡萄酒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</si>
  <si>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台禧</t>
    </r>
  </si>
  <si>
    <r>
      <t>威士忌;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果酒(含酒精); 葡萄酒; 甜酒; 黄酒;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</si>
  <si>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金粮昌</t>
  </si>
  <si>
    <r>
      <t>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果酒(含酒精); 威士忌</t>
    </r>
  </si>
  <si>
    <r>
      <t>茗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玉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</si>
  <si>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</t>
    </r>
  </si>
  <si>
    <t>筑春神</t>
  </si>
  <si>
    <r>
      <t>威士忌; 葡萄酒;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果酒(含酒精); 甜酒</t>
    </r>
  </si>
  <si>
    <r>
      <t>闫</t>
    </r>
    <r>
      <rPr>
        <sz val="11"/>
        <color theme="1"/>
        <rFont val="ＭＳ Ｐゴシック"/>
        <family val="3"/>
        <charset val="128"/>
        <scheme val="minor"/>
      </rPr>
      <t>君品</t>
    </r>
  </si>
  <si>
    <r>
      <t>闫</t>
    </r>
    <r>
      <rPr>
        <sz val="11"/>
        <color theme="1"/>
        <rFont val="ＭＳ Ｐゴシック"/>
        <family val="3"/>
        <charset val="128"/>
        <scheme val="minor"/>
      </rPr>
      <t>西杰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</si>
  <si>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露酒; 青稞酒; 葡萄酒; 梨酒;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米酒; 黄酒</t>
    </r>
  </si>
  <si>
    <t>晋香来</t>
  </si>
  <si>
    <r>
      <t>张</t>
    </r>
    <r>
      <rPr>
        <sz val="11"/>
        <color theme="1"/>
        <rFont val="ＭＳ Ｐゴシック"/>
        <family val="3"/>
        <charset val="128"/>
        <scheme val="minor"/>
      </rPr>
      <t>玉霖</t>
    </r>
  </si>
  <si>
    <r>
      <t>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</si>
  <si>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r>
      <t>玺</t>
    </r>
    <r>
      <rPr>
        <sz val="11"/>
        <color theme="1"/>
        <rFont val="ＭＳ Ｐゴシック"/>
        <family val="3"/>
        <charset val="128"/>
        <scheme val="minor"/>
      </rPr>
      <t>策</t>
    </r>
  </si>
  <si>
    <r>
      <t>叶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帆</t>
    </r>
  </si>
  <si>
    <r>
      <t xml:space="preserve">清酒（日本米酒）;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开胃酒; 黄酒</t>
    </r>
  </si>
  <si>
    <r>
      <t>泉州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喜酷体育用品有限公司</t>
    </r>
  </si>
  <si>
    <r>
      <t>威士忌; 伏特加酒;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开胃酒; 葡萄酒;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</si>
  <si>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创</t>
    </r>
    <r>
      <rPr>
        <sz val="11"/>
        <color theme="1"/>
        <rFont val="ＭＳ Ｐゴシック"/>
        <family val="3"/>
        <charset val="128"/>
        <scheme val="minor"/>
      </rPr>
      <t>彩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</si>
  <si>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高粱酒; 白酒; 米酒; 果酒;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</t>
    </r>
  </si>
  <si>
    <t>宝麟㡣</t>
  </si>
  <si>
    <r>
      <t>上海广富鑫商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</si>
  <si>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白酒; 葡萄酒; 汽酒</t>
    </r>
  </si>
  <si>
    <t>醉果醉果</t>
  </si>
  <si>
    <r>
      <t>成都金</t>
    </r>
    <r>
      <rPr>
        <sz val="11"/>
        <color theme="1"/>
        <rFont val="ＭＳ Ｐゴシック"/>
        <family val="3"/>
        <charset val="134"/>
        <scheme val="minor"/>
      </rPr>
      <t>酿鲜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</si>
  <si>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果酒（含酒精）;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酸酒（低等葡萄酒）</t>
    </r>
  </si>
  <si>
    <t>稷小主</t>
  </si>
  <si>
    <r>
      <t>南京起源企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中心</t>
    </r>
  </si>
  <si>
    <r>
      <t>威士忌;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伏特加酒;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</t>
    </r>
  </si>
  <si>
    <r>
      <t>淮王</t>
    </r>
    <r>
      <rPr>
        <sz val="11"/>
        <color theme="1"/>
        <rFont val="ＭＳ Ｐゴシック"/>
        <family val="3"/>
        <charset val="134"/>
        <scheme val="minor"/>
      </rPr>
      <t>爷</t>
    </r>
  </si>
  <si>
    <r>
      <t>刘海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</si>
  <si>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 xml:space="preserve">黄酒; 清酒（日本米酒）; 开胃酒; 白酒; 果酒（含酒精）; 烈酒;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</si>
  <si>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t>台噶玖</t>
  </si>
  <si>
    <r>
      <t>果酒（含酒精）; 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白干酒（中国白酒）;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</t>
    </r>
  </si>
  <si>
    <r>
      <t>山西杏</t>
    </r>
    <r>
      <rPr>
        <sz val="11"/>
        <color theme="1"/>
        <rFont val="ＭＳ Ｐゴシック"/>
        <family val="3"/>
        <charset val="134"/>
        <scheme val="minor"/>
      </rPr>
      <t>铭</t>
    </r>
    <r>
      <rPr>
        <sz val="11"/>
        <color theme="1"/>
        <rFont val="ＭＳ Ｐゴシック"/>
        <family val="3"/>
        <charset val="128"/>
        <scheme val="minor"/>
      </rPr>
      <t>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</si>
  <si>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高粱酒; 露酒; 烈酒; 青梅酒; 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</si>
  <si>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t>GUIBOEARL 瑰伯爵</t>
  </si>
  <si>
    <t>代存成</t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</si>
  <si>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葡萄酒; 果酒</t>
    </r>
  </si>
  <si>
    <t>DREAM BINZ</t>
  </si>
  <si>
    <r>
      <t>四川酩韵国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</si>
  <si>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</si>
  <si>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丰燎原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</si>
  <si>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庆图</t>
    </r>
    <r>
      <rPr>
        <sz val="11"/>
        <color theme="1"/>
        <rFont val="ＭＳ Ｐゴシック"/>
        <family val="3"/>
        <charset val="128"/>
        <scheme val="minor"/>
      </rPr>
      <t>冀达科技有限公司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</si>
  <si>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果酒（含酒精）; 白酒</t>
    </r>
  </si>
  <si>
    <t>明馨日月</t>
  </si>
  <si>
    <r>
      <t>包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市九原</t>
    </r>
    <r>
      <rPr>
        <sz val="11"/>
        <color theme="1"/>
        <rFont val="ＭＳ Ｐゴシック"/>
        <family val="3"/>
        <charset val="134"/>
        <scheme val="minor"/>
      </rPr>
      <t>饭</t>
    </r>
    <r>
      <rPr>
        <sz val="11"/>
        <color theme="1"/>
        <rFont val="ＭＳ Ｐゴシック"/>
        <family val="3"/>
        <charset val="128"/>
        <scheme val="minor"/>
      </rPr>
      <t>店管理有限公司明馨日月宴会城酒店管理分公司</t>
    </r>
  </si>
  <si>
    <r>
      <t>果酒（含酒精）;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蜂蜜酒; 伏特加酒;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蒸煮提取物（利口酒和烈酒）</t>
    </r>
  </si>
  <si>
    <t>蜀甘</t>
  </si>
  <si>
    <t>李春美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</si>
  <si>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果酒; 米酒</t>
    </r>
  </si>
  <si>
    <r>
      <t>清园梦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</si>
  <si>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河南醉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</si>
  <si>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清酒;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</si>
  <si>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辣个火同学</t>
  </si>
  <si>
    <t>新疆辣同学健康管理有限公司</t>
  </si>
  <si>
    <r>
      <t xml:space="preserve">米酒; 果酒（含酒精）;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白酒; 黄酒; 加烈葡萄酒; 白干酒（中国白酒）</t>
    </r>
  </si>
  <si>
    <t>宏合金樽</t>
  </si>
  <si>
    <r>
      <t>宏达国盛商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</si>
  <si>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苹果酒; 威士忌;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</si>
  <si>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小牛</t>
    </r>
    <r>
      <rPr>
        <sz val="11"/>
        <color theme="1"/>
        <rFont val="ＭＳ Ｐゴシック"/>
        <family val="3"/>
        <charset val="134"/>
        <scheme val="minor"/>
      </rPr>
      <t>边</t>
    </r>
  </si>
  <si>
    <r>
      <t>湖南梦巢文化</t>
    </r>
    <r>
      <rPr>
        <sz val="11"/>
        <color theme="1"/>
        <rFont val="ＭＳ Ｐゴシック"/>
        <family val="3"/>
        <charset val="134"/>
        <scheme val="minor"/>
      </rPr>
      <t>艺术传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</si>
  <si>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蒸煮提取物（利口酒和烈酒）;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</si>
  <si>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t>谷医本草</t>
  </si>
  <si>
    <r>
      <t>湖南橘色科技有限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</si>
  <si>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米酒;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</si>
  <si>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绅</t>
    </r>
    <r>
      <rPr>
        <sz val="11"/>
        <color theme="1"/>
        <rFont val="ＭＳ Ｐゴシック"/>
        <family val="3"/>
        <charset val="128"/>
        <scheme val="minor"/>
      </rPr>
      <t>命力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</si>
  <si>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珂生物（河南）有限公司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</si>
  <si>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黄酒; 米酒; 白酒;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</t>
    </r>
  </si>
  <si>
    <t>梅花河</t>
  </si>
  <si>
    <r>
      <t>闵</t>
    </r>
    <r>
      <rPr>
        <sz val="11"/>
        <color theme="1"/>
        <rFont val="ＭＳ Ｐゴシック"/>
        <family val="3"/>
        <charset val="128"/>
        <scheme val="minor"/>
      </rPr>
      <t>志平</t>
    </r>
  </si>
  <si>
    <r>
      <t xml:space="preserve">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清酒（日本米酒）;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</t>
    </r>
  </si>
  <si>
    <r>
      <t>陈酿</t>
    </r>
    <r>
      <rPr>
        <sz val="11"/>
        <color theme="1"/>
        <rFont val="ＭＳ Ｐゴシック"/>
        <family val="3"/>
        <charset val="128"/>
        <scheme val="minor"/>
      </rPr>
      <t>仙</t>
    </r>
  </si>
  <si>
    <r>
      <t>安徽桃花潭酒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</si>
  <si>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葡萄酒; 清酒（日本米酒）;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</si>
  <si>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俄井</t>
  </si>
  <si>
    <r>
      <t>刘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旺</t>
    </r>
  </si>
  <si>
    <r>
      <t xml:space="preserve">果酒（含酒精）; 米酒; 黄酒; 蜂蜜酒; 柑香酒;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食用酒精; 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</si>
  <si>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叙江河</t>
  </si>
  <si>
    <r>
      <t>姜明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</si>
  <si>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 xml:space="preserve">梅酒; 果酒; 威士忌; 米酒;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</si>
  <si>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开酣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</si>
  <si>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厚德上医生命科学有限公司</t>
    </r>
  </si>
  <si>
    <r>
      <t xml:space="preserve">葡萄酒;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米酒</t>
    </r>
  </si>
  <si>
    <r>
      <t>朋自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方</t>
    </r>
  </si>
  <si>
    <r>
      <t>曲阜孔府家酒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造有限公司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</si>
  <si>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</si>
  <si>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福惠良</t>
    </r>
    <r>
      <rPr>
        <sz val="11"/>
        <color theme="1"/>
        <rFont val="ＭＳ Ｐゴシック"/>
        <family val="3"/>
        <charset val="134"/>
        <scheme val="minor"/>
      </rPr>
      <t>济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</si>
  <si>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州良</t>
    </r>
    <r>
      <rPr>
        <sz val="11"/>
        <color theme="1"/>
        <rFont val="ＭＳ Ｐゴシック"/>
        <family val="3"/>
        <charset val="134"/>
        <scheme val="minor"/>
      </rPr>
      <t>济农业</t>
    </r>
    <r>
      <rPr>
        <sz val="11"/>
        <color theme="1"/>
        <rFont val="ＭＳ Ｐゴシック"/>
        <family val="3"/>
        <charset val="128"/>
        <scheme val="minor"/>
      </rPr>
      <t>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</si>
  <si>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青稞酒; 葡萄酒; 米酒; 果酒（含酒精）</t>
    </r>
  </si>
  <si>
    <r>
      <t>航之</t>
    </r>
    <r>
      <rPr>
        <sz val="11"/>
        <color theme="1"/>
        <rFont val="ＭＳ Ｐゴシック"/>
        <family val="3"/>
        <charset val="134"/>
        <scheme val="minor"/>
      </rPr>
      <t>蓝</t>
    </r>
  </si>
  <si>
    <r>
      <t>宿州市</t>
    </r>
    <r>
      <rPr>
        <sz val="11"/>
        <color theme="1"/>
        <rFont val="ＭＳ Ｐゴシック"/>
        <family val="3"/>
        <charset val="134"/>
        <scheme val="minor"/>
      </rPr>
      <t>诗</t>
    </r>
    <r>
      <rPr>
        <sz val="11"/>
        <color theme="1"/>
        <rFont val="ＭＳ Ｐゴシック"/>
        <family val="3"/>
        <charset val="128"/>
        <scheme val="minor"/>
      </rPr>
      <t>和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方生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</si>
  <si>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青梅酒;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青稞酒; 果酒（含酒精）;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</si>
  <si>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封匠年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</si>
  <si>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果酒（含酒精）; 白酒; 葡萄酒</t>
    </r>
  </si>
  <si>
    <t>中洲疆域</t>
  </si>
  <si>
    <r>
      <t>北京神州卓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</si>
  <si>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食用酒精; 汽酒; 蒸煮提取物（利口酒和烈酒）;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</si>
  <si>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扎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布拉</t>
    </r>
  </si>
  <si>
    <r>
      <t>湟源天明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牧开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</si>
  <si>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</t>
    </r>
  </si>
  <si>
    <r>
      <t>曹四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酒坊</t>
    </r>
  </si>
  <si>
    <r>
      <t>姚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莉</t>
    </r>
  </si>
  <si>
    <r>
      <t>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苦味酒; 米酒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</si>
  <si>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润华</t>
    </r>
    <r>
      <rPr>
        <sz val="11"/>
        <color theme="1"/>
        <rFont val="ＭＳ Ｐゴシック"/>
        <family val="3"/>
        <charset val="128"/>
        <scheme val="minor"/>
      </rPr>
      <t>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</si>
  <si>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清酒; 果酒;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葡萄酒</t>
    </r>
  </si>
  <si>
    <r>
      <t>熙</t>
    </r>
    <r>
      <rPr>
        <sz val="11"/>
        <color theme="1"/>
        <rFont val="ＭＳ Ｐゴシック"/>
        <family val="3"/>
        <charset val="134"/>
        <scheme val="minor"/>
      </rPr>
      <t>泷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</si>
  <si>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州喜秧粮油有限公司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</si>
  <si>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开胃酒; 果酒（含酒精）; 白酒; 米酒; 食用酒精;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</t>
    </r>
  </si>
  <si>
    <t>舍道仁</t>
  </si>
  <si>
    <t>李运中</t>
  </si>
  <si>
    <r>
      <t>开胃酒;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</si>
  <si>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和發信</t>
  </si>
  <si>
    <r>
      <t>杭州和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信健康科技有限公司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</si>
  <si>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</si>
  <si>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安第斯之光</t>
  </si>
  <si>
    <r>
      <t>帕高葡萄酒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易（上海）有限公司</t>
    </r>
  </si>
  <si>
    <r>
      <t>餐后酒（利口酒和烈酒）;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清酒（日本米酒）; 白酒; 果酒; 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</si>
  <si>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食文</t>
    </r>
    <r>
      <rPr>
        <sz val="11"/>
        <color theme="1"/>
        <rFont val="ＭＳ Ｐゴシック"/>
        <family val="3"/>
        <charset val="134"/>
        <scheme val="minor"/>
      </rPr>
      <t>荟</t>
    </r>
  </si>
  <si>
    <r>
      <t>中食数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(</t>
    </r>
    <r>
      <rPr>
        <sz val="11"/>
        <color theme="1"/>
        <rFont val="ＭＳ Ｐゴシック"/>
        <family val="3"/>
        <charset val="134"/>
        <scheme val="minor"/>
      </rPr>
      <t>陕</t>
    </r>
    <r>
      <rPr>
        <sz val="11"/>
        <color theme="1"/>
        <rFont val="ＭＳ Ｐゴシック"/>
        <family val="3"/>
        <charset val="128"/>
        <scheme val="minor"/>
      </rPr>
      <t>西)科技有限公司</t>
    </r>
  </si>
  <si>
    <r>
      <t xml:space="preserve">白酒; 葡萄酒; 米酒; 黄酒;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食用酒精;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</si>
  <si>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金花奢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</si>
  <si>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袁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国</t>
    </r>
  </si>
  <si>
    <r>
      <t xml:space="preserve">食用酒精;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</t>
    </r>
  </si>
  <si>
    <r>
      <t>天使之</t>
    </r>
    <r>
      <rPr>
        <sz val="11"/>
        <color theme="1"/>
        <rFont val="ＭＳ Ｐゴシック"/>
        <family val="3"/>
        <charset val="134"/>
        <scheme val="minor"/>
      </rPr>
      <t>雾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</si>
  <si>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沧</t>
    </r>
    <r>
      <rPr>
        <sz val="11"/>
        <color theme="1"/>
        <rFont val="ＭＳ Ｐゴシック"/>
        <family val="3"/>
        <charset val="128"/>
        <scheme val="minor"/>
      </rPr>
      <t>海笑商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</si>
  <si>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伏特加酒; 清酒;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</t>
    </r>
  </si>
  <si>
    <t>仁渡酒庄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</si>
  <si>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州仁渡酒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</si>
  <si>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威士忌</t>
    </r>
  </si>
  <si>
    <t>与山行</t>
  </si>
  <si>
    <r>
      <t>宁夏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涛酒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</si>
  <si>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果酒; 白酒; 米酒; 伏特加酒;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</si>
  <si>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厨多</t>
    </r>
    <r>
      <rPr>
        <sz val="11"/>
        <color theme="1"/>
        <rFont val="ＭＳ Ｐゴシック"/>
        <family val="3"/>
        <charset val="129"/>
        <scheme val="minor"/>
      </rPr>
      <t>褔</t>
    </r>
  </si>
  <si>
    <r>
      <t>伍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玉</t>
    </r>
  </si>
  <si>
    <r>
      <t>开胃酒;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果酒（含酒精）; 米酒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</si>
  <si>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王吟</t>
    </r>
    <r>
      <rPr>
        <sz val="11"/>
        <color theme="1"/>
        <rFont val="ＭＳ Ｐゴシック"/>
        <family val="3"/>
        <charset val="134"/>
        <scheme val="minor"/>
      </rPr>
      <t>龙坛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</si>
  <si>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州吾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</si>
  <si>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清酒; 白酒;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</si>
  <si>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半生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运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</si>
  <si>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黄酒; 食用酒精;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</si>
  <si>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生半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</si>
  <si>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露酒; 黄酒; 果酒（含酒精）;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</si>
  <si>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屾</t>
    </r>
    <r>
      <rPr>
        <sz val="11"/>
        <color theme="1"/>
        <rFont val="ＭＳ Ｐゴシック"/>
        <family val="3"/>
        <charset val="128"/>
        <scheme val="minor"/>
      </rPr>
      <t>溪堂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</si>
  <si>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威登医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</si>
  <si>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食用酒精;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威士忌; 白酒</t>
    </r>
  </si>
  <si>
    <t>道玄山</t>
  </si>
  <si>
    <t>何海霞</t>
  </si>
  <si>
    <r>
      <t xml:space="preserve">白酒; 葡萄酒;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</si>
  <si>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州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珍台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</si>
  <si>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开胃酒; 清酒（日本米酒）; 米酒; 食用酒精</t>
    </r>
  </si>
  <si>
    <r>
      <t>叹</t>
    </r>
    <r>
      <rPr>
        <sz val="11"/>
        <color theme="1"/>
        <rFont val="ＭＳ Ｐゴシック"/>
        <family val="3"/>
        <charset val="128"/>
        <scheme val="minor"/>
      </rPr>
      <t>江河</t>
    </r>
  </si>
  <si>
    <r>
      <t>威士忌;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梅酒; 白酒; 葡萄酒</t>
    </r>
  </si>
  <si>
    <t>臻·那拉王酒</t>
  </si>
  <si>
    <t>赵华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</si>
  <si>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果酒; 烈酒;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</si>
  <si>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漠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唐</t>
    </r>
  </si>
  <si>
    <t>王靖雯</t>
  </si>
  <si>
    <r>
      <t xml:space="preserve">朗姆酒;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蜂蜜酒; 威士忌; 白酒; 米酒; 清酒; 果酒（含酒精）</t>
    </r>
  </si>
  <si>
    <t>君典天下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</si>
  <si>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食用酒精</t>
    </r>
  </si>
  <si>
    <r>
      <t>君典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承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</si>
  <si>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</si>
  <si>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君典</t>
    </r>
    <r>
      <rPr>
        <sz val="11"/>
        <color theme="1"/>
        <rFont val="ＭＳ Ｐゴシック"/>
        <family val="3"/>
        <charset val="134"/>
        <scheme val="minor"/>
      </rPr>
      <t>陈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</si>
  <si>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</si>
  <si>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ATHELAS</t>
  </si>
  <si>
    <r>
      <t>苏</t>
    </r>
    <r>
      <rPr>
        <sz val="11"/>
        <color theme="1"/>
        <rFont val="ＭＳ Ｐゴシック"/>
        <family val="3"/>
        <charset val="128"/>
        <scheme val="minor"/>
      </rPr>
      <t>州正源中医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研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</si>
  <si>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葡萄酒;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</si>
  <si>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伊</t>
    </r>
    <r>
      <rPr>
        <sz val="11"/>
        <color theme="1"/>
        <rFont val="ＭＳ Ｐゴシック"/>
        <family val="3"/>
        <charset val="134"/>
        <scheme val="minor"/>
      </rPr>
      <t>鹤</t>
    </r>
    <r>
      <rPr>
        <sz val="11"/>
        <color theme="1"/>
        <rFont val="ＭＳ Ｐゴシック"/>
        <family val="3"/>
        <charset val="128"/>
        <scheme val="minor"/>
      </rPr>
      <t>堂</t>
    </r>
  </si>
  <si>
    <r>
      <t>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</si>
  <si>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黔庄人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</si>
  <si>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州百年黔庄酒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</si>
  <si>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烈酒; 高粱酒;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</si>
  <si>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问骄</t>
    </r>
    <r>
      <rPr>
        <sz val="11"/>
        <color theme="1"/>
        <rFont val="ＭＳ Ｐゴシック"/>
        <family val="3"/>
        <charset val="128"/>
        <scheme val="minor"/>
      </rPr>
      <t>子</t>
    </r>
  </si>
  <si>
    <t>刘恒</t>
  </si>
  <si>
    <r>
      <t xml:space="preserve">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</si>
  <si>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三道岩</t>
  </si>
  <si>
    <r>
      <t>向</t>
    </r>
    <r>
      <rPr>
        <sz val="11"/>
        <color theme="1"/>
        <rFont val="ＭＳ Ｐゴシック"/>
        <family val="3"/>
        <charset val="134"/>
        <scheme val="minor"/>
      </rPr>
      <t>远军</t>
    </r>
  </si>
  <si>
    <r>
      <t>蜂蜜酒;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米酒;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</si>
  <si>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牧疆人</t>
  </si>
  <si>
    <t>王永</t>
  </si>
  <si>
    <r>
      <t xml:space="preserve">伏特加酒; 烈酒; 果酒; 白酒; 高粱酒;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甜酒</t>
    </r>
  </si>
  <si>
    <r>
      <t>国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易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（上海）生物科技有限公司</t>
    </r>
  </si>
  <si>
    <r>
      <t>食用酒精; 葡萄酒;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</si>
  <si>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渎济</t>
    </r>
    <r>
      <rPr>
        <sz val="11"/>
        <color theme="1"/>
        <rFont val="ＭＳ Ｐゴシック"/>
        <family val="3"/>
        <charset val="128"/>
        <scheme val="minor"/>
      </rPr>
      <t>佳</t>
    </r>
    <r>
      <rPr>
        <sz val="11"/>
        <color theme="1"/>
        <rFont val="ＭＳ Ｐゴシック"/>
        <family val="3"/>
        <charset val="134"/>
        <scheme val="minor"/>
      </rPr>
      <t>酿</t>
    </r>
  </si>
  <si>
    <t>巩光阳</t>
  </si>
  <si>
    <r>
      <t>米酒; 开胃酒; 烈酒;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含酒精的气泡水; 白酒; 葡萄酒</t>
    </r>
  </si>
  <si>
    <t>皇家乾</t>
  </si>
  <si>
    <r>
      <t xml:space="preserve">果酒（含酒精）; 白酒;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蜂蜜酒</t>
    </r>
  </si>
  <si>
    <t>老城北</t>
  </si>
  <si>
    <r>
      <t>丁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梅</t>
    </r>
  </si>
  <si>
    <r>
      <t xml:space="preserve">朗姆酒;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葡萄汽酒;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米酒; 果酒</t>
    </r>
  </si>
  <si>
    <r>
      <t>曲小</t>
    </r>
    <r>
      <rPr>
        <sz val="11"/>
        <color theme="1"/>
        <rFont val="ＭＳ Ｐゴシック"/>
        <family val="3"/>
        <charset val="129"/>
        <scheme val="minor"/>
      </rPr>
      <t>强</t>
    </r>
  </si>
  <si>
    <t>黄秀梅</t>
  </si>
  <si>
    <r>
      <t xml:space="preserve">白酒;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烈酒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</si>
  <si>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果酒（含酒精）; 汽酒;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</si>
  <si>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t>岳清花</t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</si>
  <si>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高粱酒; 薄荷酒; 梨酒; 烈性干酒;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露酒; 白干酒（中国白酒）; 白酒</t>
    </r>
  </si>
  <si>
    <r>
      <t>浆</t>
    </r>
    <r>
      <rPr>
        <sz val="11"/>
        <color theme="1"/>
        <rFont val="ＭＳ Ｐゴシック"/>
        <family val="3"/>
        <charset val="128"/>
        <scheme val="minor"/>
      </rPr>
      <t>凰一品</t>
    </r>
  </si>
  <si>
    <t>张赛赛</t>
  </si>
  <si>
    <r>
      <t>白干酒（中国白酒）; 高粱酒; 米酒; 果酒; 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烈酒; 杜松子酒; 白酒</t>
    </r>
  </si>
  <si>
    <t>初依</t>
  </si>
  <si>
    <r>
      <t>乔</t>
    </r>
    <r>
      <rPr>
        <sz val="11"/>
        <color theme="1"/>
        <rFont val="ＭＳ Ｐゴシック"/>
        <family val="3"/>
        <charset val="128"/>
        <scheme val="minor"/>
      </rPr>
      <t>金生</t>
    </r>
  </si>
  <si>
    <r>
      <t>开胃酒; 葡萄酒; 清酒（日本米酒）; 黄酒; 果酒;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</t>
    </r>
  </si>
  <si>
    <t>喜月是吉</t>
  </si>
  <si>
    <t>刘馨阳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</si>
  <si>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含酒精的气泡水;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</si>
  <si>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RED SHIFT</t>
  </si>
  <si>
    <r>
      <t>甜酒;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</si>
  <si>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DMMC</t>
  </si>
  <si>
    <r>
      <t>通化市大明牧</t>
    </r>
    <r>
      <rPr>
        <sz val="11"/>
        <color theme="1"/>
        <rFont val="ＭＳ Ｐゴシック"/>
        <family val="3"/>
        <charset val="134"/>
        <scheme val="minor"/>
      </rPr>
      <t>场</t>
    </r>
    <r>
      <rPr>
        <sz val="11"/>
        <color theme="1"/>
        <rFont val="ＭＳ Ｐゴシック"/>
        <family val="3"/>
        <charset val="128"/>
        <scheme val="minor"/>
      </rPr>
      <t>休</t>
    </r>
    <r>
      <rPr>
        <sz val="11"/>
        <color theme="1"/>
        <rFont val="ＭＳ Ｐゴシック"/>
        <family val="3"/>
        <charset val="134"/>
        <scheme val="minor"/>
      </rPr>
      <t>闲农业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</si>
  <si>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果酒（含酒精）; 米酒; 露酒;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伏特加酒; 葡萄酒</t>
    </r>
  </si>
  <si>
    <r>
      <t>宫</t>
    </r>
    <r>
      <rPr>
        <sz val="11"/>
        <color theme="1"/>
        <rFont val="ＭＳ Ｐゴシック"/>
        <family val="3"/>
        <charset val="128"/>
        <scheme val="minor"/>
      </rPr>
      <t>古酒</t>
    </r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</si>
  <si>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汽酒; 白酒; 黄酒</t>
    </r>
  </si>
  <si>
    <r>
      <t>腾</t>
    </r>
    <r>
      <rPr>
        <sz val="11"/>
        <color theme="1"/>
        <rFont val="ＭＳ Ｐゴシック"/>
        <family val="3"/>
        <charset val="128"/>
        <scheme val="minor"/>
      </rPr>
      <t>日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</si>
  <si>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宏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</si>
  <si>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开胃酒; 清酒（日本米酒）; 黄酒</t>
    </r>
  </si>
  <si>
    <t>田米九</t>
  </si>
  <si>
    <r>
      <t>四川中恩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新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</si>
  <si>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苦味酒; 开胃酒; 葡萄酒; 白酒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</si>
  <si>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七品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</si>
  <si>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青稞酒; 食用酒精;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果酒（含酒精）; 米酒; 汽酒</t>
    </r>
  </si>
  <si>
    <r>
      <t>半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生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</si>
  <si>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露酒; 青稞酒;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</si>
  <si>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生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半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</si>
  <si>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露酒</t>
    </r>
  </si>
  <si>
    <t>罍喜</t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</si>
  <si>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</si>
  <si>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r>
      <t>肆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礼洛</t>
    </r>
  </si>
  <si>
    <t>刘珍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</si>
  <si>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薄荷酒</t>
    </r>
  </si>
  <si>
    <r>
      <t>宁都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永生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</si>
  <si>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葡萄酒; 薄荷酒; 威士忌</t>
    </r>
  </si>
  <si>
    <t>FSK</t>
  </si>
  <si>
    <t>范少科</t>
  </si>
  <si>
    <r>
      <t>葡萄酒; 白酒; 米酒; 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</si>
  <si>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澳威</t>
    </r>
    <r>
      <rPr>
        <sz val="11"/>
        <color theme="1"/>
        <rFont val="ＭＳ Ｐゴシック"/>
        <family val="3"/>
        <charset val="134"/>
        <scheme val="minor"/>
      </rPr>
      <t>仑</t>
    </r>
    <r>
      <rPr>
        <sz val="11"/>
        <color theme="1"/>
        <rFont val="ＭＳ Ｐゴシック"/>
        <family val="3"/>
        <charset val="128"/>
        <scheme val="minor"/>
      </rPr>
      <t xml:space="preserve"> OURWAYLUM</t>
    </r>
  </si>
  <si>
    <r>
      <t>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清酒（日本米酒）; 果酒（含酒精）; 开胃酒; 黄酒</t>
    </r>
  </si>
  <si>
    <t>POTDEMIEL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</si>
  <si>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萌萌族</t>
    </r>
    <r>
      <rPr>
        <sz val="11"/>
        <color theme="1"/>
        <rFont val="ＭＳ Ｐゴシック"/>
        <family val="3"/>
        <charset val="134"/>
        <scheme val="minor"/>
      </rPr>
      <t>动</t>
    </r>
    <r>
      <rPr>
        <sz val="11"/>
        <color theme="1"/>
        <rFont val="ＭＳ Ｐゴシック"/>
        <family val="3"/>
        <charset val="128"/>
        <scheme val="minor"/>
      </rPr>
      <t>漫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</si>
  <si>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含酒精的气泡水;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</si>
  <si>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t>承杰</t>
  </si>
  <si>
    <r>
      <t>李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岩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</si>
  <si>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开胃酒; 威士忌; 食用酒精; 黄酒; 果酒（含酒精）</t>
    </r>
  </si>
  <si>
    <t>何以在地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</si>
  <si>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在地文化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</si>
  <si>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米酒; 果酒（含酒精）; 薄荷酒; 清酒（日本米酒）</t>
    </r>
  </si>
  <si>
    <r>
      <t>沂蒙演</t>
    </r>
    <r>
      <rPr>
        <sz val="11"/>
        <color theme="1"/>
        <rFont val="ＭＳ Ｐゴシック"/>
        <family val="3"/>
        <charset val="134"/>
        <scheme val="minor"/>
      </rPr>
      <t>义</t>
    </r>
  </si>
  <si>
    <t>关宇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</si>
  <si>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高粱酒; 开胃酒;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米酒; 白酒</t>
    </r>
  </si>
  <si>
    <r>
      <t>姬</t>
    </r>
    <r>
      <rPr>
        <sz val="11"/>
        <color theme="1"/>
        <rFont val="ＭＳ Ｐゴシック"/>
        <family val="3"/>
        <charset val="128"/>
        <scheme val="minor"/>
      </rPr>
      <t>尾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</si>
  <si>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健</t>
    </r>
    <r>
      <rPr>
        <sz val="11"/>
        <color theme="1"/>
        <rFont val="ＭＳ Ｐゴシック"/>
        <family val="3"/>
        <charset val="134"/>
        <scheme val="minor"/>
      </rPr>
      <t>鹰</t>
    </r>
    <r>
      <rPr>
        <sz val="11"/>
        <color theme="1"/>
        <rFont val="ＭＳ Ｐゴシック"/>
        <family val="3"/>
        <charset val="128"/>
        <scheme val="minor"/>
      </rPr>
      <t>食品科技有限公司</t>
    </r>
  </si>
  <si>
    <r>
      <t>烈酒; 甜酒; 朗姆酒;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伏特加酒</t>
    </r>
  </si>
  <si>
    <t>喜笑嘉年</t>
  </si>
  <si>
    <r>
      <t>南通添喜养老服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</si>
  <si>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烈酒;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葡萄酒</t>
    </r>
  </si>
  <si>
    <r>
      <t>本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激</t>
    </r>
    <r>
      <rPr>
        <sz val="11"/>
        <color theme="1"/>
        <rFont val="ＭＳ Ｐゴシック"/>
        <family val="3"/>
        <charset val="134"/>
        <scheme val="minor"/>
      </rPr>
      <t>荡</t>
    </r>
    <r>
      <rPr>
        <sz val="11"/>
        <color theme="1"/>
        <rFont val="ＭＳ Ｐゴシック"/>
        <family val="3"/>
        <charset val="128"/>
        <scheme val="minor"/>
      </rPr>
      <t>臻藏</t>
    </r>
  </si>
  <si>
    <r>
      <t>杭州本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</si>
  <si>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清酒（日本米酒）; 果酒（含酒精）;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威士忌;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</t>
    </r>
  </si>
  <si>
    <t>沈子格局</t>
  </si>
  <si>
    <r>
      <t>临</t>
    </r>
    <r>
      <rPr>
        <sz val="11"/>
        <color theme="1"/>
        <rFont val="ＭＳ Ｐゴシック"/>
        <family val="3"/>
        <charset val="128"/>
        <scheme val="minor"/>
      </rPr>
      <t>沂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哈教育科技有限公司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</si>
  <si>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米酒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</si>
  <si>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移</t>
    </r>
  </si>
  <si>
    <r>
      <t>甜酒; 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苹果酒</t>
    </r>
  </si>
  <si>
    <r>
      <t>本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激</t>
    </r>
    <r>
      <rPr>
        <sz val="11"/>
        <color theme="1"/>
        <rFont val="ＭＳ Ｐゴシック"/>
        <family val="3"/>
        <charset val="134"/>
        <scheme val="minor"/>
      </rPr>
      <t>荡鉴</t>
    </r>
    <r>
      <rPr>
        <sz val="11"/>
        <color theme="1"/>
        <rFont val="ＭＳ Ｐゴシック"/>
        <family val="3"/>
        <charset val="128"/>
        <scheme val="minor"/>
      </rPr>
      <t>藏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</si>
  <si>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威士忌; 果酒（含酒精）; 高粱酒; 利口酒; 清酒（日本米酒）</t>
    </r>
  </si>
  <si>
    <t>旺之坊</t>
  </si>
  <si>
    <r>
      <t>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薄荷酒;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利口酒; 餐后酒（利口酒和烈酒）; 米酒; 梨酒</t>
    </r>
  </si>
  <si>
    <r>
      <t>杏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映月</t>
    </r>
  </si>
  <si>
    <r>
      <t xml:space="preserve">苹果酒;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草莓酒; 白干酒（中国白酒）; 薄荷酒; 清酒; 白酒; 甜果酒;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</si>
  <si>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</si>
  <si>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周府福</t>
  </si>
  <si>
    <t>邹庆</t>
  </si>
  <si>
    <r>
      <t>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白酒;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米酒</t>
    </r>
  </si>
  <si>
    <t>绍跃红</t>
  </si>
  <si>
    <r>
      <t>中</t>
    </r>
    <r>
      <rPr>
        <sz val="11"/>
        <color theme="1"/>
        <rFont val="ＭＳ Ｐゴシック"/>
        <family val="3"/>
        <charset val="134"/>
        <scheme val="minor"/>
      </rPr>
      <t>跃</t>
    </r>
    <r>
      <rPr>
        <sz val="11"/>
        <color theme="1"/>
        <rFont val="ＭＳ Ｐゴシック"/>
        <family val="3"/>
        <charset val="128"/>
        <scheme val="minor"/>
      </rPr>
      <t>（浙江）食品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</si>
  <si>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茴香酒（利口酒）; 果酒（含酒精）;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</si>
  <si>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福</t>
    </r>
    <r>
      <rPr>
        <sz val="11"/>
        <color theme="1"/>
        <rFont val="ＭＳ Ｐゴシック"/>
        <family val="3"/>
        <charset val="129"/>
        <scheme val="minor"/>
      </rPr>
      <t>屾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</si>
  <si>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米酒;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利口酒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</si>
  <si>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派土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</si>
  <si>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豪</t>
    </r>
  </si>
  <si>
    <r>
      <t>清酒;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米酒;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果酒（含酒精）</t>
    </r>
  </si>
  <si>
    <r>
      <t>甘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池</t>
    </r>
  </si>
  <si>
    <t>吴耀宗</t>
  </si>
  <si>
    <r>
      <t>米酒; 梅酒; 白酒; 黄酒;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烈酒; 甜酒; 高粱酒; 白干酒（中国白酒）</t>
    </r>
  </si>
  <si>
    <r>
      <t>风</t>
    </r>
    <r>
      <rPr>
        <sz val="11"/>
        <color theme="1"/>
        <rFont val="ＭＳ Ｐゴシック"/>
        <family val="3"/>
        <charset val="128"/>
        <scheme val="minor"/>
      </rPr>
      <t>清喜悦</t>
    </r>
  </si>
  <si>
    <r>
      <t>安徽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清</t>
    </r>
    <r>
      <rPr>
        <sz val="11"/>
        <color theme="1"/>
        <rFont val="ＭＳ Ｐゴシック"/>
        <family val="3"/>
        <charset val="134"/>
        <scheme val="minor"/>
      </rPr>
      <t>扬</t>
    </r>
    <r>
      <rPr>
        <sz val="11"/>
        <color theme="1"/>
        <rFont val="ＭＳ Ｐゴシック"/>
        <family val="3"/>
        <charset val="128"/>
        <scheme val="minor"/>
      </rPr>
      <t>品牌管理股份有限公司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</si>
  <si>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威士忌; 黄酒;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</si>
  <si>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圣海山</t>
  </si>
  <si>
    <r>
      <t>王</t>
    </r>
    <r>
      <rPr>
        <sz val="11"/>
        <color theme="1"/>
        <rFont val="ＭＳ Ｐゴシック"/>
        <family val="3"/>
        <charset val="134"/>
        <scheme val="minor"/>
      </rPr>
      <t>铎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</si>
  <si>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果酒（含酒精）;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</t>
    </r>
  </si>
  <si>
    <t>莱良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</si>
  <si>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莱西</t>
    </r>
    <r>
      <rPr>
        <sz val="11"/>
        <color theme="1"/>
        <rFont val="ＭＳ Ｐゴシック"/>
        <family val="3"/>
        <charset val="134"/>
        <scheme val="minor"/>
      </rPr>
      <t>军</t>
    </r>
    <r>
      <rPr>
        <sz val="11"/>
        <color theme="1"/>
        <rFont val="ＭＳ Ｐゴシック"/>
        <family val="3"/>
        <charset val="128"/>
        <scheme val="minor"/>
      </rPr>
      <t>粮供</t>
    </r>
    <r>
      <rPr>
        <sz val="11"/>
        <color theme="1"/>
        <rFont val="ＭＳ Ｐゴシック"/>
        <family val="3"/>
        <charset val="134"/>
        <scheme val="minor"/>
      </rPr>
      <t>应</t>
    </r>
    <r>
      <rPr>
        <sz val="11"/>
        <color theme="1"/>
        <rFont val="ＭＳ Ｐゴシック"/>
        <family val="3"/>
        <charset val="128"/>
        <scheme val="minor"/>
      </rPr>
      <t>站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</si>
  <si>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水果汽酒;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日本梅子酒; 果酒（含酒精）; 黄酒</t>
    </r>
  </si>
  <si>
    <r>
      <t>满</t>
    </r>
    <r>
      <rPr>
        <sz val="11"/>
        <color theme="1"/>
        <rFont val="ＭＳ Ｐゴシック"/>
        <family val="3"/>
        <charset val="128"/>
        <scheme val="minor"/>
      </rPr>
      <t>吉楼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</si>
  <si>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东满</t>
    </r>
    <r>
      <rPr>
        <sz val="11"/>
        <color theme="1"/>
        <rFont val="ＭＳ Ｐゴシック"/>
        <family val="3"/>
        <charset val="128"/>
        <scheme val="minor"/>
      </rPr>
      <t>吉楼餐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</si>
  <si>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</si>
  <si>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t>TOCV</t>
  </si>
  <si>
    <r>
      <t>上海滔成</t>
    </r>
    <r>
      <rPr>
        <sz val="11"/>
        <color theme="1"/>
        <rFont val="ＭＳ Ｐゴシック"/>
        <family val="3"/>
        <charset val="134"/>
        <scheme val="minor"/>
      </rPr>
      <t>阀门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</si>
  <si>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苹果酒; 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</t>
    </r>
  </si>
  <si>
    <t>玺赞红</t>
  </si>
  <si>
    <r>
      <t>宁夏源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枸杞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</si>
  <si>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朗姆酒; 汽酒; 威士忌;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</si>
  <si>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楚柔雅</t>
  </si>
  <si>
    <r>
      <t>十堰市无有舍得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</si>
  <si>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</t>
    </r>
  </si>
  <si>
    <r>
      <t>汣</t>
    </r>
    <r>
      <rPr>
        <sz val="11"/>
        <color theme="1"/>
        <rFont val="ＭＳ Ｐゴシック"/>
        <family val="3"/>
        <charset val="128"/>
        <scheme val="minor"/>
      </rPr>
      <t>粮香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</si>
  <si>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洪杰</t>
    </r>
  </si>
  <si>
    <r>
      <t xml:space="preserve">白酒; 威士忌; 果酒（含酒精）; 葡萄酒; 开胃酒; 食用酒精;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</t>
    </r>
  </si>
  <si>
    <r>
      <t>本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激</t>
    </r>
    <r>
      <rPr>
        <sz val="11"/>
        <color theme="1"/>
        <rFont val="ＭＳ Ｐゴシック"/>
        <family val="3"/>
        <charset val="134"/>
        <scheme val="minor"/>
      </rPr>
      <t>荡经</t>
    </r>
    <r>
      <rPr>
        <sz val="11"/>
        <color theme="1"/>
        <rFont val="ＭＳ Ｐゴシック"/>
        <family val="3"/>
        <charset val="128"/>
        <scheme val="minor"/>
      </rPr>
      <t>典版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</si>
  <si>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果酒（含酒精）; 清酒（日本米酒）; 高粱酒;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利口酒</t>
    </r>
  </si>
  <si>
    <r>
      <t>总</t>
    </r>
    <r>
      <rPr>
        <sz val="11"/>
        <color theme="1"/>
        <rFont val="ＭＳ Ｐゴシック"/>
        <family val="3"/>
        <charset val="128"/>
        <scheme val="minor"/>
      </rPr>
      <t>站</t>
    </r>
  </si>
  <si>
    <r>
      <t>广州茅云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香洒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</si>
  <si>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果酒（含酒精）;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白酒</t>
    </r>
  </si>
  <si>
    <r>
      <t>晋方</t>
    </r>
    <r>
      <rPr>
        <sz val="11"/>
        <color theme="1"/>
        <rFont val="ＭＳ Ｐゴシック"/>
        <family val="3"/>
        <charset val="134"/>
        <scheme val="minor"/>
      </rPr>
      <t>圆</t>
    </r>
  </si>
  <si>
    <r>
      <t>清酒;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</si>
  <si>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王吟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尊</t>
    </r>
  </si>
  <si>
    <r>
      <t xml:space="preserve">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</si>
  <si>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早相逢</t>
  </si>
  <si>
    <r>
      <t>白酒; 伏特加酒; 米酒;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葡萄酒; 黄酒</t>
    </r>
  </si>
  <si>
    <r>
      <t>贺岁</t>
    </r>
    <r>
      <rPr>
        <sz val="11"/>
        <color theme="1"/>
        <rFont val="ＭＳ Ｐゴシック"/>
        <family val="3"/>
        <charset val="128"/>
        <scheme val="minor"/>
      </rPr>
      <t>冠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</si>
  <si>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北京冠</t>
    </r>
    <r>
      <rPr>
        <sz val="11"/>
        <color theme="1"/>
        <rFont val="ＭＳ Ｐゴシック"/>
        <family val="3"/>
        <charset val="134"/>
        <scheme val="minor"/>
      </rPr>
      <t>军时</t>
    </r>
    <r>
      <rPr>
        <sz val="11"/>
        <color theme="1"/>
        <rFont val="ＭＳ Ｐゴシック"/>
        <family val="3"/>
        <charset val="128"/>
        <scheme val="minor"/>
      </rPr>
      <t>代商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</si>
  <si>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开胃酒;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</t>
    </r>
  </si>
  <si>
    <r>
      <t>黄酒; 果酒（含酒精）;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薄荷酒;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</si>
  <si>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艾</t>
    </r>
    <r>
      <rPr>
        <sz val="11"/>
        <color theme="1"/>
        <rFont val="ＭＳ Ｐゴシック"/>
        <family val="3"/>
        <charset val="134"/>
        <scheme val="minor"/>
      </rPr>
      <t>妈</t>
    </r>
    <r>
      <rPr>
        <sz val="11"/>
        <color theme="1"/>
        <rFont val="ＭＳ Ｐゴシック"/>
        <family val="3"/>
        <charset val="128"/>
        <scheme val="minor"/>
      </rPr>
      <t>咪艾宝</t>
    </r>
    <r>
      <rPr>
        <sz val="11"/>
        <color theme="1"/>
        <rFont val="ＭＳ Ｐゴシック"/>
        <family val="3"/>
        <charset val="134"/>
        <scheme val="minor"/>
      </rPr>
      <t>贝</t>
    </r>
  </si>
  <si>
    <r>
      <t>天津艾</t>
    </r>
    <r>
      <rPr>
        <sz val="11"/>
        <color theme="1"/>
        <rFont val="ＭＳ Ｐゴシック"/>
        <family val="3"/>
        <charset val="134"/>
        <scheme val="minor"/>
      </rPr>
      <t>妈</t>
    </r>
    <r>
      <rPr>
        <sz val="11"/>
        <color theme="1"/>
        <rFont val="ＭＳ Ｐゴシック"/>
        <family val="3"/>
        <charset val="128"/>
        <scheme val="minor"/>
      </rPr>
      <t>米艾宝</t>
    </r>
    <r>
      <rPr>
        <sz val="11"/>
        <color theme="1"/>
        <rFont val="ＭＳ Ｐゴシック"/>
        <family val="3"/>
        <charset val="134"/>
        <scheme val="minor"/>
      </rPr>
      <t>贝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</si>
  <si>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>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黄酒; 食用酒精;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葡萄酒</t>
    </r>
  </si>
  <si>
    <t>此景</t>
  </si>
  <si>
    <r>
      <t>嘉磊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就（北京）酒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</si>
  <si>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青稞酒; 黄酒; 苹果酒; 开胃酒; 米酒; 果酒（含酒精）</t>
    </r>
  </si>
  <si>
    <t>安得我</t>
  </si>
  <si>
    <r>
      <t>内蒙古众聚达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</si>
  <si>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含酒精的气泡水;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</si>
  <si>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利口酒;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</t>
    </r>
  </si>
  <si>
    <t>嵘鳄</t>
  </si>
  <si>
    <r>
      <t>广州达</t>
    </r>
    <r>
      <rPr>
        <sz val="11"/>
        <color theme="1"/>
        <rFont val="ＭＳ Ｐゴシック"/>
        <family val="3"/>
        <charset val="134"/>
        <scheme val="minor"/>
      </rPr>
      <t>宽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</si>
  <si>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食用酒精; 烈酒; 白干酒（中国白酒）;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白酒;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</si>
  <si>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晋人坊知足</t>
  </si>
  <si>
    <t>山西晋人造酒坊有限公司</t>
  </si>
  <si>
    <r>
      <t xml:space="preserve">白酒; 黄酒;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食用酒精;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</si>
  <si>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粮迎君</t>
  </si>
  <si>
    <r>
      <t>太原市万柏林区宝达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)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</si>
  <si>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白酒;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</si>
  <si>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t>梦中皇</t>
  </si>
  <si>
    <r>
      <t xml:space="preserve">清酒（日本米酒）; 餐后酒（利口酒和烈酒）; 开胃酒;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苹果酒; 葡萄酒; 白酒</t>
    </r>
  </si>
  <si>
    <t>山田夫</t>
  </si>
  <si>
    <r>
      <t>莆田市田夫</t>
    </r>
    <r>
      <rPr>
        <sz val="11"/>
        <color theme="1"/>
        <rFont val="ＭＳ Ｐゴシック"/>
        <family val="3"/>
        <charset val="134"/>
        <scheme val="minor"/>
      </rPr>
      <t>农场绿</t>
    </r>
    <r>
      <rPr>
        <sz val="11"/>
        <color theme="1"/>
        <rFont val="ＭＳ Ｐゴシック"/>
        <family val="3"/>
        <charset val="128"/>
        <scheme val="minor"/>
      </rPr>
      <t>色食品有限公司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</si>
  <si>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</si>
  <si>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贞</t>
    </r>
    <r>
      <rPr>
        <sz val="11"/>
        <color theme="1"/>
        <rFont val="ＭＳ Ｐゴシック"/>
        <family val="3"/>
        <charset val="128"/>
        <scheme val="minor"/>
      </rPr>
      <t>提利斯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</si>
  <si>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贞</t>
    </r>
    <r>
      <rPr>
        <sz val="11"/>
        <color theme="1"/>
        <rFont val="ＭＳ Ｐゴシック"/>
        <family val="3"/>
        <charset val="128"/>
        <scheme val="minor"/>
      </rPr>
      <t>提利斯酒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</si>
  <si>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含酒精的气泡水;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葡萄汽酒</t>
    </r>
  </si>
  <si>
    <r>
      <t>凤鸣</t>
    </r>
    <r>
      <rPr>
        <sz val="11"/>
        <color theme="1"/>
        <rFont val="ＭＳ Ｐゴシック"/>
        <family val="3"/>
        <charset val="128"/>
        <scheme val="minor"/>
      </rPr>
      <t>何尊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</si>
  <si>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志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</si>
  <si>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 xml:space="preserve">果酒（含酒精）;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</si>
  <si>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t>林少玉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</si>
  <si>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慧眼福</t>
    </r>
    <r>
      <rPr>
        <sz val="11"/>
        <color theme="1"/>
        <rFont val="ＭＳ Ｐゴシック"/>
        <family val="3"/>
        <charset val="134"/>
        <scheme val="minor"/>
      </rPr>
      <t>鹰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</si>
  <si>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甜酒; 果酒; 米酒; 白酒; 烈酒</t>
    </r>
  </si>
  <si>
    <t>京丰大方瓶</t>
  </si>
  <si>
    <r>
      <t>张</t>
    </r>
    <r>
      <rPr>
        <sz val="11"/>
        <color theme="1"/>
        <rFont val="ＭＳ Ｐゴシック"/>
        <family val="3"/>
        <charset val="128"/>
        <scheme val="minor"/>
      </rPr>
      <t>崇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</si>
  <si>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白酒</t>
    </r>
  </si>
  <si>
    <t>川阿公</t>
  </si>
  <si>
    <t>吴文启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</si>
  <si>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白干酒（中国白酒）; 威士忌; 清酒（日本米酒）;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葡萄酒; 米酒</t>
    </r>
  </si>
  <si>
    <t>啤有引力</t>
  </si>
  <si>
    <r>
      <t>南京啤册文化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</si>
  <si>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威士忌; 烈酒;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黄酒; 清酒</t>
    </r>
  </si>
  <si>
    <r>
      <t>联动</t>
    </r>
    <r>
      <rPr>
        <sz val="11"/>
        <color theme="1"/>
        <rFont val="ＭＳ Ｐゴシック"/>
        <family val="3"/>
        <charset val="128"/>
        <scheme val="minor"/>
      </rPr>
      <t>易</t>
    </r>
    <r>
      <rPr>
        <sz val="11"/>
        <color theme="1"/>
        <rFont val="ＭＳ Ｐゴシック"/>
        <family val="3"/>
        <charset val="134"/>
        <scheme val="minor"/>
      </rPr>
      <t>创</t>
    </r>
  </si>
  <si>
    <r>
      <t>成都黑</t>
    </r>
    <r>
      <rPr>
        <sz val="11"/>
        <color theme="1"/>
        <rFont val="ＭＳ Ｐゴシック"/>
        <family val="3"/>
        <charset val="134"/>
        <scheme val="minor"/>
      </rPr>
      <t>银链动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</si>
  <si>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酸酒（低等葡萄酒）;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威士忌; 苹果酒;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</si>
  <si>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果酒（含酒精）; 黄酒; 薄荷酒;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威士忌</t>
    </r>
  </si>
  <si>
    <r>
      <t>京台酒</t>
    </r>
    <r>
      <rPr>
        <sz val="11"/>
        <color theme="1"/>
        <rFont val="ＭＳ Ｐゴシック"/>
        <family val="3"/>
        <charset val="134"/>
        <scheme val="minor"/>
      </rPr>
      <t>泺汇</t>
    </r>
  </si>
  <si>
    <r>
      <t>北京酒追誉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</si>
  <si>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白干酒（中国白酒）;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</t>
    </r>
  </si>
  <si>
    <r>
      <t>三池渊蔓越莓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料厂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</si>
  <si>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利口酒; 果酒（含酒精）</t>
    </r>
  </si>
  <si>
    <r>
      <t>源九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一</t>
    </r>
  </si>
  <si>
    <r>
      <t>嘉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市九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名聚雅</t>
    </r>
    <r>
      <rPr>
        <sz val="11"/>
        <color theme="1"/>
        <rFont val="ＭＳ Ｐゴシック"/>
        <family val="3"/>
        <charset val="134"/>
        <scheme val="minor"/>
      </rPr>
      <t>阁贸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</si>
  <si>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葡萄酒; 伏特加酒;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</si>
  <si>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皖楚</t>
  </si>
  <si>
    <r>
      <t>固</t>
    </r>
    <r>
      <rPr>
        <sz val="11"/>
        <color theme="1"/>
        <rFont val="ＭＳ Ｐゴシック"/>
        <family val="3"/>
        <charset val="134"/>
        <scheme val="minor"/>
      </rPr>
      <t>镇县</t>
    </r>
    <r>
      <rPr>
        <sz val="11"/>
        <color theme="1"/>
        <rFont val="ＭＳ Ｐゴシック"/>
        <family val="3"/>
        <charset val="128"/>
        <scheme val="minor"/>
      </rPr>
      <t>邦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葡萄种植家庭</t>
    </r>
    <r>
      <rPr>
        <sz val="11"/>
        <color theme="1"/>
        <rFont val="ＭＳ Ｐゴシック"/>
        <family val="3"/>
        <charset val="134"/>
        <scheme val="minor"/>
      </rPr>
      <t>农场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</si>
  <si>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黄酒; 果酒（含酒精）; 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</si>
  <si>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屯上人家</t>
  </si>
  <si>
    <r>
      <t>朱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富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</si>
  <si>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</si>
  <si>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歌</t>
    </r>
    <r>
      <rPr>
        <sz val="11"/>
        <color theme="1"/>
        <rFont val="ＭＳ Ｐゴシック"/>
        <family val="3"/>
        <charset val="134"/>
        <scheme val="minor"/>
      </rPr>
      <t>诗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</si>
  <si>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食用酒精; 威士忌; 清酒（日本米酒）;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黄酒; 白酒</t>
    </r>
  </si>
  <si>
    <t>宏友金樽</t>
  </si>
  <si>
    <r>
      <t>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米酒; 白酒;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</si>
  <si>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匠心口子</t>
  </si>
  <si>
    <r>
      <t>安徽口子酒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</si>
  <si>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伏特加酒;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食用酒精;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</si>
  <si>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蝉台</t>
  </si>
  <si>
    <t>李朝俊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</si>
  <si>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清酒; 米酒; 露酒; 白干酒（中国白酒）; 葡萄酒; 黄酒; 白酒;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</si>
  <si>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顺</t>
    </r>
    <r>
      <rPr>
        <sz val="11"/>
        <color theme="1"/>
        <rFont val="ＭＳ Ｐゴシック"/>
        <family val="3"/>
        <charset val="128"/>
        <scheme val="minor"/>
      </rPr>
      <t>奕</t>
    </r>
  </si>
  <si>
    <r>
      <t>南充九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</si>
  <si>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</si>
  <si>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徽工郎</t>
  </si>
  <si>
    <r>
      <t>吴海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</si>
  <si>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</si>
  <si>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跟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</si>
  <si>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跟信息技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</si>
  <si>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</si>
  <si>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凰情湘酒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</si>
  <si>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青稞酒</t>
    </r>
  </si>
  <si>
    <r>
      <t>伊</t>
    </r>
    <r>
      <rPr>
        <sz val="11"/>
        <color theme="1"/>
        <rFont val="ＭＳ Ｐゴシック"/>
        <family val="3"/>
        <charset val="134"/>
        <scheme val="minor"/>
      </rPr>
      <t>对</t>
    </r>
  </si>
  <si>
    <r>
      <t>北京米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</si>
  <si>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米酒; 白酒</t>
    </r>
  </si>
  <si>
    <r>
      <t>朕</t>
    </r>
    <r>
      <rPr>
        <sz val="11"/>
        <color theme="1"/>
        <rFont val="ＭＳ Ｐゴシック"/>
        <family val="3"/>
        <charset val="134"/>
        <scheme val="minor"/>
      </rPr>
      <t>邮赐</t>
    </r>
    <r>
      <rPr>
        <sz val="11"/>
        <color theme="1"/>
        <rFont val="ＭＳ Ｐゴシック"/>
        <family val="3"/>
        <charset val="128"/>
        <scheme val="minor"/>
      </rPr>
      <t>溢</t>
    </r>
  </si>
  <si>
    <r>
      <t>鲁</t>
    </r>
    <r>
      <rPr>
        <sz val="11"/>
        <color theme="1"/>
        <rFont val="ＭＳ Ｐゴシック"/>
        <family val="3"/>
        <charset val="128"/>
        <scheme val="minor"/>
      </rPr>
      <t>商盛世(北京)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</si>
  <si>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不起泡葡萄酒;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佐餐酒; 高粱酒</t>
    </r>
  </si>
  <si>
    <t>太玉坊</t>
  </si>
  <si>
    <r>
      <t>交城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狐氏商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</si>
  <si>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白干酒（中国白酒）; 米酒; 葡萄酒; 蒸煮提取物（利口酒和烈酒）; 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</si>
  <si>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状元</t>
    </r>
    <r>
      <rPr>
        <sz val="11"/>
        <color theme="1"/>
        <rFont val="ＭＳ Ｐゴシック"/>
        <family val="3"/>
        <charset val="134"/>
        <scheme val="minor"/>
      </rPr>
      <t>鸣</t>
    </r>
  </si>
  <si>
    <t>何杰</t>
  </si>
  <si>
    <r>
      <t>果酒（含酒精）; 开胃酒; 黄酒; 烈酒;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</si>
  <si>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肉肉熊猫</t>
  </si>
  <si>
    <r>
      <t>果酒（含酒精）; 果酒; 餐后酒（利口酒和烈酒）; 米酒;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青梅酒;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白酒; 清酒</t>
    </r>
  </si>
  <si>
    <r>
      <t>卢</t>
    </r>
    <r>
      <rPr>
        <sz val="11"/>
        <color theme="1"/>
        <rFont val="ＭＳ Ｐゴシック"/>
        <family val="3"/>
        <charset val="128"/>
        <scheme val="minor"/>
      </rPr>
      <t>特袋鼠</t>
    </r>
  </si>
  <si>
    <r>
      <t>吉林省瑶池商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</si>
  <si>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伏特加酒; 苹果酒;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</si>
  <si>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t>粮崖山</t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</si>
  <si>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果酒（含酒精）; 葡萄酒; 白酒; 黄酒; 米酒;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</si>
  <si>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HOOY SEL</t>
  </si>
  <si>
    <r>
      <t>浩沅集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</si>
  <si>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</si>
  <si>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米酒; 黄酒; 葡萄酒;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果酒</t>
    </r>
  </si>
  <si>
    <t>御太常</t>
  </si>
  <si>
    <t>宁波市鄞州状元酒厂</t>
  </si>
  <si>
    <r>
      <t xml:space="preserve">黄酒; 利口酒;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酸酒（低等葡萄酒）; 清酒（日本米酒）;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</si>
  <si>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瑰代 GUILAGE</t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</si>
  <si>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威士忌; 黄酒; 葡萄酒</t>
    </r>
  </si>
  <si>
    <t>把言馥辞</t>
  </si>
  <si>
    <r>
      <t>赵</t>
    </r>
    <r>
      <rPr>
        <sz val="11"/>
        <color theme="1"/>
        <rFont val="ＭＳ Ｐゴシック"/>
        <family val="3"/>
        <charset val="128"/>
        <scheme val="minor"/>
      </rPr>
      <t>友</t>
    </r>
    <r>
      <rPr>
        <sz val="11"/>
        <color theme="1"/>
        <rFont val="ＭＳ Ｐゴシック"/>
        <family val="3"/>
        <charset val="134"/>
        <scheme val="minor"/>
      </rPr>
      <t>权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</si>
  <si>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</t>
    </r>
  </si>
  <si>
    <t>SINHOFENG HOTEL</t>
  </si>
  <si>
    <r>
      <t>宁波新濠峰</t>
    </r>
    <r>
      <rPr>
        <sz val="11"/>
        <color theme="1"/>
        <rFont val="ＭＳ Ｐゴシック"/>
        <family val="3"/>
        <charset val="134"/>
        <scheme val="minor"/>
      </rPr>
      <t>宾馆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</si>
  <si>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葡萄酒; 果酒（含酒精）; 黄酒; 白酒; 开胃酒; 清酒（日本米酒）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</si>
  <si>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开胃酒; 白酒; 黄酒;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</t>
    </r>
  </si>
  <si>
    <r>
      <t>磊信向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山</t>
    </r>
  </si>
  <si>
    <t>向国光</t>
  </si>
  <si>
    <r>
      <t xml:space="preserve">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</t>
    </r>
  </si>
  <si>
    <r>
      <t>毕</t>
    </r>
    <r>
      <rPr>
        <sz val="11"/>
        <color theme="1"/>
        <rFont val="ＭＳ Ｐゴシック"/>
        <family val="3"/>
        <charset val="128"/>
        <scheme val="minor"/>
      </rPr>
      <t>聚</t>
    </r>
  </si>
  <si>
    <r>
      <t>唐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勇</t>
    </r>
  </si>
  <si>
    <r>
      <t xml:space="preserve">米酒; 白酒; 果酒（含酒精）; 葡萄酒;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梨酒; 黄酒; 蜂蜜酒</t>
    </r>
  </si>
  <si>
    <t>数聚乘</t>
  </si>
  <si>
    <t>数聚乘(深圳)科技有限公司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</si>
  <si>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黄酒; 开胃酒; 葡萄酒; 露酒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</si>
  <si>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悘</t>
    </r>
  </si>
  <si>
    <t>李正国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</si>
  <si>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白干酒（中国白酒）; 米酒; 威士忌; 黄酒; 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青稞酒</t>
    </r>
  </si>
  <si>
    <t>丹青画</t>
  </si>
  <si>
    <r>
      <t>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米酒; 葡萄酒; 威士忌</t>
    </r>
  </si>
  <si>
    <t>通航小二</t>
  </si>
  <si>
    <r>
      <t>法</t>
    </r>
    <r>
      <rPr>
        <sz val="11"/>
        <color theme="1"/>
        <rFont val="ＭＳ Ｐゴシック"/>
        <family val="3"/>
        <charset val="134"/>
        <scheme val="minor"/>
      </rPr>
      <t>库县财</t>
    </r>
    <r>
      <rPr>
        <sz val="11"/>
        <color theme="1"/>
        <rFont val="ＭＳ Ｐゴシック"/>
        <family val="3"/>
        <charset val="128"/>
        <scheme val="minor"/>
      </rPr>
      <t>湖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品源酒坊</t>
    </r>
  </si>
  <si>
    <r>
      <t>黄酒; 白酒;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烈酒;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</si>
  <si>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棠</t>
    </r>
    <r>
      <rPr>
        <sz val="11"/>
        <color theme="1"/>
        <rFont val="ＭＳ Ｐゴシック"/>
        <family val="3"/>
        <charset val="134"/>
        <scheme val="minor"/>
      </rPr>
      <t>张龙</t>
    </r>
    <r>
      <rPr>
        <sz val="11"/>
        <color theme="1"/>
        <rFont val="ＭＳ Ｐゴシック"/>
        <family val="3"/>
        <charset val="128"/>
        <scheme val="minor"/>
      </rPr>
      <t>谷</t>
    </r>
  </si>
  <si>
    <r>
      <t>南京未来人力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源开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与研究院</t>
    </r>
  </si>
  <si>
    <r>
      <t>米酒;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食用酒精;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</si>
  <si>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TIMELADY</t>
  </si>
  <si>
    <r>
      <t xml:space="preserve">白酒; 高粱酒;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</si>
  <si>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快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家族</t>
    </r>
  </si>
  <si>
    <t>酒鬼酒股份有限公司</t>
  </si>
  <si>
    <r>
      <t>米酒;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</si>
  <si>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君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健</t>
    </r>
  </si>
  <si>
    <r>
      <t>孙继</t>
    </r>
    <r>
      <rPr>
        <sz val="11"/>
        <color theme="1"/>
        <rFont val="ＭＳ Ｐゴシック"/>
        <family val="3"/>
        <charset val="128"/>
        <scheme val="minor"/>
      </rPr>
      <t>明</t>
    </r>
  </si>
  <si>
    <r>
      <t>苹果酒; 杜松子酒; 黄酒; 果酒（含酒精）; 朗姆酒;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葡萄酒; 蜂蜜酒; 白酒</t>
    </r>
  </si>
  <si>
    <t>湖大麓</t>
  </si>
  <si>
    <r>
      <t xml:space="preserve">威士忌;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黄酒; 白酒; 白干酒（中国白酒）;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</si>
  <si>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虎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新湾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</si>
  <si>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莞市虎</t>
    </r>
    <r>
      <rPr>
        <sz val="11"/>
        <color theme="1"/>
        <rFont val="ＭＳ Ｐゴシック"/>
        <family val="3"/>
        <charset val="134"/>
        <scheme val="minor"/>
      </rPr>
      <t>门镇</t>
    </r>
    <r>
      <rPr>
        <sz val="11"/>
        <color theme="1"/>
        <rFont val="ＭＳ Ｐゴシック"/>
        <family val="3"/>
        <charset val="128"/>
        <scheme val="minor"/>
      </rPr>
      <t>新湾股份</t>
    </r>
    <r>
      <rPr>
        <sz val="11"/>
        <color theme="1"/>
        <rFont val="ＭＳ Ｐゴシック"/>
        <family val="3"/>
        <charset val="134"/>
        <scheme val="minor"/>
      </rPr>
      <t>经济联</t>
    </r>
    <r>
      <rPr>
        <sz val="11"/>
        <color theme="1"/>
        <rFont val="ＭＳ Ｐゴシック"/>
        <family val="3"/>
        <charset val="128"/>
        <scheme val="minor"/>
      </rPr>
      <t>合社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</si>
  <si>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</si>
  <si>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</si>
  <si>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舶山青</t>
  </si>
  <si>
    <r>
      <t>博斯克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</si>
  <si>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葡萄酒; 食用酒精;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白酒;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</si>
  <si>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泊</t>
    </r>
    <r>
      <rPr>
        <sz val="11"/>
        <color theme="1"/>
        <rFont val="ＭＳ Ｐゴシック"/>
        <family val="3"/>
        <charset val="134"/>
        <scheme val="minor"/>
      </rPr>
      <t>诗</t>
    </r>
    <r>
      <rPr>
        <sz val="11"/>
        <color theme="1"/>
        <rFont val="ＭＳ Ｐゴシック"/>
        <family val="3"/>
        <charset val="128"/>
        <scheme val="minor"/>
      </rPr>
      <t>柯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</si>
  <si>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开胃酒; 白酒;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</si>
  <si>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桂振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名庄</t>
    </r>
    <r>
      <rPr>
        <sz val="11"/>
        <color theme="1"/>
        <rFont val="ＭＳ Ｐゴシック"/>
        <family val="3"/>
        <charset val="134"/>
        <scheme val="minor"/>
      </rPr>
      <t>荟</t>
    </r>
  </si>
  <si>
    <r>
      <t>广西</t>
    </r>
    <r>
      <rPr>
        <sz val="11"/>
        <color theme="1"/>
        <rFont val="ＭＳ Ｐゴシック"/>
        <family val="3"/>
        <charset val="129"/>
        <scheme val="minor"/>
      </rPr>
      <t>优优</t>
    </r>
    <r>
      <rPr>
        <sz val="11"/>
        <color theme="1"/>
        <rFont val="ＭＳ Ｐゴシック"/>
        <family val="3"/>
        <charset val="134"/>
        <scheme val="minor"/>
      </rPr>
      <t>联电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</si>
  <si>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果酒（含酒精）; 葡萄酒</t>
    </r>
  </si>
  <si>
    <r>
      <t>五</t>
    </r>
    <r>
      <rPr>
        <sz val="11"/>
        <color theme="1"/>
        <rFont val="ＭＳ Ｐゴシック"/>
        <family val="3"/>
        <charset val="129"/>
        <scheme val="minor"/>
      </rPr>
      <t>朵</t>
    </r>
    <r>
      <rPr>
        <sz val="11"/>
        <color theme="1"/>
        <rFont val="ＭＳ Ｐゴシック"/>
        <family val="3"/>
        <charset val="128"/>
        <scheme val="minor"/>
      </rPr>
      <t>金花异曲同工</t>
    </r>
  </si>
  <si>
    <t>郭富林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</si>
  <si>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</si>
  <si>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t>酷侈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</si>
  <si>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贵玺</t>
    </r>
    <r>
      <rPr>
        <sz val="11"/>
        <color theme="1"/>
        <rFont val="ＭＳ Ｐゴシック"/>
        <family val="3"/>
        <charset val="128"/>
        <scheme val="minor"/>
      </rPr>
      <t>茶叶有限公司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</si>
  <si>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开胃酒; 葡萄酒</t>
    </r>
  </si>
  <si>
    <t>ZHAXIRILA</t>
  </si>
  <si>
    <r>
      <t>吴光</t>
    </r>
    <r>
      <rPr>
        <sz val="11"/>
        <color theme="1"/>
        <rFont val="ＭＳ Ｐゴシック"/>
        <family val="3"/>
        <charset val="134"/>
        <scheme val="minor"/>
      </rPr>
      <t>发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</si>
  <si>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葡萄酒; 果酒（含酒精）;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</si>
  <si>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柏康源</t>
  </si>
  <si>
    <t>刘芮昕</t>
  </si>
  <si>
    <r>
      <t xml:space="preserve">开胃酒;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葡萄酒; 白酒; 威士忌; 黄酒</t>
    </r>
  </si>
  <si>
    <t>唐玉妃</t>
  </si>
  <si>
    <r>
      <t>德阳</t>
    </r>
    <r>
      <rPr>
        <sz val="11"/>
        <color theme="1"/>
        <rFont val="ＭＳ Ｐゴシック"/>
        <family val="3"/>
        <charset val="129"/>
        <scheme val="minor"/>
      </rPr>
      <t>嘟嘟</t>
    </r>
    <r>
      <rPr>
        <sz val="11"/>
        <color theme="1"/>
        <rFont val="ＭＳ Ｐゴシック"/>
        <family val="3"/>
        <charset val="128"/>
        <scheme val="minor"/>
      </rPr>
      <t>唇食品有限公司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</si>
  <si>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</si>
  <si>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奉承酒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</si>
  <si>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太原市万柏林区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嘉卓百</t>
    </r>
    <r>
      <rPr>
        <sz val="11"/>
        <color theme="1"/>
        <rFont val="ＭＳ Ｐゴシック"/>
        <family val="3"/>
        <charset val="134"/>
        <scheme val="minor"/>
      </rPr>
      <t>货铺</t>
    </r>
    <r>
      <rPr>
        <sz val="11"/>
        <color theme="1"/>
        <rFont val="ＭＳ Ｐゴシック"/>
        <family val="3"/>
        <charset val="128"/>
        <scheme val="minor"/>
      </rPr>
      <t>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)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</si>
  <si>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果酒; 白酒; 葡萄酒; 朗姆酒; 米酒; 烈酒;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</si>
  <si>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梳</t>
    </r>
    <r>
      <rPr>
        <sz val="11"/>
        <color theme="1"/>
        <rFont val="ＭＳ Ｐゴシック"/>
        <family val="3"/>
        <charset val="134"/>
        <scheme val="minor"/>
      </rPr>
      <t>红妆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</si>
  <si>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伏特加酒; 果酒（含酒精）</t>
    </r>
  </si>
  <si>
    <t>君佪</t>
  </si>
  <si>
    <r>
      <t xml:space="preserve">葡萄酒;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威士忌</t>
    </r>
  </si>
  <si>
    <r>
      <t>WSX 旺双</t>
    </r>
    <r>
      <rPr>
        <sz val="11"/>
        <color theme="1"/>
        <rFont val="ＭＳ Ｐゴシック"/>
        <family val="3"/>
        <charset val="134"/>
        <scheme val="minor"/>
      </rPr>
      <t>玺</t>
    </r>
  </si>
  <si>
    <r>
      <t>周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平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</si>
  <si>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黄酒; 白酒; 米酒</t>
    </r>
  </si>
  <si>
    <t>MOUNTSLEF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</si>
  <si>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梅酒; 清酒（日本米酒）; 威士忌;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</si>
  <si>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冠</t>
    </r>
    <r>
      <rPr>
        <sz val="11"/>
        <color theme="1"/>
        <rFont val="ＭＳ Ｐゴシック"/>
        <family val="3"/>
        <charset val="134"/>
        <scheme val="minor"/>
      </rPr>
      <t>骋</t>
    </r>
  </si>
  <si>
    <r>
      <t>四川冠</t>
    </r>
    <r>
      <rPr>
        <sz val="11"/>
        <color theme="1"/>
        <rFont val="ＭＳ Ｐゴシック"/>
        <family val="3"/>
        <charset val="134"/>
        <scheme val="minor"/>
      </rPr>
      <t>骋</t>
    </r>
    <r>
      <rPr>
        <sz val="11"/>
        <color theme="1"/>
        <rFont val="ＭＳ Ｐゴシック"/>
        <family val="3"/>
        <charset val="128"/>
        <scheme val="minor"/>
      </rPr>
      <t>家具有限公司</t>
    </r>
  </si>
  <si>
    <r>
      <t>威士忌;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</si>
  <si>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r>
      <t>巴君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</si>
  <si>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 xml:space="preserve">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果酒; 蒸煮提取物（利口酒和烈酒）; 高粱酒;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白酒</t>
    </r>
  </si>
  <si>
    <t>酒州美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</si>
  <si>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米酒; 葡萄酒</t>
    </r>
  </si>
  <si>
    <t>赤粱匠</t>
  </si>
  <si>
    <t>徐茂利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</si>
  <si>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青稞酒; 露酒; 白酒; 果酒; 葡萄酒</t>
    </r>
  </si>
  <si>
    <t>ZD 蒸迪</t>
  </si>
  <si>
    <r>
      <t>彭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伴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</si>
  <si>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白酒; 威士忌;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</si>
  <si>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君</t>
    </r>
    <r>
      <rPr>
        <sz val="11"/>
        <color theme="1"/>
        <rFont val="ＭＳ Ｐゴシック"/>
        <family val="3"/>
        <charset val="134"/>
        <scheme val="minor"/>
      </rPr>
      <t>绽</t>
    </r>
  </si>
  <si>
    <r>
      <t xml:space="preserve">青稞酒;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烈酒</t>
    </r>
  </si>
  <si>
    <t>GUNAP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</si>
  <si>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门乐</t>
    </r>
    <r>
      <rPr>
        <sz val="11"/>
        <color theme="1"/>
        <rFont val="ＭＳ Ｐゴシック"/>
        <family val="3"/>
        <charset val="128"/>
        <scheme val="minor"/>
      </rPr>
      <t>翔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出口有限公司</t>
    </r>
  </si>
  <si>
    <r>
      <t xml:space="preserve">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白酒; 高粱酒; 威士忌; 米酒; 青稞酒; 果酒（含酒精）; 葡萄酒</t>
    </r>
  </si>
  <si>
    <r>
      <t>悠雅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方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</si>
  <si>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蜂蜜酒; 黄酒; 伏特加酒</t>
    </r>
  </si>
  <si>
    <r>
      <t>卜</t>
    </r>
    <r>
      <rPr>
        <sz val="11"/>
        <color theme="1"/>
        <rFont val="ＭＳ Ｐゴシック"/>
        <family val="3"/>
        <charset val="134"/>
        <scheme val="minor"/>
      </rPr>
      <t>邻</t>
    </r>
  </si>
  <si>
    <r>
      <t>湖北</t>
    </r>
    <r>
      <rPr>
        <sz val="11"/>
        <color theme="1"/>
        <rFont val="ＭＳ Ｐゴシック"/>
        <family val="3"/>
        <charset val="134"/>
        <scheme val="minor"/>
      </rPr>
      <t>贻贝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</si>
  <si>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薄荷酒;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</si>
  <si>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君侃</t>
  </si>
  <si>
    <r>
      <t>吴雨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</si>
  <si>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青稞酒; 黄酒;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</si>
  <si>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琴</t>
    </r>
  </si>
  <si>
    <t>曾小勤（******************）</t>
  </si>
  <si>
    <r>
      <t>果酒（含酒精）; 青稞酒;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米酒;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</si>
  <si>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蔻</t>
    </r>
    <r>
      <rPr>
        <sz val="11"/>
        <color theme="1"/>
        <rFont val="ＭＳ Ｐゴシック"/>
        <family val="3"/>
        <charset val="128"/>
        <scheme val="minor"/>
      </rPr>
      <t>黛波</t>
    </r>
  </si>
  <si>
    <r>
      <t>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白酒</t>
    </r>
  </si>
  <si>
    <t>辜福台</t>
  </si>
  <si>
    <r>
      <t>南平建阳亰福台酒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</si>
  <si>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</si>
  <si>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突</t>
    </r>
    <r>
      <rPr>
        <sz val="11"/>
        <color theme="1"/>
        <rFont val="ＭＳ Ｐゴシック"/>
        <family val="3"/>
        <charset val="134"/>
        <scheme val="minor"/>
      </rPr>
      <t>鲁</t>
    </r>
    <r>
      <rPr>
        <sz val="11"/>
        <color theme="1"/>
        <rFont val="ＭＳ Ｐゴシック"/>
        <family val="3"/>
        <charset val="128"/>
        <scheme val="minor"/>
      </rPr>
      <t>克</t>
    </r>
  </si>
  <si>
    <r>
      <t>师</t>
    </r>
    <r>
      <rPr>
        <sz val="11"/>
        <color theme="1"/>
        <rFont val="ＭＳ Ｐゴシック"/>
        <family val="3"/>
        <charset val="128"/>
        <scheme val="minor"/>
      </rPr>
      <t>恩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</si>
  <si>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黄酒; 食用酒精; 果酒（含酒精）; 白酒; 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</si>
  <si>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贵红妆</t>
  </si>
  <si>
    <r>
      <t>刘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梅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</si>
  <si>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米酒</t>
    </r>
  </si>
  <si>
    <r>
      <t>大名弘敬</t>
    </r>
    <r>
      <rPr>
        <sz val="11"/>
        <color theme="1"/>
        <rFont val="ＭＳ Ｐゴシック"/>
        <family val="3"/>
        <charset val="134"/>
        <scheme val="minor"/>
      </rPr>
      <t>阁</t>
    </r>
  </si>
  <si>
    <r>
      <t>魏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梅</t>
    </r>
  </si>
  <si>
    <r>
      <t>黄酒;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</t>
    </r>
  </si>
  <si>
    <t>昆巴哥</t>
  </si>
  <si>
    <r>
      <t>亚</t>
    </r>
    <r>
      <rPr>
        <sz val="11"/>
        <color theme="1"/>
        <rFont val="ＭＳ Ｐゴシック"/>
        <family val="3"/>
        <charset val="128"/>
        <scheme val="minor"/>
      </rPr>
      <t>生江·居</t>
    </r>
    <r>
      <rPr>
        <sz val="11"/>
        <color theme="1"/>
        <rFont val="ＭＳ Ｐゴシック"/>
        <family val="3"/>
        <charset val="134"/>
        <scheme val="minor"/>
      </rPr>
      <t>马</t>
    </r>
  </si>
  <si>
    <r>
      <t xml:space="preserve">汽酒;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</si>
  <si>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戏</t>
    </r>
    <r>
      <rPr>
        <sz val="11"/>
        <color theme="1"/>
        <rFont val="ＭＳ Ｐゴシック"/>
        <family val="3"/>
        <charset val="128"/>
        <scheme val="minor"/>
      </rPr>
      <t>楼胡同</t>
    </r>
  </si>
  <si>
    <r>
      <t>北京安山商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</si>
  <si>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清酒;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</si>
  <si>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缘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闲</t>
    </r>
  </si>
  <si>
    <r>
      <t>徐州上园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</si>
  <si>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开胃酒; 高粱酒; 烈酒; 黄酒; 葡萄酒; 白酒; 果酒; 米酒; 清酒</t>
    </r>
  </si>
  <si>
    <r>
      <t>升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星隆</t>
    </r>
  </si>
  <si>
    <r>
      <t>黄静</t>
    </r>
    <r>
      <rPr>
        <sz val="11"/>
        <color theme="1"/>
        <rFont val="ＭＳ Ｐゴシック"/>
        <family val="3"/>
        <charset val="134"/>
        <scheme val="minor"/>
      </rPr>
      <t>娴</t>
    </r>
  </si>
  <si>
    <r>
      <t>威士忌; 葡萄酒; 酸酒（低等葡萄酒）; 伏特加酒;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清酒（日本米酒）</t>
    </r>
  </si>
  <si>
    <t>唐高窟</t>
  </si>
  <si>
    <r>
      <t>果酒（含酒精）; 白酒; 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</si>
  <si>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崀</t>
    </r>
    <r>
      <rPr>
        <sz val="11"/>
        <color theme="1"/>
        <rFont val="ＭＳ Ｐゴシック"/>
        <family val="3"/>
        <charset val="134"/>
        <scheme val="minor"/>
      </rPr>
      <t>脐缘</t>
    </r>
  </si>
  <si>
    <r>
      <t>新宁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百松景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工程有限公司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</si>
  <si>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酸酒（低等葡萄酒）; 米酒; 白酒; 果酒（含酒精）; 开胃酒;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</si>
  <si>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毅商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</si>
  <si>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毅力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</si>
  <si>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蒸煮提取物（利口酒和烈酒）; 白酒; 开胃酒; 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</t>
    </r>
  </si>
  <si>
    <t>四川七曜生物科技有限公司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</si>
  <si>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葡萄酒; 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米酒; 清酒（日本米酒）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</si>
  <si>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型</t>
    </r>
  </si>
  <si>
    <t>高忠宝</t>
  </si>
  <si>
    <r>
      <t>烈酒;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汽酒;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葡萄酒</t>
    </r>
  </si>
  <si>
    <t>全香</t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</si>
  <si>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</si>
  <si>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白鹿与少年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</si>
  <si>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清酒;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</si>
  <si>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白酒</t>
    </r>
  </si>
  <si>
    <t>K C</t>
  </si>
  <si>
    <t>广州嘉美日化有限公司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</si>
  <si>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蜂蜜酒; 威士忌;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</si>
  <si>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r>
      <t>铁</t>
    </r>
    <r>
      <rPr>
        <sz val="11"/>
        <color theme="1"/>
        <rFont val="ＭＳ Ｐゴシック"/>
        <family val="3"/>
        <charset val="128"/>
        <scheme val="minor"/>
      </rPr>
      <t>鼓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</si>
  <si>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</t>
    </r>
  </si>
  <si>
    <t>情和台</t>
  </si>
  <si>
    <r>
      <t>严</t>
    </r>
    <r>
      <rPr>
        <sz val="11"/>
        <color theme="1"/>
        <rFont val="ＭＳ Ｐゴシック"/>
        <family val="3"/>
        <charset val="128"/>
        <scheme val="minor"/>
      </rPr>
      <t>光友</t>
    </r>
  </si>
  <si>
    <r>
      <t xml:space="preserve">高粱酒;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梅酒; 米酒; 烈酒; 葡萄酒; 果酒</t>
    </r>
  </si>
  <si>
    <r>
      <t>国合天保（宁波）商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</si>
  <si>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</si>
  <si>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橄醇</t>
  </si>
  <si>
    <t>潮州市橄醇食品有限公司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</si>
  <si>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烈酒;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开胃酒; 白酒; 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</si>
  <si>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搏井</t>
  </si>
  <si>
    <r>
      <t>安徽武林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</si>
  <si>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威士忌; 葡萄酒; 烈酒;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朗姆酒; 伏特加酒; 露酒;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</si>
  <si>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南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燕</t>
    </r>
  </si>
  <si>
    <t>吴和清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</si>
  <si>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</t>
    </r>
  </si>
  <si>
    <r>
      <t>周</t>
    </r>
    <r>
      <rPr>
        <sz val="11"/>
        <color theme="1"/>
        <rFont val="ＭＳ Ｐゴシック"/>
        <family val="3"/>
        <charset val="134"/>
        <scheme val="minor"/>
      </rPr>
      <t>晓钰</t>
    </r>
  </si>
  <si>
    <r>
      <t>薄荷酒; 白酒; 蒸煮提取物（利口酒和烈酒）;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</si>
  <si>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魏州弘敬</t>
    </r>
    <r>
      <rPr>
        <sz val="11"/>
        <color theme="1"/>
        <rFont val="ＭＳ Ｐゴシック"/>
        <family val="3"/>
        <charset val="134"/>
        <scheme val="minor"/>
      </rPr>
      <t>阁</t>
    </r>
  </si>
  <si>
    <r>
      <t>果酒（含酒精）; 米酒; 黄酒; 开胃酒;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</si>
  <si>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洞九翁</t>
  </si>
  <si>
    <r>
      <t>蒋</t>
    </r>
    <r>
      <rPr>
        <sz val="11"/>
        <color theme="1"/>
        <rFont val="ＭＳ Ｐゴシック"/>
        <family val="3"/>
        <charset val="134"/>
        <scheme val="minor"/>
      </rPr>
      <t>凯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</si>
  <si>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餐后酒（利口酒和烈酒）; 黄酒</t>
    </r>
  </si>
  <si>
    <t>君羿</t>
  </si>
  <si>
    <r>
      <t>烈酒;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米酒</t>
    </r>
  </si>
  <si>
    <t>畲江</t>
  </si>
  <si>
    <r>
      <t>梅州市新雪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</si>
  <si>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米酒;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</si>
  <si>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彼知己</t>
  </si>
  <si>
    <r>
      <t>威士忌;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</t>
    </r>
  </si>
  <si>
    <t>仙泉金招</t>
  </si>
  <si>
    <r>
      <t>张</t>
    </r>
    <r>
      <rPr>
        <sz val="11"/>
        <color theme="1"/>
        <rFont val="ＭＳ Ｐゴシック"/>
        <family val="3"/>
        <charset val="128"/>
        <scheme val="minor"/>
      </rPr>
      <t>国占</t>
    </r>
  </si>
  <si>
    <r>
      <t>果酒（含酒精）; 食用酒精; 白干酒（中国白酒）; 白酒;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蒸煮提取物（利口酒和烈酒）;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</si>
  <si>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途</t>
    </r>
    <r>
      <rPr>
        <sz val="11"/>
        <color theme="1"/>
        <rFont val="ＭＳ Ｐゴシック"/>
        <family val="3"/>
        <charset val="134"/>
        <scheme val="minor"/>
      </rPr>
      <t>鲁</t>
    </r>
    <r>
      <rPr>
        <sz val="11"/>
        <color theme="1"/>
        <rFont val="ＭＳ Ｐゴシック"/>
        <family val="3"/>
        <charset val="128"/>
        <scheme val="minor"/>
      </rPr>
      <t>克</t>
    </r>
  </si>
  <si>
    <r>
      <t>食用酒精; 果酒（含酒精）; 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</si>
  <si>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腾</t>
    </r>
    <r>
      <rPr>
        <sz val="11"/>
        <color theme="1"/>
        <rFont val="ＭＳ Ｐゴシック"/>
        <family val="3"/>
        <charset val="128"/>
        <scheme val="minor"/>
      </rPr>
      <t>康</t>
    </r>
  </si>
  <si>
    <r>
      <t xml:space="preserve">白酒;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</si>
  <si>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一味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堂</t>
    </r>
  </si>
  <si>
    <t>刘小茅</t>
  </si>
  <si>
    <r>
      <t xml:space="preserve">青稞酒;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白干酒（中国白酒）;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</si>
  <si>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肆玖伍</t>
    </r>
    <r>
      <rPr>
        <sz val="11"/>
        <color theme="1"/>
        <rFont val="ＭＳ Ｐゴシック"/>
        <family val="3"/>
        <charset val="134"/>
        <scheme val="minor"/>
      </rPr>
      <t>陆</t>
    </r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</si>
  <si>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荆</t>
    </r>
    <r>
      <rPr>
        <sz val="11"/>
        <color theme="1"/>
        <rFont val="ＭＳ Ｐゴシック"/>
        <family val="3"/>
        <charset val="128"/>
        <scheme val="minor"/>
      </rPr>
      <t>河酒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</si>
  <si>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米酒; 果酒（含酒精）</t>
    </r>
  </si>
  <si>
    <r>
      <t>矿时</t>
    </r>
    <r>
      <rPr>
        <sz val="11"/>
        <color theme="1"/>
        <rFont val="ＭＳ Ｐゴシック"/>
        <family val="3"/>
        <charset val="128"/>
        <scheme val="minor"/>
      </rPr>
      <t>光</t>
    </r>
  </si>
  <si>
    <t>李宏革</t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</si>
  <si>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苹果酒;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蜂蜜酒</t>
    </r>
  </si>
  <si>
    <r>
      <t>山西聚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和老酒</t>
    </r>
    <r>
      <rPr>
        <sz val="11"/>
        <color theme="1"/>
        <rFont val="ＭＳ Ｐゴシック"/>
        <family val="3"/>
        <charset val="134"/>
        <scheme val="minor"/>
      </rPr>
      <t>铺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</si>
  <si>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黄酒; 果酒（含酒精）; 开胃酒;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蒸煮提取物（利口酒和烈酒）; 白酒</t>
    </r>
  </si>
  <si>
    <t>棘膳堂</t>
  </si>
  <si>
    <r>
      <t>山西待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</si>
  <si>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</si>
  <si>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江柏裕</t>
  </si>
  <si>
    <t>文柏年</t>
  </si>
  <si>
    <r>
      <t>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黄酒</t>
    </r>
  </si>
  <si>
    <t>大秦茂</t>
  </si>
  <si>
    <r>
      <t>果酒（含酒精）;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</t>
    </r>
  </si>
  <si>
    <r>
      <t>跃</t>
    </r>
    <r>
      <rPr>
        <sz val="11"/>
        <color theme="1"/>
        <rFont val="ＭＳ Ｐゴシック"/>
        <family val="3"/>
        <charset val="128"/>
        <scheme val="minor"/>
      </rPr>
      <t>昊</t>
    </r>
  </si>
  <si>
    <r>
      <t>宁夏</t>
    </r>
    <r>
      <rPr>
        <sz val="11"/>
        <color theme="1"/>
        <rFont val="ＭＳ Ｐゴシック"/>
        <family val="3"/>
        <charset val="134"/>
        <scheme val="minor"/>
      </rPr>
      <t>跃</t>
    </r>
    <r>
      <rPr>
        <sz val="11"/>
        <color theme="1"/>
        <rFont val="ＭＳ Ｐゴシック"/>
        <family val="3"/>
        <charset val="128"/>
        <scheme val="minor"/>
      </rPr>
      <t>晟商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</si>
  <si>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甜酒; 青梅酒; 果酒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</si>
  <si>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</si>
  <si>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燕栗福</t>
  </si>
  <si>
    <r>
      <t>张连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</si>
  <si>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 xml:space="preserve">威士忌;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米酒; 黄酒; 果酒（含酒精）; 白酒; 食用酒精</t>
    </r>
  </si>
  <si>
    <t>全能极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</si>
  <si>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富杉医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</si>
  <si>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开胃酒;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蒸煮提取物（利口酒和烈酒）;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</si>
  <si>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等夏</t>
  </si>
  <si>
    <t>彭冬翠</t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</si>
  <si>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白酒; 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葡萄酒</t>
    </r>
  </si>
  <si>
    <t>BAISHANJI</t>
  </si>
  <si>
    <r>
      <t>葡萄酒; 清酒（日本米酒）; 米酒; 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</si>
  <si>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奕</t>
    </r>
    <r>
      <rPr>
        <sz val="11"/>
        <color theme="1"/>
        <rFont val="ＭＳ Ｐゴシック"/>
        <family val="3"/>
        <charset val="134"/>
        <scheme val="minor"/>
      </rPr>
      <t>纯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</si>
  <si>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良品牌运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</si>
  <si>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黄酒</t>
    </r>
  </si>
  <si>
    <r>
      <t>犀溪</t>
    </r>
    <r>
      <rPr>
        <sz val="11"/>
        <color theme="1"/>
        <rFont val="ＭＳ Ｐゴシック"/>
        <family val="3"/>
        <charset val="134"/>
        <scheme val="minor"/>
      </rPr>
      <t>红</t>
    </r>
  </si>
  <si>
    <t>福州瑞美特家具有限公司</t>
  </si>
  <si>
    <r>
      <t>伏特加酒; 烈酒;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</t>
    </r>
  </si>
  <si>
    <t>崔凡</t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</si>
  <si>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开胃酒</t>
    </r>
  </si>
  <si>
    <r>
      <t>壹</t>
    </r>
    <r>
      <rPr>
        <sz val="11"/>
        <color theme="1"/>
        <rFont val="ＭＳ Ｐゴシック"/>
        <family val="3"/>
        <charset val="134"/>
        <scheme val="minor"/>
      </rPr>
      <t>颗</t>
    </r>
    <r>
      <rPr>
        <sz val="11"/>
        <color theme="1"/>
        <rFont val="ＭＳ Ｐゴシック"/>
        <family val="3"/>
        <charset val="128"/>
        <scheme val="minor"/>
      </rPr>
      <t>丹喜</t>
    </r>
    <r>
      <rPr>
        <sz val="11"/>
        <color theme="1"/>
        <rFont val="ＭＳ Ｐゴシック"/>
        <family val="3"/>
        <charset val="134"/>
        <scheme val="minor"/>
      </rPr>
      <t>缬</t>
    </r>
    <r>
      <rPr>
        <sz val="11"/>
        <color theme="1"/>
        <rFont val="ＭＳ Ｐゴシック"/>
        <family val="3"/>
        <charset val="128"/>
        <scheme val="minor"/>
      </rPr>
      <t xml:space="preserve"> YI KE DA XI XIE</t>
    </r>
  </si>
  <si>
    <r>
      <t>温州叶丹企划</t>
    </r>
    <r>
      <rPr>
        <sz val="11"/>
        <color theme="1"/>
        <rFont val="ＭＳ Ｐゴシック"/>
        <family val="3"/>
        <charset val="134"/>
        <scheme val="minor"/>
      </rPr>
      <t>设计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</si>
  <si>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葡萄酒; 开胃酒;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</si>
  <si>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霖玖渡</t>
  </si>
  <si>
    <r>
      <t>河南玖渡商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</si>
  <si>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白干酒（中国白酒）; 果酒;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</si>
  <si>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云裕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</si>
  <si>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文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</si>
  <si>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</si>
  <si>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宝酌台</t>
  </si>
  <si>
    <r>
      <t>济</t>
    </r>
    <r>
      <rPr>
        <sz val="11"/>
        <color theme="1"/>
        <rFont val="ＭＳ Ｐゴシック"/>
        <family val="3"/>
        <charset val="128"/>
        <scheme val="minor"/>
      </rPr>
      <t>宁市昌金名酒商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</si>
  <si>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露酒; 葡萄酒; 青稞酒; 白酒;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米酒</t>
    </r>
  </si>
  <si>
    <t>乾隆山河</t>
  </si>
  <si>
    <r>
      <t>软</t>
    </r>
    <r>
      <rPr>
        <sz val="11"/>
        <color theme="1"/>
        <rFont val="ＭＳ Ｐゴシック"/>
        <family val="3"/>
        <charset val="128"/>
        <scheme val="minor"/>
      </rPr>
      <t>牛（江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）科技有限公司</t>
    </r>
  </si>
  <si>
    <r>
      <t>果酒;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白酒; 葡萄酒; 清酒;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</si>
  <si>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搬山猿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</si>
  <si>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烈酒; 米酒; 葡萄酒; 威士忌;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</si>
  <si>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寿儿</t>
    </r>
    <r>
      <rPr>
        <sz val="11"/>
        <color theme="1"/>
        <rFont val="ＭＳ Ｐゴシック"/>
        <family val="3"/>
        <charset val="134"/>
        <scheme val="minor"/>
      </rPr>
      <t>张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</si>
  <si>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林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</si>
  <si>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甜果酒</t>
    </r>
  </si>
  <si>
    <t>伊酒王</t>
  </si>
  <si>
    <t>文学</t>
  </si>
  <si>
    <r>
      <t>葡萄酒;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烈酒; 青稞酒; 高粱酒;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</si>
  <si>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白酉侯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</si>
  <si>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葡萄酒; 黄酒; 威士忌; 开胃酒</t>
    </r>
  </si>
  <si>
    <t>凡事元享</t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</si>
  <si>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凡事酒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</si>
  <si>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</si>
  <si>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r>
      <t>吴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</si>
  <si>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</t>
    </r>
  </si>
  <si>
    <t>首筝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</si>
  <si>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</si>
  <si>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薏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同</t>
    </r>
    <r>
      <rPr>
        <sz val="11"/>
        <color theme="1"/>
        <rFont val="ＭＳ Ｐゴシック"/>
        <family val="3"/>
        <charset val="134"/>
        <scheme val="minor"/>
      </rPr>
      <t>创</t>
    </r>
  </si>
  <si>
    <r>
      <t>成都市恒盛酒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</si>
  <si>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黄酒; 利口酒; 开胃酒; 伏特加酒; 威士忌;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</si>
  <si>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永恒仙</t>
  </si>
  <si>
    <r>
      <t>徐</t>
    </r>
    <r>
      <rPr>
        <sz val="11"/>
        <color theme="1"/>
        <rFont val="ＭＳ Ｐゴシック"/>
        <family val="3"/>
        <charset val="134"/>
        <scheme val="minor"/>
      </rPr>
      <t>应伟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</si>
  <si>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烈酒; 米酒; 葡萄酒; 高粱酒</t>
    </r>
  </si>
  <si>
    <r>
      <t>赛</t>
    </r>
    <r>
      <rPr>
        <sz val="11"/>
        <color theme="1"/>
        <rFont val="ＭＳ Ｐゴシック"/>
        <family val="3"/>
        <charset val="128"/>
        <scheme val="minor"/>
      </rPr>
      <t>百</t>
    </r>
    <r>
      <rPr>
        <sz val="11"/>
        <color theme="1"/>
        <rFont val="ＭＳ Ｐゴシック"/>
        <family val="3"/>
        <charset val="134"/>
        <scheme val="minor"/>
      </rPr>
      <t>润</t>
    </r>
  </si>
  <si>
    <r>
      <t>南宁广壮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滑油有限公司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</si>
  <si>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清酒（日本米酒）; 黄酒; 蒸煮提取物（利口酒和烈酒）; 白酒</t>
    </r>
  </si>
  <si>
    <t>京蒙晶方</t>
  </si>
  <si>
    <r>
      <t>北京市中医科技开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</si>
  <si>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蜂蜜酒; 米酒</t>
    </r>
  </si>
  <si>
    <t>刘巍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</si>
  <si>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朗姆酒; 烈酒;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</si>
  <si>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胜</t>
    </r>
    <r>
      <rPr>
        <sz val="11"/>
        <color theme="1"/>
        <rFont val="ＭＳ Ｐゴシック"/>
        <family val="3"/>
        <charset val="128"/>
        <scheme val="minor"/>
      </rPr>
      <t>王者</t>
    </r>
  </si>
  <si>
    <t>沈坤</t>
  </si>
  <si>
    <r>
      <t>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果酒（含酒精）</t>
    </r>
  </si>
  <si>
    <r>
      <t>秦栗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醇</t>
    </r>
  </si>
  <si>
    <r>
      <t>翟玉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</si>
  <si>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蒸煮提取物（利口酒和烈酒）;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</t>
    </r>
  </si>
  <si>
    <r>
      <t>娘</t>
    </r>
    <r>
      <rPr>
        <sz val="11"/>
        <color theme="1"/>
        <rFont val="ＭＳ Ｐゴシック"/>
        <family val="3"/>
        <charset val="134"/>
        <scheme val="minor"/>
      </rPr>
      <t>娇</t>
    </r>
  </si>
  <si>
    <r>
      <t>他</t>
    </r>
    <r>
      <rPr>
        <sz val="11"/>
        <color theme="1"/>
        <rFont val="ＭＳ Ｐゴシック"/>
        <family val="3"/>
        <charset val="134"/>
        <scheme val="minor"/>
      </rPr>
      <t>骄</t>
    </r>
    <r>
      <rPr>
        <sz val="11"/>
        <color theme="1"/>
        <rFont val="ＭＳ Ｐゴシック"/>
        <family val="3"/>
        <charset val="128"/>
        <scheme val="minor"/>
      </rPr>
      <t>她</t>
    </r>
    <r>
      <rPr>
        <sz val="11"/>
        <color theme="1"/>
        <rFont val="ＭＳ Ｐゴシック"/>
        <family val="3"/>
        <charset val="134"/>
        <scheme val="minor"/>
      </rPr>
      <t>娇</t>
    </r>
    <r>
      <rPr>
        <sz val="11"/>
        <color theme="1"/>
        <rFont val="ＭＳ Ｐゴシック"/>
        <family val="3"/>
        <charset val="128"/>
        <scheme val="minor"/>
      </rPr>
      <t>（南通）品牌管理有限公司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</si>
  <si>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果酒（含酒精）; 葡萄酒; 米酒; 露酒;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</si>
  <si>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黑</t>
    </r>
    <r>
      <rPr>
        <sz val="11"/>
        <color theme="1"/>
        <rFont val="ＭＳ Ｐゴシック"/>
        <family val="3"/>
        <charset val="134"/>
        <scheme val="minor"/>
      </rPr>
      <t>库</t>
    </r>
    <r>
      <rPr>
        <sz val="11"/>
        <color theme="1"/>
        <rFont val="ＭＳ Ｐゴシック"/>
        <family val="3"/>
        <charset val="128"/>
        <scheme val="minor"/>
      </rPr>
      <t>金尊</t>
    </r>
  </si>
  <si>
    <r>
      <t>徐大</t>
    </r>
    <r>
      <rPr>
        <sz val="11"/>
        <color theme="1"/>
        <rFont val="ＭＳ Ｐゴシック"/>
        <family val="3"/>
        <charset val="134"/>
        <scheme val="minor"/>
      </rPr>
      <t>庆</t>
    </r>
  </si>
  <si>
    <r>
      <t>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黄酒; 米酒;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</t>
    </r>
  </si>
  <si>
    <r>
      <t>快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十分 HAPPY EXTRA</t>
    </r>
  </si>
  <si>
    <r>
      <t>白酒;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</si>
  <si>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t>HAPPY EXTRA</t>
  </si>
  <si>
    <r>
      <t xml:space="preserve">开胃酒;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汽酒; 利口酒;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</si>
  <si>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t>婪宝元气</t>
  </si>
  <si>
    <t>惠州市婪宝元气健康管理有限公司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</si>
  <si>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白酒; 葡萄酒; 蜂蜜酒;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</si>
  <si>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问</t>
    </r>
    <r>
      <rPr>
        <sz val="11"/>
        <color theme="1"/>
        <rFont val="ＭＳ Ｐゴシック"/>
        <family val="3"/>
        <charset val="128"/>
        <scheme val="minor"/>
      </rPr>
      <t>半生</t>
    </r>
  </si>
  <si>
    <t>孟国平</t>
  </si>
  <si>
    <r>
      <t xml:space="preserve">黄酒; 开胃酒;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梨酒; 果酒（含酒精）</t>
    </r>
  </si>
  <si>
    <r>
      <t>聚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</si>
  <si>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广西滴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</si>
  <si>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威士忌;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</si>
  <si>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初脉清花</t>
  </si>
  <si>
    <t>康中斌</t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</si>
  <si>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清酒;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</si>
  <si>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德爵福</t>
  </si>
  <si>
    <r>
      <t>内蒙古德爵文化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</si>
  <si>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果酒（含酒精）</t>
    </r>
  </si>
  <si>
    <t>黄布倒影</t>
  </si>
  <si>
    <r>
      <t>广西南宁同心</t>
    </r>
    <r>
      <rPr>
        <sz val="11"/>
        <color theme="1"/>
        <rFont val="ＭＳ Ｐゴシック"/>
        <family val="3"/>
        <charset val="134"/>
        <scheme val="minor"/>
      </rPr>
      <t>圆贸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</si>
  <si>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</t>
    </r>
  </si>
  <si>
    <t>积风</t>
  </si>
  <si>
    <r>
      <t>内蒙古听雪网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</si>
  <si>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</si>
  <si>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天山</t>
    </r>
    <r>
      <rPr>
        <sz val="11"/>
        <color theme="1"/>
        <rFont val="ＭＳ Ｐゴシック"/>
        <family val="3"/>
        <charset val="134"/>
        <scheme val="minor"/>
      </rPr>
      <t>临</t>
    </r>
    <r>
      <rPr>
        <sz val="11"/>
        <color theme="1"/>
        <rFont val="ＭＳ Ｐゴシック"/>
        <family val="3"/>
        <charset val="128"/>
        <scheme val="minor"/>
      </rPr>
      <t>海迹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</si>
  <si>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海之迹供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</si>
  <si>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黄酒; 清酒; 米酒</t>
    </r>
  </si>
  <si>
    <t>玉梅夭</t>
  </si>
  <si>
    <r>
      <t>成都市鑫涵</t>
    </r>
    <r>
      <rPr>
        <sz val="11"/>
        <color theme="1"/>
        <rFont val="ＭＳ Ｐゴシック"/>
        <family val="3"/>
        <charset val="134"/>
        <scheme val="minor"/>
      </rPr>
      <t>钰</t>
    </r>
    <r>
      <rPr>
        <sz val="11"/>
        <color theme="1"/>
        <rFont val="ＭＳ Ｐゴシック"/>
        <family val="3"/>
        <charset val="128"/>
        <scheme val="minor"/>
      </rPr>
      <t>文化科技有限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</si>
  <si>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青梅酒; 果酒;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梅酒</t>
    </r>
  </si>
  <si>
    <t>晋液</t>
  </si>
  <si>
    <t>李金海</t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</si>
  <si>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高粱酒; 露酒; 白干酒（中国白酒）;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果酒; 葡萄酒</t>
    </r>
  </si>
  <si>
    <t>JIDETCM</t>
  </si>
  <si>
    <r>
      <t>上海康臣医院投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</si>
  <si>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开胃酒;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蒸煮提取物（利口酒和烈酒）;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</si>
  <si>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匠桂仁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</si>
  <si>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烈酒; 高粱酒; 果酒; 米酒;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</si>
  <si>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蓥</t>
    </r>
    <r>
      <rPr>
        <sz val="11"/>
        <color theme="1"/>
        <rFont val="ＭＳ Ｐゴシック"/>
        <family val="3"/>
        <charset val="128"/>
        <scheme val="minor"/>
      </rPr>
      <t>山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</si>
  <si>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广安森林雨茶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</si>
  <si>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高粱酒; 葡萄酒; 清酒;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日本松</t>
    </r>
    <r>
      <rPr>
        <sz val="11"/>
        <color theme="1"/>
        <rFont val="ＭＳ Ｐゴシック"/>
        <family val="3"/>
        <charset val="134"/>
        <scheme val="minor"/>
      </rPr>
      <t>针</t>
    </r>
    <r>
      <rPr>
        <sz val="11"/>
        <color theme="1"/>
        <rFont val="ＭＳ Ｐゴシック"/>
        <family val="3"/>
        <charset val="128"/>
        <scheme val="minor"/>
      </rPr>
      <t>酒; 果酒; 黄酒; 食用酒精; 白酒; 米酒</t>
    </r>
  </si>
  <si>
    <r>
      <t>创</t>
    </r>
    <r>
      <rPr>
        <sz val="11"/>
        <color theme="1"/>
        <rFont val="ＭＳ Ｐゴシック"/>
        <family val="3"/>
        <charset val="128"/>
        <scheme val="minor"/>
      </rPr>
      <t>薏同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</si>
  <si>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威士忌;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利口酒;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伏特加酒</t>
    </r>
  </si>
  <si>
    <t>醉得味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</si>
  <si>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白酒; 米酒; 果酒（含酒精）; 伏特加酒</t>
    </r>
  </si>
  <si>
    <t>桑医生</t>
  </si>
  <si>
    <r>
      <t>广西中惠旅智慧文旅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</si>
  <si>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草本型利口酒; 清酒（日本米酒）; 梨酒; 米酒; 露酒</t>
    </r>
  </si>
  <si>
    <t>溪樽台</t>
  </si>
  <si>
    <r>
      <t>冶英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</si>
  <si>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开胃酒; 青稞酒;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米酒</t>
    </r>
  </si>
  <si>
    <r>
      <t>邢</t>
    </r>
    <r>
      <rPr>
        <sz val="11"/>
        <color theme="1"/>
        <rFont val="ＭＳ Ｐゴシック"/>
        <family val="3"/>
        <charset val="129"/>
        <scheme val="minor"/>
      </rPr>
      <t>嘟嘟</t>
    </r>
  </si>
  <si>
    <r>
      <t>姚</t>
    </r>
    <r>
      <rPr>
        <sz val="11"/>
        <color theme="1"/>
        <rFont val="ＭＳ Ｐゴシック"/>
        <family val="3"/>
        <charset val="134"/>
        <scheme val="minor"/>
      </rPr>
      <t>帅</t>
    </r>
  </si>
  <si>
    <r>
      <t xml:space="preserve">果酒; 食用酒精; 黄酒; 米酒; 清酒; 白酒; 白干酒（中国白酒）; 烈酒;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</si>
  <si>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迎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</si>
  <si>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开胃酒; 青稞酒;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</si>
  <si>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岳硬</t>
    </r>
    <r>
      <rPr>
        <sz val="11"/>
        <color theme="1"/>
        <rFont val="ＭＳ Ｐゴシック"/>
        <family val="3"/>
        <charset val="134"/>
        <scheme val="minor"/>
      </rPr>
      <t>汉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</si>
  <si>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泰穗山酒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</si>
  <si>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青稞酒;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威士忌; 白酒; 葡萄酒;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</t>
    </r>
  </si>
  <si>
    <t>帝荒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</si>
  <si>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高粱酒; 烈酒;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</si>
  <si>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栖道</t>
  </si>
  <si>
    <t>北京中淏健康科技有限公司</t>
  </si>
  <si>
    <r>
      <t xml:space="preserve">米酒; 果酒（含酒精）; 黄酒; 高粱酒;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威士忌; 葡萄酒</t>
    </r>
  </si>
  <si>
    <t>今福清花</t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</si>
  <si>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白酒; 黄酒; 米酒; 果酒</t>
    </r>
  </si>
  <si>
    <t>吉朝庄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</si>
  <si>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东爱</t>
    </r>
    <r>
      <rPr>
        <sz val="11"/>
        <color theme="1"/>
        <rFont val="ＭＳ Ｐゴシック"/>
        <family val="3"/>
        <charset val="128"/>
        <scheme val="minor"/>
      </rPr>
      <t>心中</t>
    </r>
    <r>
      <rPr>
        <sz val="11"/>
        <color theme="1"/>
        <rFont val="ＭＳ Ｐゴシック"/>
        <family val="3"/>
        <charset val="134"/>
        <scheme val="minor"/>
      </rPr>
      <t>药饮</t>
    </r>
    <r>
      <rPr>
        <sz val="11"/>
        <color theme="1"/>
        <rFont val="ＭＳ Ｐゴシック"/>
        <family val="3"/>
        <charset val="128"/>
        <scheme val="minor"/>
      </rPr>
      <t>片有限公司</t>
    </r>
  </si>
  <si>
    <r>
      <t>葡萄酒;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白干酒（中国白酒）;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黄酒; 清酒; 烈酒</t>
    </r>
  </si>
  <si>
    <t>聊小白</t>
  </si>
  <si>
    <r>
      <t>苏</t>
    </r>
    <r>
      <rPr>
        <sz val="11"/>
        <color theme="1"/>
        <rFont val="ＭＳ Ｐゴシック"/>
        <family val="3"/>
        <charset val="128"/>
        <scheme val="minor"/>
      </rPr>
      <t>培磊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</si>
  <si>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黄酒; 果酒; 利口酒;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</si>
  <si>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羽谷一川</t>
  </si>
  <si>
    <r>
      <t>四川西南研科生物技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</si>
  <si>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葡萄酒</t>
    </r>
  </si>
  <si>
    <t>秋叔的酒</t>
  </si>
  <si>
    <r>
      <t>广州初</t>
    </r>
    <r>
      <rPr>
        <sz val="11"/>
        <color theme="1"/>
        <rFont val="ＭＳ Ｐゴシック"/>
        <family val="3"/>
        <charset val="134"/>
        <scheme val="minor"/>
      </rPr>
      <t>进传</t>
    </r>
    <r>
      <rPr>
        <sz val="11"/>
        <color theme="1"/>
        <rFont val="ＭＳ Ｐゴシック"/>
        <family val="3"/>
        <charset val="128"/>
        <scheme val="minor"/>
      </rPr>
      <t>媒科技有限公司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</si>
  <si>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果酒; 葡萄酒</t>
    </r>
  </si>
  <si>
    <r>
      <t>书</t>
    </r>
    <r>
      <rPr>
        <sz val="11"/>
        <color theme="1"/>
        <rFont val="ＭＳ Ｐゴシック"/>
        <family val="3"/>
        <charset val="128"/>
        <scheme val="minor"/>
      </rPr>
      <t>香成</t>
    </r>
    <r>
      <rPr>
        <sz val="11"/>
        <color theme="1"/>
        <rFont val="ＭＳ Ｐゴシック"/>
        <family val="3"/>
        <charset val="134"/>
        <scheme val="minor"/>
      </rPr>
      <t>电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</si>
  <si>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清酒（日本米酒）;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</si>
  <si>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绵</t>
    </r>
    <r>
      <rPr>
        <sz val="11"/>
        <color theme="1"/>
        <rFont val="ＭＳ Ｐゴシック"/>
        <family val="3"/>
        <charset val="128"/>
        <scheme val="minor"/>
      </rPr>
      <t>无双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</si>
  <si>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清酒（日本米酒）; 青稞酒</t>
    </r>
  </si>
  <si>
    <r>
      <t>异</t>
    </r>
    <r>
      <rPr>
        <sz val="11"/>
        <color theme="1"/>
        <rFont val="ＭＳ Ｐゴシック"/>
        <family val="3"/>
        <charset val="134"/>
        <scheme val="minor"/>
      </rPr>
      <t>壶</t>
    </r>
    <r>
      <rPr>
        <sz val="11"/>
        <color theme="1"/>
        <rFont val="ＭＳ Ｐゴシック"/>
        <family val="3"/>
        <charset val="128"/>
        <scheme val="minor"/>
      </rPr>
      <t>甄品</t>
    </r>
  </si>
  <si>
    <r>
      <t>西安异</t>
    </r>
    <r>
      <rPr>
        <sz val="11"/>
        <color theme="1"/>
        <rFont val="ＭＳ Ｐゴシック"/>
        <family val="3"/>
        <charset val="134"/>
        <scheme val="minor"/>
      </rPr>
      <t>壶</t>
    </r>
    <r>
      <rPr>
        <sz val="11"/>
        <color theme="1"/>
        <rFont val="ＭＳ Ｐゴシック"/>
        <family val="3"/>
        <charset val="128"/>
        <scheme val="minor"/>
      </rPr>
      <t>甄品陶瓷有限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</si>
  <si>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餐后酒（利口酒和烈酒）; 黄酒; 食用酒精;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青稞酒;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米酒; 果酒（含酒精）</t>
    </r>
  </si>
  <si>
    <t>蒙金氏</t>
  </si>
  <si>
    <t>金牛******************</t>
  </si>
  <si>
    <r>
      <t>果酒（含酒精）;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</si>
  <si>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北京鑫</t>
    </r>
    <r>
      <rPr>
        <sz val="11"/>
        <color theme="1"/>
        <rFont val="ＭＳ Ｐゴシック"/>
        <family val="3"/>
        <charset val="134"/>
        <scheme val="minor"/>
      </rPr>
      <t>记伟业</t>
    </r>
    <r>
      <rPr>
        <sz val="11"/>
        <color theme="1"/>
        <rFont val="ＭＳ Ｐゴシック"/>
        <family val="3"/>
        <charset val="128"/>
        <scheme val="minor"/>
      </rPr>
      <t>食品集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</si>
  <si>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果酒（含酒精）; 汽酒;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</si>
  <si>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r>
      <t>道</t>
    </r>
    <r>
      <rPr>
        <sz val="11"/>
        <color theme="1"/>
        <rFont val="ＭＳ Ｐゴシック"/>
        <family val="3"/>
        <charset val="134"/>
        <scheme val="minor"/>
      </rPr>
      <t>浔</t>
    </r>
  </si>
  <si>
    <r>
      <t>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白酒; 果酒（含酒精）</t>
    </r>
  </si>
  <si>
    <t>老凹沟</t>
  </si>
  <si>
    <r>
      <t>新疆</t>
    </r>
    <r>
      <rPr>
        <sz val="11"/>
        <color theme="1"/>
        <rFont val="ＭＳ Ｐゴシック"/>
        <family val="3"/>
        <charset val="134"/>
        <scheme val="minor"/>
      </rPr>
      <t>绿岛</t>
    </r>
    <r>
      <rPr>
        <sz val="11"/>
        <color theme="1"/>
        <rFont val="ＭＳ Ｐゴシック"/>
        <family val="3"/>
        <charset val="128"/>
        <scheme val="minor"/>
      </rPr>
      <t>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</si>
  <si>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</si>
  <si>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趁晟</t>
  </si>
  <si>
    <r>
      <t>怀</t>
    </r>
    <r>
      <rPr>
        <sz val="11"/>
        <color theme="1"/>
        <rFont val="ＭＳ Ｐゴシック"/>
        <family val="3"/>
        <charset val="128"/>
        <scheme val="minor"/>
      </rPr>
      <t>来</t>
    </r>
    <r>
      <rPr>
        <sz val="11"/>
        <color theme="1"/>
        <rFont val="ＭＳ Ｐゴシック"/>
        <family val="3"/>
        <charset val="134"/>
        <scheme val="minor"/>
      </rPr>
      <t>锁钥</t>
    </r>
    <r>
      <rPr>
        <sz val="11"/>
        <color theme="1"/>
        <rFont val="ＭＳ Ｐゴシック"/>
        <family val="3"/>
        <charset val="128"/>
        <scheme val="minor"/>
      </rPr>
      <t>文旅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</si>
  <si>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</si>
  <si>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春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序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</si>
  <si>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梨酒;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白酒; 开胃酒; 果酒（含酒精）</t>
    </r>
  </si>
  <si>
    <t>海郁</t>
  </si>
  <si>
    <t>蔡灵</t>
  </si>
  <si>
    <r>
      <t>清酒（日本米酒）; 威士忌; 葡萄酒;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开胃酒</t>
    </r>
  </si>
  <si>
    <r>
      <t>书</t>
    </r>
    <r>
      <rPr>
        <sz val="11"/>
        <color theme="1"/>
        <rFont val="ＭＳ Ｐゴシック"/>
        <family val="3"/>
        <charset val="128"/>
        <scheme val="minor"/>
      </rPr>
      <t>香祥泰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</si>
  <si>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</si>
  <si>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源无双</t>
  </si>
  <si>
    <r>
      <t>果酒（含酒精）; 餐后酒（利口酒和烈酒）;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</t>
    </r>
  </si>
  <si>
    <t>TIKO</t>
  </si>
  <si>
    <r>
      <t>广西南宁</t>
    </r>
    <r>
      <rPr>
        <sz val="11"/>
        <color theme="1"/>
        <rFont val="ＭＳ Ｐゴシック"/>
        <family val="3"/>
        <charset val="134"/>
        <scheme val="minor"/>
      </rPr>
      <t>叁阖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</si>
  <si>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</si>
  <si>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並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祥</t>
    </r>
  </si>
  <si>
    <r>
      <t xml:space="preserve">利口酒; 黄酒; 果酒（含酒精）; 米酒;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清酒（日本米酒）; 白酒</t>
    </r>
  </si>
  <si>
    <t>RICHNOVA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</si>
  <si>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东维</t>
    </r>
    <r>
      <rPr>
        <sz val="11"/>
        <color theme="1"/>
        <rFont val="ＭＳ Ｐゴシック"/>
        <family val="3"/>
        <charset val="128"/>
        <scheme val="minor"/>
      </rPr>
      <t>尼文化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意研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</si>
  <si>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含酒精的气泡水;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餐后酒（利口酒和烈酒）; 果酒（含酒精）</t>
    </r>
  </si>
  <si>
    <r>
      <t>庆</t>
    </r>
    <r>
      <rPr>
        <sz val="11"/>
        <color theme="1"/>
        <rFont val="ＭＳ Ｐゴシック"/>
        <family val="3"/>
        <charset val="128"/>
        <scheme val="minor"/>
      </rPr>
      <t>花醉</t>
    </r>
  </si>
  <si>
    <r>
      <t>张丽</t>
    </r>
    <r>
      <rPr>
        <sz val="11"/>
        <color theme="1"/>
        <rFont val="ＭＳ Ｐゴシック"/>
        <family val="3"/>
        <charset val="128"/>
        <scheme val="minor"/>
      </rPr>
      <t>文</t>
    </r>
  </si>
  <si>
    <r>
      <t>白酒;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白葡萄酒</t>
    </r>
  </si>
  <si>
    <t>井家姓</t>
  </si>
  <si>
    <t>井大魏</t>
  </si>
  <si>
    <r>
      <t xml:space="preserve">开胃酒; 梨酒;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清酒（日本米酒）; 米酒;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</si>
  <si>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江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</si>
  <si>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艳</t>
    </r>
    <r>
      <rPr>
        <sz val="11"/>
        <color theme="1"/>
        <rFont val="ＭＳ Ｐゴシック"/>
        <family val="3"/>
        <charset val="128"/>
        <scheme val="minor"/>
      </rPr>
      <t>山******************</t>
    </r>
  </si>
  <si>
    <r>
      <t xml:space="preserve">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清酒;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</t>
    </r>
  </si>
  <si>
    <r>
      <t>杭州千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湖蒋和友酒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</si>
  <si>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利口酒</t>
    </r>
  </si>
  <si>
    <r>
      <t>三合君</t>
    </r>
    <r>
      <rPr>
        <sz val="11"/>
        <color theme="1"/>
        <rFont val="ＭＳ Ｐゴシック"/>
        <family val="3"/>
        <charset val="134"/>
        <scheme val="minor"/>
      </rPr>
      <t>润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</si>
  <si>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州三合君</t>
    </r>
    <r>
      <rPr>
        <sz val="11"/>
        <color theme="1"/>
        <rFont val="ＭＳ Ｐゴシック"/>
        <family val="3"/>
        <charset val="134"/>
        <scheme val="minor"/>
      </rPr>
      <t>润贸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</si>
  <si>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米酒;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</si>
  <si>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r>
      <t>爱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呵</t>
    </r>
  </si>
  <si>
    <r>
      <t>新疆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呵生物制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</si>
  <si>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青稞酒; 白酒; 薄荷酒; 开胃酒; 米酒</t>
    </r>
  </si>
  <si>
    <t>同沙台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</si>
  <si>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利口酒;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果酒（含酒精）;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</si>
  <si>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宽</t>
    </r>
    <r>
      <rPr>
        <sz val="11"/>
        <color theme="1"/>
        <rFont val="ＭＳ Ｐゴシック"/>
        <family val="3"/>
        <charset val="128"/>
        <scheme val="minor"/>
      </rPr>
      <t>街晶方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</si>
  <si>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蜂蜜酒; 果酒（含酒精）; 米酒; 开胃酒;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</si>
  <si>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宸仰堂</t>
  </si>
  <si>
    <t>安徽科宸科技有限公司</t>
  </si>
  <si>
    <r>
      <t>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清酒; 白酒;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开胃酒</t>
    </r>
  </si>
  <si>
    <r>
      <t>HOYOBANQUET 好友</t>
    </r>
    <r>
      <rPr>
        <sz val="11"/>
        <color theme="1"/>
        <rFont val="ＭＳ Ｐゴシック"/>
        <family val="3"/>
        <charset val="134"/>
        <scheme val="minor"/>
      </rPr>
      <t>缘</t>
    </r>
  </si>
  <si>
    <t>广西永恒文化有限公司</t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</si>
  <si>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高粱酒; 白葡萄酒; 白酒</t>
    </r>
  </si>
  <si>
    <r>
      <t>正蒙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云</t>
    </r>
  </si>
  <si>
    <r>
      <t>张传</t>
    </r>
    <r>
      <rPr>
        <sz val="11"/>
        <color theme="1"/>
        <rFont val="ＭＳ Ｐゴシック"/>
        <family val="3"/>
        <charset val="128"/>
        <scheme val="minor"/>
      </rPr>
      <t>武</t>
    </r>
  </si>
  <si>
    <r>
      <t>含酒精的气泡水;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蜂蜜酒;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 xml:space="preserve">族米酒;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</si>
  <si>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趁盛</t>
  </si>
  <si>
    <r>
      <t>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黄酒</t>
    </r>
  </si>
  <si>
    <r>
      <t>忆</t>
    </r>
    <r>
      <rPr>
        <sz val="11"/>
        <color theme="1"/>
        <rFont val="ＭＳ Ｐゴシック"/>
        <family val="3"/>
        <charset val="128"/>
        <scheme val="minor"/>
      </rPr>
      <t>思</t>
    </r>
    <r>
      <rPr>
        <sz val="11"/>
        <color theme="1"/>
        <rFont val="ＭＳ Ｐゴシック"/>
        <family val="3"/>
        <charset val="134"/>
        <scheme val="minor"/>
      </rPr>
      <t>苏</t>
    </r>
  </si>
  <si>
    <t>方多多</t>
  </si>
  <si>
    <r>
      <t xml:space="preserve">食用酒精; 薄荷酒; 茴芹酒（利口酒）;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汽酒; 青稞酒; 苦味酒; 白酒</t>
    </r>
  </si>
  <si>
    <r>
      <t>书</t>
    </r>
    <r>
      <rPr>
        <sz val="11"/>
        <color theme="1"/>
        <rFont val="ＭＳ Ｐゴシック"/>
        <family val="3"/>
        <charset val="128"/>
        <scheme val="minor"/>
      </rPr>
      <t>香峨眉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</si>
  <si>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葡萄酒;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</si>
  <si>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保加利</t>
  </si>
  <si>
    <r>
      <t>弈</t>
    </r>
    <r>
      <rPr>
        <sz val="11"/>
        <color theme="1"/>
        <rFont val="ＭＳ Ｐゴシック"/>
        <family val="3"/>
        <charset val="134"/>
        <scheme val="minor"/>
      </rPr>
      <t>剑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酒庄（深圳）有限公司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</si>
  <si>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</si>
  <si>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弈</t>
    </r>
    <r>
      <rPr>
        <sz val="11"/>
        <color theme="1"/>
        <rFont val="ＭＳ Ｐゴシック"/>
        <family val="3"/>
        <charset val="134"/>
        <scheme val="minor"/>
      </rPr>
      <t>剑</t>
    </r>
    <r>
      <rPr>
        <sz val="11"/>
        <color theme="1"/>
        <rFont val="ＭＳ Ｐゴシック"/>
        <family val="3"/>
        <charset val="128"/>
        <scheme val="minor"/>
      </rPr>
      <t>听雨</t>
    </r>
    <r>
      <rPr>
        <sz val="11"/>
        <color theme="1"/>
        <rFont val="ＭＳ Ｐゴシック"/>
        <family val="3"/>
        <charset val="134"/>
        <scheme val="minor"/>
      </rPr>
      <t>阁</t>
    </r>
  </si>
  <si>
    <r>
      <t>白葡萄酒; 威士忌;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伏特加酒; 加烈葡萄酒;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</si>
  <si>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乾迎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</si>
  <si>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果酒（含酒精）;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白酒;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</si>
  <si>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铭</t>
    </r>
    <r>
      <rPr>
        <sz val="11"/>
        <color theme="1"/>
        <rFont val="ＭＳ Ｐゴシック"/>
        <family val="3"/>
        <charset val="128"/>
        <scheme val="minor"/>
      </rPr>
      <t>廷金</t>
    </r>
    <r>
      <rPr>
        <sz val="11"/>
        <color theme="1"/>
        <rFont val="ＭＳ Ｐゴシック"/>
        <family val="3"/>
        <charset val="134"/>
        <scheme val="minor"/>
      </rPr>
      <t>钻</t>
    </r>
    <r>
      <rPr>
        <sz val="11"/>
        <color theme="1"/>
        <rFont val="ＭＳ Ｐゴシック"/>
        <family val="3"/>
        <charset val="128"/>
        <scheme val="minor"/>
      </rPr>
      <t>礼酒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</si>
  <si>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州国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黔茅酒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</si>
  <si>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葡萄酒; 汽酒;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</si>
  <si>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TIKO SPIRITS</t>
  </si>
  <si>
    <r>
      <t>开胃酒;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</si>
  <si>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上捷</t>
    </r>
  </si>
  <si>
    <r>
      <t>上海富</t>
    </r>
    <r>
      <rPr>
        <sz val="11"/>
        <color theme="1"/>
        <rFont val="ＭＳ Ｐゴシック"/>
        <family val="3"/>
        <charset val="134"/>
        <scheme val="minor"/>
      </rPr>
      <t>灿</t>
    </r>
    <r>
      <rPr>
        <sz val="11"/>
        <color theme="1"/>
        <rFont val="ＭＳ Ｐゴシック"/>
        <family val="3"/>
        <charset val="128"/>
        <scheme val="minor"/>
      </rPr>
      <t>城文化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</si>
  <si>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甜酒; 开胃酒;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梅酒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</si>
  <si>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福盈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</si>
  <si>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市宏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盈酒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</si>
  <si>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高粱酒; 青稞酒; 黄酒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</si>
  <si>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元窖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</si>
  <si>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香酒酒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</si>
  <si>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威士忌</t>
    </r>
  </si>
  <si>
    <r>
      <t>天香嘉</t>
    </r>
    <r>
      <rPr>
        <sz val="11"/>
        <color theme="1"/>
        <rFont val="ＭＳ Ｐゴシック"/>
        <family val="3"/>
        <charset val="134"/>
        <scheme val="minor"/>
      </rPr>
      <t>润</t>
    </r>
  </si>
  <si>
    <r>
      <t>芜</t>
    </r>
    <r>
      <rPr>
        <sz val="11"/>
        <color theme="1"/>
        <rFont val="ＭＳ Ｐゴシック"/>
        <family val="3"/>
        <charset val="128"/>
        <scheme val="minor"/>
      </rPr>
      <t>湖天香嘉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食品</t>
    </r>
    <r>
      <rPr>
        <sz val="11"/>
        <color theme="1"/>
        <rFont val="ＭＳ Ｐゴシック"/>
        <family val="3"/>
        <charset val="134"/>
        <scheme val="minor"/>
      </rPr>
      <t>经销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</si>
  <si>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果酒（含酒精）; 葡萄酒; 黄酒</t>
    </r>
  </si>
  <si>
    <r>
      <t>盛九</t>
    </r>
    <r>
      <rPr>
        <sz val="11"/>
        <color theme="1"/>
        <rFont val="ＭＳ Ｐゴシック"/>
        <family val="3"/>
        <charset val="134"/>
        <scheme val="minor"/>
      </rPr>
      <t>爷</t>
    </r>
  </si>
  <si>
    <r>
      <t>凌</t>
    </r>
    <r>
      <rPr>
        <sz val="11"/>
        <color theme="1"/>
        <rFont val="ＭＳ Ｐゴシック"/>
        <family val="3"/>
        <charset val="134"/>
        <scheme val="minor"/>
      </rPr>
      <t>晓锋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</si>
  <si>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餐后酒（利口酒和烈酒）;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</si>
  <si>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ILOVENEST</t>
  </si>
  <si>
    <r>
      <t>巢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我（常州）技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</si>
  <si>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汽酒; 含酒精的气泡水; 米酒;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果酒（含酒精）; 白酒</t>
    </r>
  </si>
  <si>
    <r>
      <t>为</t>
    </r>
    <r>
      <rPr>
        <sz val="11"/>
        <color theme="1"/>
        <rFont val="ＭＳ Ｐゴシック"/>
        <family val="3"/>
        <charset val="128"/>
        <scheme val="minor"/>
      </rPr>
      <t>可佳</t>
    </r>
  </si>
  <si>
    <r>
      <t>沈阳市奕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</si>
  <si>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开胃酒;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</si>
  <si>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BOLNNLET</t>
  </si>
  <si>
    <t>刘冲</t>
  </si>
  <si>
    <r>
      <t>混合威士忌酒; 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食用酒精; 烈性干酒; 高粱酒</t>
    </r>
  </si>
  <si>
    <t>绘澜</t>
  </si>
  <si>
    <r>
      <t>广州了不起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</si>
  <si>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梅酒; 烈酒; 果酒;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薄荷酒</t>
    </r>
  </si>
  <si>
    <r>
      <t>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开胃酒;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</t>
    </r>
  </si>
  <si>
    <t>炎黄佳</t>
  </si>
  <si>
    <r>
      <t>苹果酒;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苦味酒; 开胃酒; 餐后酒（利口酒和烈酒）; 白酒;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</si>
  <si>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炎黄君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</si>
  <si>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白酒; 青稞酒; 开胃酒; 利口酒; 清酒（日本米酒）; 餐后酒（利口酒和烈酒）;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</si>
  <si>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丹莓</t>
    </r>
    <r>
      <rPr>
        <sz val="11"/>
        <color theme="1"/>
        <rFont val="ＭＳ Ｐゴシック"/>
        <family val="3"/>
        <charset val="134"/>
        <scheme val="minor"/>
      </rPr>
      <t>红</t>
    </r>
  </si>
  <si>
    <t>刘玉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</si>
  <si>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米酒;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</si>
  <si>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大道衍</t>
    </r>
    <r>
      <rPr>
        <sz val="11"/>
        <color theme="1"/>
        <rFont val="ＭＳ Ｐゴシック"/>
        <family val="3"/>
        <charset val="134"/>
        <scheme val="minor"/>
      </rPr>
      <t>庆</t>
    </r>
  </si>
  <si>
    <r>
      <t>深圳市大道衍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</si>
  <si>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开胃酒;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米酒; 葡萄酒;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</si>
  <si>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囿黔程</t>
  </si>
  <si>
    <t>柏桂英</t>
  </si>
  <si>
    <r>
      <t xml:space="preserve">白干酒（中国白酒）;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用烈酒;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食用酒精; 清酒; 白酒; 米酒; 果酒; 高粱酒</t>
    </r>
  </si>
  <si>
    <r>
      <t>鲜</t>
    </r>
    <r>
      <rPr>
        <sz val="11"/>
        <color theme="1"/>
        <rFont val="ＭＳ Ｐゴシック"/>
        <family val="3"/>
        <charset val="128"/>
        <scheme val="minor"/>
      </rPr>
      <t>云野趣</t>
    </r>
  </si>
  <si>
    <r>
      <t>云南拈花笑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</si>
  <si>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青稞酒; 果酒（含酒精）</t>
    </r>
  </si>
  <si>
    <t>椰道</t>
  </si>
  <si>
    <r>
      <t>葡萄酒; 果酒; 黄酒; 高粱酒; 露酒; 白酒;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</si>
  <si>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精穗</t>
  </si>
  <si>
    <r>
      <t>梁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勇</t>
    </r>
  </si>
  <si>
    <r>
      <t>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米酒</t>
    </r>
  </si>
  <si>
    <r>
      <t>晟睿</t>
    </r>
    <r>
      <rPr>
        <sz val="11"/>
        <color theme="1"/>
        <rFont val="ＭＳ Ｐゴシック"/>
        <family val="3"/>
        <charset val="134"/>
        <scheme val="minor"/>
      </rPr>
      <t>鸿</t>
    </r>
  </si>
  <si>
    <r>
      <t>合肥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</si>
  <si>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酸酒（低等葡萄酒）;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</t>
    </r>
  </si>
  <si>
    <t>昆藏</t>
  </si>
  <si>
    <r>
      <t>广州昆竺商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</si>
  <si>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青稞酒;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</si>
  <si>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榆</t>
    </r>
    <r>
      <rPr>
        <sz val="11"/>
        <color theme="1"/>
        <rFont val="ＭＳ Ｐゴシック"/>
        <family val="3"/>
        <charset val="128"/>
        <scheme val="minor"/>
      </rPr>
      <t>莱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</si>
  <si>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 xml:space="preserve">威士忌; 黄酒; 苹果酒;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</si>
  <si>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活怡刻</t>
    </r>
  </si>
  <si>
    <r>
      <t>河南省</t>
    </r>
    <r>
      <rPr>
        <sz val="11"/>
        <color theme="1"/>
        <rFont val="ＭＳ Ｐゴシック"/>
        <family val="3"/>
        <charset val="134"/>
        <scheme val="minor"/>
      </rPr>
      <t>烁</t>
    </r>
    <r>
      <rPr>
        <sz val="11"/>
        <color theme="1"/>
        <rFont val="ＭＳ Ｐゴシック"/>
        <family val="3"/>
        <charset val="128"/>
        <scheme val="minor"/>
      </rPr>
      <t>果科技有限公司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</si>
  <si>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米酒;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白酒; 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</t>
    </r>
  </si>
  <si>
    <t>杏府醉翁</t>
  </si>
  <si>
    <r>
      <t>甜酒; 白干酒（中国白酒）; 米酒; 黄酒; 果酒; 白葡萄酒;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薄荷酒; 苹果酒; 白酒</t>
    </r>
  </si>
  <si>
    <t>丹心若水</t>
  </si>
  <si>
    <r>
      <t>医道</t>
    </r>
    <r>
      <rPr>
        <sz val="11"/>
        <color theme="1"/>
        <rFont val="ＭＳ Ｐゴシック"/>
        <family val="3"/>
        <charset val="134"/>
        <scheme val="minor"/>
      </rPr>
      <t>领</t>
    </r>
    <r>
      <rPr>
        <sz val="11"/>
        <color theme="1"/>
        <rFont val="ＭＳ Ｐゴシック"/>
        <family val="3"/>
        <charset val="128"/>
        <scheme val="minor"/>
      </rPr>
      <t>航（西安）科技有限公司</t>
    </r>
  </si>
  <si>
    <r>
      <t>米酒; 高粱酒; 果酒（含酒精）; 清酒（日本米酒）; 黄酒; 甜酒; 威士忌;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</si>
  <si>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离火</t>
    </r>
    <r>
      <rPr>
        <sz val="11"/>
        <color theme="1"/>
        <rFont val="ＭＳ Ｐゴシック"/>
        <family val="3"/>
        <charset val="134"/>
        <scheme val="minor"/>
      </rPr>
      <t>骑</t>
    </r>
    <r>
      <rPr>
        <sz val="11"/>
        <color theme="1"/>
        <rFont val="ＭＳ Ｐゴシック"/>
        <family val="3"/>
        <charset val="128"/>
        <scheme val="minor"/>
      </rPr>
      <t>士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</si>
  <si>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清酒（日本米酒）; 黄酒; 白酒; 葡萄酒; 威士忌; 米酒; 果酒（含酒精）; 高粱酒</t>
    </r>
  </si>
  <si>
    <r>
      <t>五弦</t>
    </r>
    <r>
      <rPr>
        <sz val="11"/>
        <color theme="1"/>
        <rFont val="ＭＳ Ｐゴシック"/>
        <family val="3"/>
        <charset val="134"/>
        <scheme val="minor"/>
      </rPr>
      <t>维爱</t>
    </r>
  </si>
  <si>
    <r>
      <t>秦皇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五弦</t>
    </r>
    <r>
      <rPr>
        <sz val="11"/>
        <color theme="1"/>
        <rFont val="ＭＳ Ｐゴシック"/>
        <family val="3"/>
        <charset val="134"/>
        <scheme val="minor"/>
      </rPr>
      <t>维爱</t>
    </r>
    <r>
      <rPr>
        <sz val="11"/>
        <color theme="1"/>
        <rFont val="ＭＳ Ｐゴシック"/>
        <family val="3"/>
        <charset val="128"/>
        <scheme val="minor"/>
      </rPr>
      <t>科技开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</si>
  <si>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蒸煮提取物（利口酒和烈酒）; 清酒;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</si>
  <si>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酒</t>
    </r>
    <r>
      <rPr>
        <sz val="11"/>
        <color theme="1"/>
        <rFont val="ＭＳ Ｐゴシック"/>
        <family val="3"/>
        <charset val="134"/>
        <scheme val="minor"/>
      </rPr>
      <t>鉴</t>
    </r>
    <r>
      <rPr>
        <sz val="11"/>
        <color theme="1"/>
        <rFont val="ＭＳ Ｐゴシック"/>
        <family val="3"/>
        <charset val="128"/>
        <scheme val="minor"/>
      </rPr>
      <t xml:space="preserve"> 十三朝</t>
    </r>
  </si>
  <si>
    <r>
      <t>白酒; 葡萄酒; 清酒（日本米酒）;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</si>
  <si>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禀天之祐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</si>
  <si>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州景琰</t>
    </r>
    <r>
      <rPr>
        <sz val="11"/>
        <color theme="1"/>
        <rFont val="ＭＳ Ｐゴシック"/>
        <family val="3"/>
        <charset val="134"/>
        <scheme val="minor"/>
      </rPr>
      <t>设计</t>
    </r>
    <r>
      <rPr>
        <sz val="11"/>
        <color theme="1"/>
        <rFont val="ＭＳ Ｐゴシック"/>
        <family val="3"/>
        <charset val="128"/>
        <scheme val="minor"/>
      </rPr>
      <t>策划有限公司</t>
    </r>
  </si>
  <si>
    <r>
      <t xml:space="preserve">白酒; 米酒; 葡萄酒;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高粱酒;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露酒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</si>
  <si>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方又舞</t>
    </r>
  </si>
  <si>
    <r>
      <t>蓝鲸电</t>
    </r>
    <r>
      <rPr>
        <sz val="11"/>
        <color theme="1"/>
        <rFont val="ＭＳ Ｐゴシック"/>
        <family val="3"/>
        <charset val="128"/>
        <scheme val="minor"/>
      </rPr>
      <t>器（深圳）有限公司</t>
    </r>
  </si>
  <si>
    <r>
      <t xml:space="preserve">米酒; 白酒; 烈酒; 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</si>
  <si>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际华</t>
    </r>
    <r>
      <rPr>
        <sz val="11"/>
        <color theme="1"/>
        <rFont val="ＭＳ Ｐゴシック"/>
        <family val="3"/>
        <charset val="128"/>
        <scheme val="minor"/>
      </rPr>
      <t>星空</t>
    </r>
  </si>
  <si>
    <r>
      <t>南京兵之魂商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</si>
  <si>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</si>
  <si>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誉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关</t>
    </r>
  </si>
  <si>
    <t>吴兵</t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</si>
  <si>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开胃酒; 清酒（日本米酒）;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</t>
    </r>
  </si>
  <si>
    <r>
      <t>双合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</si>
  <si>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>太原双合成文化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</si>
  <si>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青稞酒; 葡萄酒; 汽酒; 米酒; 白酒; 果酒（含酒精）;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</si>
  <si>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啵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仔</t>
    </r>
  </si>
  <si>
    <r>
      <t>四川孔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傅食品有限公司</t>
    </r>
  </si>
  <si>
    <r>
      <t>黄酒; 白酒;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餐后酒（利口酒和烈酒）; 蜂蜜酒</t>
    </r>
  </si>
  <si>
    <r>
      <t>鼎之</t>
    </r>
    <r>
      <rPr>
        <sz val="11"/>
        <color theme="1"/>
        <rFont val="ＭＳ Ｐゴシック"/>
        <family val="3"/>
        <charset val="134"/>
        <scheme val="minor"/>
      </rPr>
      <t>赏</t>
    </r>
  </si>
  <si>
    <r>
      <t>赵长</t>
    </r>
    <r>
      <rPr>
        <sz val="11"/>
        <color theme="1"/>
        <rFont val="ＭＳ Ｐゴシック"/>
        <family val="3"/>
        <charset val="128"/>
        <scheme val="minor"/>
      </rPr>
      <t>海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</si>
  <si>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餐后酒（利口酒和烈酒）; 葡萄酒; 白酒; 果酒（含酒精）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</si>
  <si>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五</t>
    </r>
    <r>
      <rPr>
        <sz val="11"/>
        <color theme="1"/>
        <rFont val="ＭＳ Ｐゴシック"/>
        <family val="3"/>
        <charset val="134"/>
        <scheme val="minor"/>
      </rPr>
      <t>剑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</si>
  <si>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小琴</t>
    </r>
  </si>
  <si>
    <r>
      <t>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青稞酒; 果酒（含酒精）</t>
    </r>
  </si>
  <si>
    <t>以酒</t>
  </si>
  <si>
    <t>吴万芸</t>
  </si>
  <si>
    <r>
      <t>白酒; 葡萄酒;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米酒; 开胃酒</t>
    </r>
  </si>
  <si>
    <t>器功</t>
  </si>
  <si>
    <r>
      <t>李明</t>
    </r>
    <r>
      <rPr>
        <sz val="11"/>
        <color theme="1"/>
        <rFont val="ＭＳ Ｐゴシック"/>
        <family val="3"/>
        <charset val="134"/>
        <scheme val="minor"/>
      </rPr>
      <t>娇</t>
    </r>
  </si>
  <si>
    <r>
      <t>葡萄酒;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威士忌; 伏特加酒</t>
    </r>
  </si>
  <si>
    <r>
      <t>粮</t>
    </r>
    <r>
      <rPr>
        <sz val="11"/>
        <color theme="1"/>
        <rFont val="ＭＳ Ｐゴシック"/>
        <family val="3"/>
        <charset val="134"/>
        <scheme val="minor"/>
      </rPr>
      <t>势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</si>
  <si>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高粱酒;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</si>
  <si>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菠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仔</t>
    </r>
  </si>
  <si>
    <r>
      <t>开胃酒;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葡萄酒; 果酒（含酒精）; 蜂蜜酒; 餐后酒（利口酒和烈酒）;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</si>
  <si>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际华</t>
    </r>
    <r>
      <rPr>
        <sz val="11"/>
        <color theme="1"/>
        <rFont val="ＭＳ Ｐゴシック"/>
        <family val="3"/>
        <charset val="128"/>
        <scheme val="minor"/>
      </rPr>
      <t>二一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</si>
  <si>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</si>
  <si>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HEWEIFU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</si>
  <si>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州和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</si>
  <si>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苹果酒; 葡萄酒; 白酒;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</si>
  <si>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早九客</t>
  </si>
  <si>
    <r>
      <t>河南友浩商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</si>
  <si>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苹果酒;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薄荷酒; 伏特加酒</t>
    </r>
  </si>
  <si>
    <r>
      <t>酝</t>
    </r>
    <r>
      <rPr>
        <sz val="11"/>
        <color theme="1"/>
        <rFont val="ＭＳ Ｐゴシック"/>
        <family val="3"/>
        <charset val="128"/>
        <scheme val="minor"/>
      </rPr>
      <t>遂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</si>
  <si>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菊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</si>
  <si>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甜酒; 果酒（含酒精）; 苦艾酒; 黄酒; 蝮蛇酒</t>
    </r>
  </si>
  <si>
    <r>
      <t>驿</t>
    </r>
    <r>
      <rPr>
        <sz val="11"/>
        <color theme="1"/>
        <rFont val="ＭＳ Ｐゴシック"/>
        <family val="3"/>
        <charset val="128"/>
        <scheme val="minor"/>
      </rPr>
      <t>香</t>
    </r>
    <r>
      <rPr>
        <sz val="11"/>
        <color theme="1"/>
        <rFont val="ＭＳ Ｐゴシック"/>
        <family val="3"/>
        <charset val="134"/>
        <scheme val="minor"/>
      </rPr>
      <t>莲</t>
    </r>
  </si>
  <si>
    <r>
      <t>刘井</t>
    </r>
    <r>
      <rPr>
        <sz val="11"/>
        <color theme="1"/>
        <rFont val="ＭＳ Ｐゴシック"/>
        <family val="3"/>
        <charset val="134"/>
        <scheme val="minor"/>
      </rPr>
      <t>发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</si>
  <si>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清酒（日本米酒）;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伏特加酒;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果酒（含酒精）; 朗姆酒</t>
    </r>
  </si>
  <si>
    <t>离火生威</t>
  </si>
  <si>
    <r>
      <t>葡萄酒; 黄酒; 甜酒; 清酒（日本米酒）;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高粱酒; 果酒（含酒精）; 威士忌</t>
    </r>
  </si>
  <si>
    <t>政南小酒</t>
  </si>
  <si>
    <r>
      <t>杜</t>
    </r>
    <r>
      <rPr>
        <sz val="11"/>
        <color theme="1"/>
        <rFont val="ＭＳ Ｐゴシック"/>
        <family val="3"/>
        <charset val="134"/>
        <scheme val="minor"/>
      </rPr>
      <t>艳丽</t>
    </r>
  </si>
  <si>
    <r>
      <t xml:space="preserve">果酒（含酒精）;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餐后酒（利口酒和烈酒）;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</si>
  <si>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山谷</t>
    </r>
    <r>
      <rPr>
        <sz val="11"/>
        <color theme="1"/>
        <rFont val="ＭＳ Ｐゴシック"/>
        <family val="3"/>
        <charset val="134"/>
        <scheme val="minor"/>
      </rPr>
      <t>蜗</t>
    </r>
    <r>
      <rPr>
        <sz val="11"/>
        <color theme="1"/>
        <rFont val="ＭＳ Ｐゴシック"/>
        <family val="3"/>
        <charset val="128"/>
        <scheme val="minor"/>
      </rPr>
      <t>牛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</si>
  <si>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添</t>
    </r>
  </si>
  <si>
    <r>
      <t>开胃酒;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白葡萄酒; 威士忌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</si>
  <si>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羊生物技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</si>
  <si>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佐餐酒;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食用酒精; 黄酒; 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水果汽酒</t>
    </r>
  </si>
  <si>
    <r>
      <t>仙女</t>
    </r>
    <r>
      <rPr>
        <sz val="11"/>
        <color theme="1"/>
        <rFont val="ＭＳ Ｐゴシック"/>
        <family val="3"/>
        <charset val="134"/>
        <scheme val="minor"/>
      </rPr>
      <t>赋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</si>
  <si>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庆腾</t>
    </r>
    <r>
      <rPr>
        <sz val="11"/>
        <color theme="1"/>
        <rFont val="ＭＳ Ｐゴシック"/>
        <family val="3"/>
        <charset val="128"/>
        <scheme val="minor"/>
      </rPr>
      <t>能工程管理有限公司</t>
    </r>
  </si>
  <si>
    <r>
      <t xml:space="preserve">白酒;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</si>
  <si>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戈拾玖</t>
  </si>
  <si>
    <r>
      <t>国仁</t>
    </r>
    <r>
      <rPr>
        <sz val="11"/>
        <color theme="1"/>
        <rFont val="ＭＳ Ｐゴシック"/>
        <family val="3"/>
        <charset val="134"/>
        <scheme val="minor"/>
      </rPr>
      <t>肽</t>
    </r>
    <r>
      <rPr>
        <sz val="11"/>
        <color theme="1"/>
        <rFont val="ＭＳ Ｐゴシック"/>
        <family val="3"/>
        <charset val="128"/>
        <scheme val="minor"/>
      </rPr>
      <t>健康品牌运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（广州）有限公司</t>
    </r>
  </si>
  <si>
    <r>
      <t>烈酒; 葡萄酒;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黄酒; 威士忌; 白干酒（中国白酒）</t>
    </r>
  </si>
  <si>
    <r>
      <t>天台</t>
    </r>
    <r>
      <rPr>
        <sz val="11"/>
        <color theme="1"/>
        <rFont val="ＭＳ Ｐゴシック"/>
        <family val="3"/>
        <charset val="134"/>
        <scheme val="minor"/>
      </rPr>
      <t>马东</t>
    </r>
    <r>
      <rPr>
        <sz val="11"/>
        <color theme="1"/>
        <rFont val="ＭＳ Ｐゴシック"/>
        <family val="3"/>
        <charset val="128"/>
        <scheme val="minor"/>
      </rPr>
      <t>嘻供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</si>
  <si>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朗姆酒</t>
    </r>
  </si>
  <si>
    <t>太极李杜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</si>
  <si>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果酒（含酒精）;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</si>
  <si>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孔翁</t>
  </si>
  <si>
    <r>
      <t>彭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梅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</si>
  <si>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</t>
    </r>
  </si>
  <si>
    <r>
      <t>论</t>
    </r>
    <r>
      <rPr>
        <sz val="11"/>
        <color theme="1"/>
        <rFont val="ＭＳ Ｐゴシック"/>
        <family val="3"/>
        <charset val="128"/>
        <scheme val="minor"/>
      </rPr>
      <t>道玖章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</si>
  <si>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灵象广告有限公司</t>
    </r>
  </si>
  <si>
    <r>
      <t>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朗姆酒; 威士忌; 黄酒;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</t>
    </r>
  </si>
  <si>
    <r>
      <t>河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色</t>
    </r>
  </si>
  <si>
    <r>
      <t>上海福阿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</si>
  <si>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白酒; 烈酒;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佐餐酒; 清酒; 白干酒（中国白酒）</t>
    </r>
  </si>
  <si>
    <t>光岳甲第</t>
  </si>
  <si>
    <r>
      <t>张银</t>
    </r>
    <r>
      <rPr>
        <sz val="11"/>
        <color theme="1"/>
        <rFont val="ＭＳ Ｐゴシック"/>
        <family val="3"/>
        <charset val="128"/>
        <scheme val="minor"/>
      </rPr>
      <t>明</t>
    </r>
  </si>
  <si>
    <r>
      <t xml:space="preserve">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</si>
  <si>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和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天久</t>
    </r>
  </si>
  <si>
    <r>
      <t>鹰</t>
    </r>
    <r>
      <rPr>
        <sz val="11"/>
        <color theme="1"/>
        <rFont val="ＭＳ Ｐゴシック"/>
        <family val="3"/>
        <charset val="128"/>
        <scheme val="minor"/>
      </rPr>
      <t>潭市月湖区福</t>
    </r>
    <r>
      <rPr>
        <sz val="11"/>
        <color theme="1"/>
        <rFont val="ＭＳ Ｐゴシック"/>
        <family val="3"/>
        <charset val="134"/>
        <scheme val="minor"/>
      </rPr>
      <t>邻门</t>
    </r>
    <r>
      <rPr>
        <sz val="11"/>
        <color theme="1"/>
        <rFont val="ＭＳ Ｐゴシック"/>
        <family val="3"/>
        <charset val="128"/>
        <scheme val="minor"/>
      </rPr>
      <t>超市店（个体工商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</si>
  <si>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葡萄酒; 米酒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</si>
  <si>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清酒（日本米酒）;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</si>
  <si>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蛋仔滑滑</t>
  </si>
  <si>
    <r>
      <t>网易（上海）网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</si>
  <si>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清酒;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</si>
  <si>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庄善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</si>
  <si>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果酒; 米酒; 清酒;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白酒</t>
    </r>
  </si>
  <si>
    <r>
      <t>康</t>
    </r>
    <r>
      <rPr>
        <sz val="11"/>
        <color theme="1"/>
        <rFont val="ＭＳ Ｐゴシック"/>
        <family val="3"/>
        <charset val="134"/>
        <scheme val="minor"/>
      </rPr>
      <t>诺蓝</t>
    </r>
  </si>
  <si>
    <r>
      <t>北京康</t>
    </r>
    <r>
      <rPr>
        <sz val="11"/>
        <color theme="1"/>
        <rFont val="ＭＳ Ｐゴシック"/>
        <family val="3"/>
        <charset val="134"/>
        <scheme val="minor"/>
      </rPr>
      <t>诺蓝环</t>
    </r>
    <r>
      <rPr>
        <sz val="11"/>
        <color theme="1"/>
        <rFont val="ＭＳ Ｐゴシック"/>
        <family val="3"/>
        <charset val="128"/>
        <scheme val="minor"/>
      </rPr>
      <t>保科技有限公司</t>
    </r>
  </si>
  <si>
    <r>
      <t>朗姆酒;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</si>
  <si>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释</t>
    </r>
    <r>
      <rPr>
        <sz val="11"/>
        <color theme="1"/>
        <rFont val="ＭＳ Ｐゴシック"/>
        <family val="3"/>
        <charset val="128"/>
        <scheme val="minor"/>
      </rPr>
      <t>君</t>
    </r>
    <r>
      <rPr>
        <sz val="11"/>
        <color theme="1"/>
        <rFont val="ＭＳ Ｐゴシック"/>
        <family val="3"/>
        <charset val="134"/>
        <scheme val="minor"/>
      </rPr>
      <t>盏</t>
    </r>
  </si>
  <si>
    <r>
      <t xml:space="preserve">米酒;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</si>
  <si>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醉美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和天下</t>
    </r>
  </si>
  <si>
    <r>
      <t>王殿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</si>
  <si>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果酒; 白酒; 白干酒（中国白酒）;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</si>
  <si>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小</t>
    </r>
    <r>
      <rPr>
        <sz val="11"/>
        <color theme="1"/>
        <rFont val="ＭＳ Ｐゴシック"/>
        <family val="3"/>
        <charset val="134"/>
        <scheme val="minor"/>
      </rPr>
      <t>浓</t>
    </r>
    <r>
      <rPr>
        <sz val="11"/>
        <color theme="1"/>
        <rFont val="ＭＳ Ｐゴシック"/>
        <family val="3"/>
        <charset val="128"/>
        <scheme val="minor"/>
      </rPr>
      <t>君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</si>
  <si>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米酒; 青稞酒;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</si>
  <si>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悦盈达</t>
  </si>
  <si>
    <t>深圳市桑金斯旅行有限公司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</si>
  <si>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五加皮酒（中国混合烈酒）;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烈酒; 清酒; 白干酒（中国白酒）</t>
    </r>
  </si>
  <si>
    <t>澶州八都</t>
  </si>
  <si>
    <t>吴春霞</t>
  </si>
  <si>
    <r>
      <t>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高粱酒;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果酒; 朗姆酒; 白酒; 白干酒（中国白酒）</t>
    </r>
  </si>
  <si>
    <r>
      <t>益臻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</si>
  <si>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四平市臻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</si>
  <si>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食用酒精;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烈酒</t>
    </r>
  </si>
  <si>
    <r>
      <t>浙江万</t>
    </r>
    <r>
      <rPr>
        <sz val="11"/>
        <color theme="1"/>
        <rFont val="ＭＳ Ｐゴシック"/>
        <family val="3"/>
        <charset val="129"/>
        <scheme val="minor"/>
      </rPr>
      <t>朵</t>
    </r>
    <r>
      <rPr>
        <sz val="11"/>
        <color theme="1"/>
        <rFont val="ＭＳ Ｐゴシック"/>
        <family val="3"/>
        <charset val="128"/>
        <scheme val="minor"/>
      </rPr>
      <t>城体育有限公司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</si>
  <si>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威士忌;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</si>
  <si>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庐</t>
    </r>
    <r>
      <rPr>
        <sz val="11"/>
        <color theme="1"/>
        <rFont val="ＭＳ Ｐゴシック"/>
        <family val="3"/>
        <charset val="128"/>
        <scheme val="minor"/>
      </rPr>
      <t>王献</t>
    </r>
  </si>
  <si>
    <t>蒋仁杰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</si>
  <si>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酸酒（低等葡萄酒）;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白酒</t>
    </r>
  </si>
  <si>
    <r>
      <t>清沙</t>
    </r>
    <r>
      <rPr>
        <sz val="11"/>
        <color theme="1"/>
        <rFont val="ＭＳ Ｐゴシック"/>
        <family val="3"/>
        <charset val="134"/>
        <scheme val="minor"/>
      </rPr>
      <t>汉浊</t>
    </r>
  </si>
  <si>
    <r>
      <t>闫</t>
    </r>
    <r>
      <rPr>
        <sz val="11"/>
        <color theme="1"/>
        <rFont val="ＭＳ Ｐゴシック"/>
        <family val="3"/>
        <charset val="128"/>
        <scheme val="minor"/>
      </rPr>
      <t>月琴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</si>
  <si>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开胃酒; 黄酒; 葡萄酒; 白酒</t>
    </r>
  </si>
  <si>
    <r>
      <t>政</t>
    </r>
    <r>
      <rPr>
        <sz val="11"/>
        <color theme="1"/>
        <rFont val="ＭＳ Ｐゴシック"/>
        <family val="3"/>
        <charset val="134"/>
        <scheme val="minor"/>
      </rPr>
      <t>邮</t>
    </r>
    <r>
      <rPr>
        <sz val="11"/>
        <color theme="1"/>
        <rFont val="ＭＳ Ｐゴシック"/>
        <family val="3"/>
        <charset val="128"/>
        <scheme val="minor"/>
      </rPr>
      <t>美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</si>
  <si>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州志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</si>
  <si>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</si>
  <si>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十三朝 酒</t>
    </r>
    <r>
      <rPr>
        <sz val="11"/>
        <color theme="1"/>
        <rFont val="ＭＳ Ｐゴシック"/>
        <family val="3"/>
        <charset val="134"/>
        <scheme val="minor"/>
      </rPr>
      <t>鉴</t>
    </r>
  </si>
  <si>
    <r>
      <t>米酒;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白酒; 果酒（含酒精）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</si>
  <si>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</si>
  <si>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运德康</t>
    </r>
  </si>
  <si>
    <r>
      <t>河南省福天香酒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</si>
  <si>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烈酒;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高粱酒;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</si>
  <si>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白九兄</t>
  </si>
  <si>
    <t>魏蓓迪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</si>
  <si>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白酒; 果酒（含酒精）; 餐后酒（利口酒和烈酒）;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</si>
  <si>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门</t>
    </r>
    <r>
      <rPr>
        <sz val="11"/>
        <color theme="1"/>
        <rFont val="ＭＳ Ｐゴシック"/>
        <family val="3"/>
        <charset val="128"/>
        <scheme val="minor"/>
      </rPr>
      <t>子</t>
    </r>
    <r>
      <rPr>
        <sz val="11"/>
        <color theme="1"/>
        <rFont val="ＭＳ Ｐゴシック"/>
        <family val="3"/>
        <charset val="134"/>
        <scheme val="minor"/>
      </rPr>
      <t>垭</t>
    </r>
  </si>
  <si>
    <r>
      <t>蓬溪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天渠种植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</si>
  <si>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米酒; 青稞酒; 高粱酒;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苦味酒;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</si>
  <si>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云禾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博士</t>
    </r>
  </si>
  <si>
    <r>
      <t>安徽新云禾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</si>
  <si>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白酒</t>
    </r>
  </si>
  <si>
    <r>
      <t>晋生</t>
    </r>
    <r>
      <rPr>
        <sz val="11"/>
        <color theme="1"/>
        <rFont val="ＭＳ Ｐゴシック"/>
        <family val="3"/>
        <charset val="134"/>
        <scheme val="minor"/>
      </rPr>
      <t>远</t>
    </r>
  </si>
  <si>
    <t>李文俊</t>
  </si>
  <si>
    <r>
      <t xml:space="preserve">黄酒;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烈酒;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</t>
    </r>
  </si>
  <si>
    <t>筑养</t>
  </si>
  <si>
    <r>
      <t>练</t>
    </r>
    <r>
      <rPr>
        <sz val="11"/>
        <color theme="1"/>
        <rFont val="ＭＳ Ｐゴシック"/>
        <family val="3"/>
        <charset val="128"/>
        <scheme val="minor"/>
      </rPr>
      <t>俊柳</t>
    </r>
  </si>
  <si>
    <r>
      <t xml:space="preserve">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葡萄酒;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伏特加酒</t>
    </r>
  </si>
  <si>
    <r>
      <t>杏林甄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食品（成都）有限公司</t>
    </r>
  </si>
  <si>
    <r>
      <t>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混合威士忌酒; 水果汽酒; 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</t>
    </r>
  </si>
  <si>
    <t>夏巴女郎</t>
  </si>
  <si>
    <r>
      <t>西藏</t>
    </r>
    <r>
      <rPr>
        <sz val="11"/>
        <color theme="1"/>
        <rFont val="ＭＳ Ｐゴシック"/>
        <family val="3"/>
        <charset val="134"/>
        <scheme val="minor"/>
      </rPr>
      <t>岗</t>
    </r>
    <r>
      <rPr>
        <sz val="11"/>
        <color theme="1"/>
        <rFont val="ＭＳ Ｐゴシック"/>
        <family val="3"/>
        <charset val="128"/>
        <scheme val="minor"/>
      </rPr>
      <t>朱帕</t>
    </r>
    <r>
      <rPr>
        <sz val="11"/>
        <color theme="1"/>
        <rFont val="ＭＳ Ｐゴシック"/>
        <family val="3"/>
        <charset val="134"/>
        <scheme val="minor"/>
      </rPr>
      <t>萨</t>
    </r>
    <r>
      <rPr>
        <sz val="11"/>
        <color theme="1"/>
        <rFont val="ＭＳ Ｐゴシック"/>
        <family val="3"/>
        <charset val="128"/>
        <scheme val="minor"/>
      </rPr>
      <t>林下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源有限公司</t>
    </r>
  </si>
  <si>
    <r>
      <t>果酒（含酒精）;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</t>
    </r>
  </si>
  <si>
    <r>
      <t>安徽省恒逸</t>
    </r>
    <r>
      <rPr>
        <sz val="11"/>
        <color theme="1"/>
        <rFont val="ＭＳ Ｐゴシック"/>
        <family val="3"/>
        <charset val="134"/>
        <scheme val="minor"/>
      </rPr>
      <t>项</t>
    </r>
    <r>
      <rPr>
        <sz val="11"/>
        <color theme="1"/>
        <rFont val="ＭＳ Ｐゴシック"/>
        <family val="3"/>
        <charset val="128"/>
        <scheme val="minor"/>
      </rPr>
      <t>目管理有限公司</t>
    </r>
  </si>
  <si>
    <r>
      <t xml:space="preserve">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开胃酒; 黄酒; 蒸煮提取物（利口酒和烈酒）;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</si>
  <si>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德品永</t>
    </r>
    <r>
      <rPr>
        <sz val="11"/>
        <color theme="1"/>
        <rFont val="ＭＳ Ｐゴシック"/>
        <family val="3"/>
        <charset val="134"/>
        <scheme val="minor"/>
      </rPr>
      <t>铭</t>
    </r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</si>
  <si>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市唯控酒</t>
    </r>
    <r>
      <rPr>
        <sz val="11"/>
        <color theme="1"/>
        <rFont val="ＭＳ Ｐゴシック"/>
        <family val="3"/>
        <charset val="134"/>
        <scheme val="minor"/>
      </rPr>
      <t>类经营</t>
    </r>
    <r>
      <rPr>
        <sz val="11"/>
        <color theme="1"/>
        <rFont val="ＭＳ Ｐゴシック"/>
        <family val="3"/>
        <charset val="128"/>
        <scheme val="minor"/>
      </rPr>
      <t>部(个体工商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)</t>
    </r>
  </si>
  <si>
    <r>
      <t xml:space="preserve">葡萄酒;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开胃酒</t>
    </r>
  </si>
  <si>
    <t>新塍</t>
  </si>
  <si>
    <r>
      <t>吴学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</si>
  <si>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>黄酒; 白酒;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果酒; 米酒; 葡萄酒</t>
    </r>
  </si>
  <si>
    <t>醉厨子</t>
  </si>
  <si>
    <t>王付建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</si>
  <si>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果酒（含酒精）; 苦味酒;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</t>
    </r>
  </si>
  <si>
    <t>僦起</t>
  </si>
  <si>
    <r>
      <t>恒达国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易（广州）有限公司</t>
    </r>
  </si>
  <si>
    <r>
      <t>威士忌; 清酒; 白酒; 烈酒;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伏特加酒; 米酒</t>
    </r>
  </si>
  <si>
    <t>雅达利</t>
  </si>
  <si>
    <r>
      <t>尹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</si>
  <si>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</si>
  <si>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ZIMO FAR MORE SPLENDID</t>
  </si>
  <si>
    <t>王静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</si>
  <si>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</si>
  <si>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SIKE</t>
  </si>
  <si>
    <r>
      <t>首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食研株式会社</t>
    </r>
  </si>
  <si>
    <r>
      <t>白酒; 葡萄酒; 蒸煮提取物（利口酒和烈酒）; 清酒（日本米酒）; 威士忌;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</si>
  <si>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暮色</t>
    </r>
    <r>
      <rPr>
        <sz val="11"/>
        <color theme="1"/>
        <rFont val="ＭＳ Ｐゴシック"/>
        <family val="3"/>
        <charset val="134"/>
        <scheme val="minor"/>
      </rPr>
      <t>归</t>
    </r>
    <r>
      <rPr>
        <sz val="11"/>
        <color theme="1"/>
        <rFont val="ＭＳ Ｐゴシック"/>
        <family val="3"/>
        <charset val="128"/>
        <scheme val="minor"/>
      </rPr>
      <t>云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</si>
  <si>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花园酒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</si>
  <si>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烈酒; 黄酒;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</si>
  <si>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大唐德</t>
    </r>
    <r>
      <rPr>
        <sz val="11"/>
        <color theme="1"/>
        <rFont val="ＭＳ Ｐゴシック"/>
        <family val="3"/>
        <charset val="134"/>
        <scheme val="minor"/>
      </rPr>
      <t>润兴</t>
    </r>
  </si>
  <si>
    <r>
      <t>唐山市德</t>
    </r>
    <r>
      <rPr>
        <sz val="11"/>
        <color theme="1"/>
        <rFont val="ＭＳ Ｐゴシック"/>
        <family val="3"/>
        <charset val="134"/>
        <scheme val="minor"/>
      </rPr>
      <t>润兴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</si>
  <si>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开胃酒;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米酒; 青稞酒; 伏特加酒</t>
    </r>
  </si>
  <si>
    <r>
      <t>渔</t>
    </r>
    <r>
      <rPr>
        <sz val="11"/>
        <color theme="1"/>
        <rFont val="ＭＳ Ｐゴシック"/>
        <family val="3"/>
        <charset val="128"/>
        <scheme val="minor"/>
      </rPr>
      <t>老二</t>
    </r>
  </si>
  <si>
    <r>
      <t>温州</t>
    </r>
    <r>
      <rPr>
        <sz val="11"/>
        <color theme="1"/>
        <rFont val="ＭＳ Ｐゴシック"/>
        <family val="3"/>
        <charset val="134"/>
        <scheme val="minor"/>
      </rPr>
      <t>鱼</t>
    </r>
    <r>
      <rPr>
        <sz val="11"/>
        <color theme="1"/>
        <rFont val="ＭＳ Ｐゴシック"/>
        <family val="3"/>
        <charset val="128"/>
        <scheme val="minor"/>
      </rPr>
      <t>悦海墅文旅有限公司</t>
    </r>
  </si>
  <si>
    <r>
      <t>果酒（含酒精）; 黄酒; 葡萄酒; 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</si>
  <si>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尊九</t>
    </r>
    <r>
      <rPr>
        <sz val="11"/>
        <color theme="1"/>
        <rFont val="ＭＳ Ｐゴシック"/>
        <family val="3"/>
        <charset val="134"/>
        <scheme val="minor"/>
      </rPr>
      <t>爷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</si>
  <si>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昭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</si>
  <si>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 xml:space="preserve">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</si>
  <si>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浅盅意</t>
  </si>
  <si>
    <t>徐州昂睿建材有限公司</t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</si>
  <si>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米酒; 黄酒; 梨酒;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葡萄酒</t>
    </r>
  </si>
  <si>
    <t>治功</t>
  </si>
  <si>
    <r>
      <t>楚云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</si>
  <si>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 xml:space="preserve">米酒; 高粱酒; 黄酒; 烈酒; 白干酒（中国白酒）; 露酒;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</si>
  <si>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钓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</si>
  <si>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州百年福途酒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</si>
  <si>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含奶油利口酒; 干型苹果酒; 加烈葡萄酒; 日式甜米酒; 桑格利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汽酒; 黑醋栗酒; 清酒; 甜果酒; 含酒精蛋奶酒; 日本波布蛇酒</t>
    </r>
  </si>
  <si>
    <r>
      <t>筑</t>
    </r>
    <r>
      <rPr>
        <sz val="11"/>
        <color theme="1"/>
        <rFont val="ＭＳ Ｐゴシック"/>
        <family val="3"/>
        <charset val="134"/>
        <scheme val="minor"/>
      </rPr>
      <t>龙凤</t>
    </r>
  </si>
  <si>
    <r>
      <t>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蜂蜜酒; 白酒; 米酒;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</si>
  <si>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畅宫</t>
    </r>
    <r>
      <rPr>
        <sz val="11"/>
        <color theme="1"/>
        <rFont val="ＭＳ Ｐゴシック"/>
        <family val="3"/>
        <charset val="128"/>
        <scheme val="minor"/>
      </rPr>
      <t>廷</t>
    </r>
  </si>
  <si>
    <t>胡炎彬</t>
  </si>
  <si>
    <r>
      <t>葡萄酒; 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梅酒; 清酒（日本米酒）; 白酒; 果酒（含酒精）;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</si>
  <si>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汉凤</t>
    </r>
    <r>
      <rPr>
        <sz val="11"/>
        <color theme="1"/>
        <rFont val="ＭＳ Ｐゴシック"/>
        <family val="3"/>
        <charset val="128"/>
        <scheme val="minor"/>
      </rPr>
      <t>凰</t>
    </r>
  </si>
  <si>
    <r>
      <t>蜂蜜酒; 米酒; 葡萄酒; 果酒（含酒精）;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伏特加酒;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</si>
  <si>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武美同行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</si>
  <si>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州茅台酒厂（集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）保健酒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</si>
  <si>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果酒（含酒精）; 清酒; 威士忌; 葡萄酒;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蒸煮提取物（利口酒和烈酒）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</si>
  <si>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夏名鼎酒行</t>
    </r>
  </si>
  <si>
    <t>丁佳胤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</si>
  <si>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伏特加酒; 白酒; 水果汽酒; 米酒; 果酒（含酒精）; 葡萄酒;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</si>
  <si>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r>
      <t>金秋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粮</t>
    </r>
  </si>
  <si>
    <r>
      <t>保定市喆宸商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</si>
  <si>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伏特加酒; 白酒;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高粱酒</t>
    </r>
  </si>
  <si>
    <t>弋味大禾</t>
  </si>
  <si>
    <r>
      <t>江西横品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</si>
  <si>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食用酒精; 果酒（含酒精）; 葡萄酒;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</t>
    </r>
  </si>
  <si>
    <r>
      <t>盐</t>
    </r>
    <r>
      <rPr>
        <sz val="11"/>
        <color theme="1"/>
        <rFont val="ＭＳ Ｐゴシック"/>
        <family val="3"/>
        <charset val="128"/>
        <scheme val="minor"/>
      </rPr>
      <t>运老</t>
    </r>
    <r>
      <rPr>
        <sz val="11"/>
        <color theme="1"/>
        <rFont val="ＭＳ Ｐゴシック"/>
        <family val="3"/>
        <charset val="134"/>
        <scheme val="minor"/>
      </rPr>
      <t>记忆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</si>
  <si>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叁</t>
    </r>
    <r>
      <rPr>
        <sz val="11"/>
        <color theme="1"/>
        <rFont val="ＭＳ Ｐゴシック"/>
        <family val="3"/>
        <charset val="128"/>
        <scheme val="minor"/>
      </rPr>
      <t>众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</si>
  <si>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伏特加酒; 黄酒; 白酒</t>
    </r>
  </si>
  <si>
    <r>
      <t>宿善制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</si>
  <si>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宿迁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亭酒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</si>
  <si>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露酒; 青梅酒; 果酒; 食用酒精; 葡萄酒; 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</si>
  <si>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AFFENBERG FRITZSCHMITT</t>
  </si>
  <si>
    <r>
      <t>无</t>
    </r>
    <r>
      <rPr>
        <sz val="11"/>
        <color theme="1"/>
        <rFont val="ＭＳ Ｐゴシック"/>
        <family val="3"/>
        <charset val="134"/>
        <scheme val="minor"/>
      </rPr>
      <t>锡</t>
    </r>
    <r>
      <rPr>
        <sz val="11"/>
        <color theme="1"/>
        <rFont val="ＭＳ Ｐゴシック"/>
        <family val="3"/>
        <charset val="128"/>
        <scheme val="minor"/>
      </rPr>
      <t>酩盛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</si>
  <si>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</si>
  <si>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瑶品源</t>
  </si>
  <si>
    <r>
      <t>韦</t>
    </r>
    <r>
      <rPr>
        <sz val="11"/>
        <color theme="1"/>
        <rFont val="ＭＳ Ｐゴシック"/>
        <family val="3"/>
        <charset val="128"/>
        <scheme val="minor"/>
      </rPr>
      <t>秀彬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</si>
  <si>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食用酒精;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高粱酒; 米酒; 白酒; 果酒</t>
    </r>
  </si>
  <si>
    <t>北文荒</t>
  </si>
  <si>
    <t>李彦含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</si>
  <si>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</si>
  <si>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马东</t>
    </r>
    <r>
      <rPr>
        <sz val="11"/>
        <color theme="1"/>
        <rFont val="ＭＳ Ｐゴシック"/>
        <family val="3"/>
        <charset val="128"/>
        <scheme val="minor"/>
      </rPr>
      <t>嘻</t>
    </r>
  </si>
  <si>
    <r>
      <t xml:space="preserve">清酒（日本米酒）;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朗姆酒; 果酒（含酒精）; 米酒</t>
    </r>
  </si>
  <si>
    <r>
      <t>威九</t>
    </r>
    <r>
      <rPr>
        <sz val="11"/>
        <color theme="1"/>
        <rFont val="ＭＳ Ｐゴシック"/>
        <family val="3"/>
        <charset val="134"/>
        <scheme val="minor"/>
      </rPr>
      <t>爷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</si>
  <si>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</si>
  <si>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VANDO KING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</si>
  <si>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</t>
    </r>
  </si>
  <si>
    <t>VANDO PLAY</t>
  </si>
  <si>
    <r>
      <t xml:space="preserve">威士忌;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黄酒</t>
    </r>
  </si>
  <si>
    <t>半淳山</t>
  </si>
  <si>
    <r>
      <t>中秦（广州）投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控股有限公司</t>
    </r>
  </si>
  <si>
    <r>
      <t xml:space="preserve">白葡萄酒; 米酒; 黄酒; 甜酒;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用烈酒; 清酒;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</si>
  <si>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葡萄酒; 食用酒精</t>
    </r>
  </si>
  <si>
    <t>德恒藏</t>
  </si>
  <si>
    <r>
      <t>山西杏花德恒酒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</si>
  <si>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果酒</t>
    </r>
  </si>
  <si>
    <t>幸府醉翁</t>
  </si>
  <si>
    <r>
      <t xml:space="preserve">白干酒（中国白酒）;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苹果酒; 梨酒; 白酒; 清酒; 薄荷酒</t>
    </r>
  </si>
  <si>
    <t>著和秘窖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</si>
  <si>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果酒（含酒精）</t>
    </r>
  </si>
  <si>
    <r>
      <t>古蜀春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</si>
  <si>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四川古蜀坊酒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</si>
  <si>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葡萄酒; 果酒（含酒精）; 白酒; 烈酒;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</si>
  <si>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r>
      <t>古蜀九</t>
    </r>
    <r>
      <rPr>
        <sz val="11"/>
        <color theme="1"/>
        <rFont val="ＭＳ Ｐゴシック"/>
        <family val="3"/>
        <charset val="134"/>
        <scheme val="minor"/>
      </rPr>
      <t>酝</t>
    </r>
  </si>
  <si>
    <r>
      <t>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高粱酒; 白干酒（中国白酒）;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</si>
  <si>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古蜀玉酒</t>
  </si>
  <si>
    <r>
      <t>葡萄酒;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烈酒; 清酒（日本米酒）;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</si>
  <si>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首</t>
    </r>
    <r>
      <rPr>
        <sz val="11"/>
        <color theme="1"/>
        <rFont val="ＭＳ Ｐゴシック"/>
        <family val="3"/>
        <charset val="134"/>
        <scheme val="minor"/>
      </rPr>
      <t>诣</t>
    </r>
  </si>
  <si>
    <r>
      <t>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威士忌; 白酒</t>
    </r>
  </si>
  <si>
    <t>玫瑰野狼</t>
  </si>
  <si>
    <r>
      <t>红</t>
    </r>
    <r>
      <rPr>
        <sz val="11"/>
        <color theme="1"/>
        <rFont val="ＭＳ Ｐゴシック"/>
        <family val="3"/>
        <charset val="128"/>
        <scheme val="minor"/>
      </rPr>
      <t>河大自然水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</si>
  <si>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葡萄酒</t>
    </r>
  </si>
  <si>
    <r>
      <t>贡</t>
    </r>
    <r>
      <rPr>
        <sz val="11"/>
        <color theme="1"/>
        <rFont val="ＭＳ Ｐゴシック"/>
        <family val="3"/>
        <charset val="128"/>
        <scheme val="minor"/>
      </rPr>
      <t>宴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</si>
  <si>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</t>
    </r>
  </si>
  <si>
    <t>義清泉</t>
  </si>
  <si>
    <r>
      <t>四川泰心盛宏商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</si>
  <si>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</si>
  <si>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古蜀玉液</t>
  </si>
  <si>
    <r>
      <t>白干酒（中国白酒）; 高粱酒;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烈酒;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</si>
  <si>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古蜀味道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</si>
  <si>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高粱酒; 清酒（日本米酒）;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白干酒（中国白酒）; 烈酒</t>
    </r>
  </si>
  <si>
    <t>半蜜伴己</t>
  </si>
  <si>
    <t>揭阳市田园牧歌食品有限公司</t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</si>
  <si>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</t>
    </r>
  </si>
  <si>
    <r>
      <t>湖南林大</t>
    </r>
    <r>
      <rPr>
        <sz val="11"/>
        <color theme="1"/>
        <rFont val="ＭＳ Ｐゴシック"/>
        <family val="3"/>
        <charset val="134"/>
        <scheme val="minor"/>
      </rPr>
      <t>爷农业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</si>
  <si>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饮</t>
    </r>
    <r>
      <rPr>
        <sz val="11"/>
        <color theme="1"/>
        <rFont val="ＭＳ Ｐゴシック"/>
        <family val="3"/>
        <charset val="128"/>
        <scheme val="minor"/>
      </rPr>
      <t xml:space="preserve">用烈酒;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白干酒（中国白酒）;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</t>
    </r>
  </si>
  <si>
    <t>梁氏耕夫</t>
  </si>
  <si>
    <t>湖北国丹面粉有限公司</t>
  </si>
  <si>
    <r>
      <t xml:space="preserve">果酒（含酒精）;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汽酒; 开胃酒; 米酒; 葡萄酒; 黄酒</t>
    </r>
  </si>
  <si>
    <r>
      <t>沧</t>
    </r>
    <r>
      <rPr>
        <sz val="11"/>
        <color theme="1"/>
        <rFont val="ＭＳ Ｐゴシック"/>
        <family val="3"/>
        <charset val="128"/>
        <scheme val="minor"/>
      </rPr>
      <t>海与共</t>
    </r>
  </si>
  <si>
    <r>
      <t>烈酒;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果酒（含酒精）; 清酒（日本米酒）; 威士忌; 汽酒</t>
    </r>
  </si>
  <si>
    <r>
      <t>乾</t>
    </r>
    <r>
      <rPr>
        <sz val="11"/>
        <color theme="1"/>
        <rFont val="ＭＳ Ｐゴシック"/>
        <family val="3"/>
        <charset val="134"/>
        <scheme val="minor"/>
      </rPr>
      <t>龙诀</t>
    </r>
  </si>
  <si>
    <t>宋彦峰</t>
  </si>
  <si>
    <r>
      <t>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清酒（日本米酒）; 烈酒; 米酒; 葡萄酒</t>
    </r>
  </si>
  <si>
    <t>首基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</si>
  <si>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州首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</si>
  <si>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 xml:space="preserve">食用酒精; 威士忌;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薄荷酒</t>
    </r>
  </si>
  <si>
    <t>西来登</t>
  </si>
  <si>
    <t>唐翠</t>
  </si>
  <si>
    <r>
      <t xml:space="preserve">开胃酒;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</si>
  <si>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新熯唐威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</si>
  <si>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兴</t>
    </r>
    <r>
      <rPr>
        <sz val="11"/>
        <color theme="1"/>
        <rFont val="ＭＳ Ｐゴシック"/>
        <family val="3"/>
        <charset val="128"/>
        <scheme val="minor"/>
      </rPr>
      <t>平市金翔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</si>
  <si>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清酒（日本米酒）;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</t>
    </r>
  </si>
  <si>
    <r>
      <t>久</t>
    </r>
    <r>
      <rPr>
        <sz val="11"/>
        <color theme="1"/>
        <rFont val="ＭＳ Ｐゴシック"/>
        <family val="3"/>
        <charset val="134"/>
        <scheme val="minor"/>
      </rPr>
      <t>竞</t>
    </r>
  </si>
  <si>
    <r>
      <t>南京</t>
    </r>
    <r>
      <rPr>
        <sz val="11"/>
        <color theme="1"/>
        <rFont val="ＭＳ Ｐゴシック"/>
        <family val="3"/>
        <charset val="134"/>
        <scheme val="minor"/>
      </rPr>
      <t>竞</t>
    </r>
    <r>
      <rPr>
        <sz val="11"/>
        <color theme="1"/>
        <rFont val="ＭＳ Ｐゴシック"/>
        <family val="3"/>
        <charset val="128"/>
        <scheme val="minor"/>
      </rPr>
      <t>灵文化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</si>
  <si>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</si>
  <si>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古蜀忘</t>
    </r>
    <r>
      <rPr>
        <sz val="11"/>
        <color theme="1"/>
        <rFont val="ＭＳ Ｐゴシック"/>
        <family val="3"/>
        <charset val="134"/>
        <scheme val="minor"/>
      </rPr>
      <t>忧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</si>
  <si>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白干酒（中国白酒）; 高粱酒;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</si>
  <si>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古蜀</t>
    </r>
    <r>
      <rPr>
        <sz val="11"/>
        <color theme="1"/>
        <rFont val="ＭＳ Ｐゴシック"/>
        <family val="3"/>
        <charset val="134"/>
        <scheme val="minor"/>
      </rPr>
      <t>琼浆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</si>
  <si>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白干酒（中国白酒）; 果酒（含酒精）; 白酒; 葡萄酒; 烈酒; 清酒（日本米酒）</t>
    </r>
  </si>
  <si>
    <r>
      <t>古蜀邛</t>
    </r>
    <r>
      <rPr>
        <sz val="11"/>
        <color theme="1"/>
        <rFont val="ＭＳ Ｐゴシック"/>
        <family val="3"/>
        <charset val="134"/>
        <scheme val="minor"/>
      </rPr>
      <t>浆</t>
    </r>
  </si>
  <si>
    <r>
      <t xml:space="preserve">葡萄酒; 白干酒（中国白酒）; 白酒;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</t>
    </r>
  </si>
  <si>
    <t>SINGRELLA</t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</si>
  <si>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含酒精蛋奶酒; 白酒; 梅酒; 露酒;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汽酒; 利口酒</t>
    </r>
  </si>
  <si>
    <t>羌韵</t>
  </si>
  <si>
    <r>
      <t>郑</t>
    </r>
    <r>
      <rPr>
        <sz val="11"/>
        <color theme="1"/>
        <rFont val="ＭＳ Ｐゴシック"/>
        <family val="3"/>
        <charset val="128"/>
        <scheme val="minor"/>
      </rPr>
      <t>菲</t>
    </r>
  </si>
  <si>
    <r>
      <t xml:space="preserve">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米酒; 白酒; 高粱酒; 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</si>
  <si>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上阳</t>
    </r>
    <r>
      <rPr>
        <sz val="11"/>
        <color theme="1"/>
        <rFont val="ＭＳ Ｐゴシック"/>
        <family val="3"/>
        <charset val="134"/>
        <scheme val="minor"/>
      </rPr>
      <t>边</t>
    </r>
  </si>
  <si>
    <t>梅州市金松建筑工程有限公司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</si>
  <si>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开胃酒; 葡萄酒; 烈酒; 高粱酒;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</si>
  <si>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梅好丹</t>
    </r>
    <r>
      <rPr>
        <sz val="11"/>
        <color theme="1"/>
        <rFont val="ＭＳ Ｐゴシック"/>
        <family val="3"/>
        <charset val="134"/>
        <scheme val="minor"/>
      </rPr>
      <t>诏</t>
    </r>
  </si>
  <si>
    <r>
      <t>福建</t>
    </r>
    <r>
      <rPr>
        <sz val="11"/>
        <color theme="1"/>
        <rFont val="ＭＳ Ｐゴシック"/>
        <family val="3"/>
        <charset val="134"/>
        <scheme val="minor"/>
      </rPr>
      <t>诏</t>
    </r>
    <r>
      <rPr>
        <sz val="11"/>
        <color theme="1"/>
        <rFont val="ＭＳ Ｐゴシック"/>
        <family val="3"/>
        <charset val="128"/>
        <scheme val="minor"/>
      </rPr>
      <t>安梅好生物科技有限公司</t>
    </r>
  </si>
  <si>
    <r>
      <t>果酒（含酒精）; 清酒;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梅酒</t>
    </r>
  </si>
  <si>
    <t>古蜀醇野</t>
  </si>
  <si>
    <r>
      <t>葡萄酒; 白干酒（中国白酒）; 果酒（含酒精）; 白酒;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</si>
  <si>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唯果</t>
    </r>
    <r>
      <rPr>
        <sz val="11"/>
        <color theme="1"/>
        <rFont val="ＭＳ Ｐゴシック"/>
        <family val="3"/>
        <charset val="134"/>
        <scheme val="minor"/>
      </rPr>
      <t>爱</t>
    </r>
  </si>
  <si>
    <r>
      <t>北京一支梅酒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</si>
  <si>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白葡萄酒; 果酒（含酒精）; 餐后酒（利口酒和烈酒）; 清酒; 米酒;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混合威士忌酒; 白酒; 佐餐酒</t>
    </r>
  </si>
  <si>
    <t>遵寅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</si>
  <si>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州久信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</si>
  <si>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甘蔗制烈酒;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</t>
    </r>
  </si>
  <si>
    <t>歧耀印象</t>
  </si>
  <si>
    <t>李世海</t>
  </si>
  <si>
    <r>
      <t>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薄荷酒; 威士忌; 白酒; 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</si>
  <si>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木麦川</t>
  </si>
  <si>
    <r>
      <t>四川渡美堂文化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</si>
  <si>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白酒; 威士忌; 汽酒; 白葡萄酒; 黄酒; 利口酒;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葡萄酒</t>
    </r>
  </si>
  <si>
    <r>
      <t>酒</t>
    </r>
    <r>
      <rPr>
        <sz val="11"/>
        <color theme="1"/>
        <rFont val="ＭＳ Ｐゴシック"/>
        <family val="3"/>
        <charset val="134"/>
        <scheme val="minor"/>
      </rPr>
      <t>凤仓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</si>
  <si>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西千年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</si>
  <si>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黄酒; 果酒（含酒精）;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</si>
  <si>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著和 著作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和 品著和</t>
    </r>
    <r>
      <rPr>
        <sz val="11"/>
        <color theme="1"/>
        <rFont val="ＭＳ Ｐゴシック"/>
        <family val="3"/>
        <charset val="134"/>
        <scheme val="minor"/>
      </rPr>
      <t>诸</t>
    </r>
    <r>
      <rPr>
        <sz val="11"/>
        <color theme="1"/>
        <rFont val="ＭＳ Ｐゴシック"/>
        <family val="3"/>
        <charset val="128"/>
        <scheme val="minor"/>
      </rPr>
      <t>事和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</si>
  <si>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</si>
  <si>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著和 著作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和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</si>
  <si>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米酒; 黄酒</t>
    </r>
  </si>
  <si>
    <t>葡禄王</t>
  </si>
  <si>
    <r>
      <t>杨</t>
    </r>
    <r>
      <rPr>
        <sz val="11"/>
        <color theme="1"/>
        <rFont val="ＭＳ Ｐゴシック"/>
        <family val="3"/>
        <charset val="128"/>
        <scheme val="minor"/>
      </rPr>
      <t>羚</t>
    </r>
  </si>
  <si>
    <r>
      <t xml:space="preserve">白葡萄酒; 白酒;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烈酒;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</si>
  <si>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t>CRSRANS</t>
  </si>
  <si>
    <r>
      <t>烟台塞瑞斯国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</si>
  <si>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葡萄酒; 威士忌; 水果汽酒</t>
    </r>
  </si>
  <si>
    <t>炎祖山</t>
  </si>
  <si>
    <r>
      <t>横河泉生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科技（河北）有限公司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</si>
  <si>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高粱酒; 朗姆酒;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</si>
  <si>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首季</t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</si>
  <si>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食用酒精; 薄荷酒</t>
    </r>
  </si>
  <si>
    <t>BEAUTIFUL BOX</t>
  </si>
  <si>
    <r>
      <t>我</t>
    </r>
    <r>
      <rPr>
        <sz val="11"/>
        <color theme="1"/>
        <rFont val="ＭＳ Ｐゴシック"/>
        <family val="3"/>
        <charset val="134"/>
        <scheme val="minor"/>
      </rPr>
      <t>们</t>
    </r>
    <r>
      <rPr>
        <sz val="11"/>
        <color theme="1"/>
        <rFont val="ＭＳ Ｐゴシック"/>
        <family val="3"/>
        <charset val="128"/>
        <scheme val="minor"/>
      </rPr>
      <t>都要健康管理（上海）有限公司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</si>
  <si>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果酒（含酒精）;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</t>
    </r>
  </si>
  <si>
    <r>
      <t>西昌市西溪世达酒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食品厂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</si>
  <si>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梅酒; 高粱酒; 威士忌; 白酒; 黄酒; 清酒; 米酒; 果酒（含酒精）</t>
    </r>
  </si>
  <si>
    <t>勒座城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</si>
  <si>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金陵盛世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</si>
  <si>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白酒; 葡萄酒; 果酒（含酒精）; 汽酒;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</si>
  <si>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福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豪运</t>
    </r>
  </si>
  <si>
    <r>
      <t>福建省福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天禧商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</si>
  <si>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米酒;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清酒; 葡萄酒</t>
    </r>
  </si>
  <si>
    <t>普生酒</t>
  </si>
  <si>
    <r>
      <t>普生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品墨江有限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</si>
  <si>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梅酒;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日式甜米酒;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</t>
    </r>
  </si>
  <si>
    <t>古蜀聚</t>
  </si>
  <si>
    <r>
      <t>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葡萄酒; 高粱酒; 清酒（日本米酒）;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果酒（含酒精）</t>
    </r>
  </si>
  <si>
    <r>
      <t>青城</t>
    </r>
    <r>
      <rPr>
        <sz val="11"/>
        <color theme="1"/>
        <rFont val="ＭＳ Ｐゴシック"/>
        <family val="3"/>
        <charset val="134"/>
        <scheme val="minor"/>
      </rPr>
      <t>鹤</t>
    </r>
  </si>
  <si>
    <t>宫鸣泽</t>
  </si>
  <si>
    <r>
      <t>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</t>
    </r>
  </si>
  <si>
    <t>CABBEEN CHIC</t>
  </si>
  <si>
    <r>
      <t>威士忌;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果酒（含酒精）; 黄酒</t>
    </r>
  </si>
  <si>
    <r>
      <t xml:space="preserve">EICHITOO 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居兔</t>
    </r>
  </si>
  <si>
    <r>
      <t>江阴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居兔服装有限公司</t>
    </r>
  </si>
  <si>
    <r>
      <t xml:space="preserve">米酒;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葡萄酒; 黄酒; 白酒;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</si>
  <si>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佰竹活力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</si>
  <si>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白酒; 黄酒; 葡萄酒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</si>
  <si>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哥酒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</si>
  <si>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州黔炳源酒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</si>
  <si>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甜酒; 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高粱酒; 白干酒（中国白酒）; 食用酒精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</si>
  <si>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食用酒精</t>
    </r>
  </si>
  <si>
    <r>
      <t>畅</t>
    </r>
    <r>
      <rPr>
        <sz val="11"/>
        <color theme="1"/>
        <rFont val="ＭＳ Ｐゴシック"/>
        <family val="3"/>
        <charset val="128"/>
        <scheme val="minor"/>
      </rPr>
      <t>康悦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</si>
  <si>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海内之家健康食品有限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</si>
  <si>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果酒（含酒精）;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</si>
  <si>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蓟</t>
    </r>
    <r>
      <rPr>
        <sz val="11"/>
        <color theme="1"/>
        <rFont val="ＭＳ Ｐゴシック"/>
        <family val="3"/>
        <charset val="128"/>
        <scheme val="minor"/>
      </rPr>
      <t>北雄关</t>
    </r>
  </si>
  <si>
    <r>
      <t>天津燕泉春酒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</si>
  <si>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果酒; 白干酒（中国白酒）</t>
    </r>
  </si>
  <si>
    <t>古蜀美酒</t>
  </si>
  <si>
    <r>
      <t xml:space="preserve">高粱酒; 果酒（含酒精）; 清酒（日本米酒）; 白酒; 白干酒（中国白酒）; 烈酒;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</si>
  <si>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古蜀夏露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</si>
  <si>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高粱酒;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清酒（日本米酒）; 烈酒;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</t>
    </r>
  </si>
  <si>
    <t>幸府仙翁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</si>
  <si>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薄荷酒; 苹果酒; 梨酒; 清酒;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</t>
    </r>
  </si>
  <si>
    <r>
      <t>四川壹</t>
    </r>
    <r>
      <rPr>
        <sz val="11"/>
        <color theme="1"/>
        <rFont val="ＭＳ Ｐゴシック"/>
        <family val="3"/>
        <charset val="134"/>
        <scheme val="minor"/>
      </rPr>
      <t>贰</t>
    </r>
    <r>
      <rPr>
        <sz val="11"/>
        <color theme="1"/>
        <rFont val="ＭＳ Ｐゴシック"/>
        <family val="3"/>
        <charset val="128"/>
        <scheme val="minor"/>
      </rPr>
      <t>玖捌柒酒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</si>
  <si>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白酒; 薄荷酒; 米酒; 果酒（含酒精）; 青稞酒; 葡萄酒; 汽酒; 清酒（日本米酒）</t>
    </r>
  </si>
  <si>
    <r>
      <t>滇</t>
    </r>
    <r>
      <rPr>
        <sz val="11"/>
        <color theme="1"/>
        <rFont val="ＭＳ Ｐゴシック"/>
        <family val="3"/>
        <charset val="134"/>
        <scheme val="minor"/>
      </rPr>
      <t>锅锅</t>
    </r>
  </si>
  <si>
    <r>
      <t>广州香域气味</t>
    </r>
    <r>
      <rPr>
        <sz val="11"/>
        <color theme="1"/>
        <rFont val="ＭＳ Ｐゴシック"/>
        <family val="3"/>
        <charset val="134"/>
        <scheme val="minor"/>
      </rPr>
      <t>设计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</si>
  <si>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卡沙</t>
    </r>
    <r>
      <rPr>
        <sz val="11"/>
        <color theme="1"/>
        <rFont val="ＭＳ Ｐゴシック"/>
        <family val="3"/>
        <charset val="134"/>
        <scheme val="minor"/>
      </rPr>
      <t>萨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朗姆潘趣酒;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格利酒（朝</t>
    </r>
    <r>
      <rPr>
        <sz val="11"/>
        <color theme="1"/>
        <rFont val="ＭＳ Ｐゴシック"/>
        <family val="3"/>
        <charset val="134"/>
        <scheme val="minor"/>
      </rPr>
      <t>鲜传统</t>
    </r>
    <r>
      <rPr>
        <sz val="11"/>
        <color theme="1"/>
        <rFont val="ＭＳ Ｐゴシック"/>
        <family val="3"/>
        <charset val="128"/>
        <scheme val="minor"/>
      </rPr>
      <t>米酒）; 麦芽威士忌; 露酒; 刺五加酒; 蒸煮提取物（利口酒和烈酒）; 青稞酒</t>
    </r>
  </si>
  <si>
    <t>敬亭雪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</si>
  <si>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葡萄酒; 杜松子酒;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</si>
  <si>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南瑞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</si>
  <si>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州博尊酒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</si>
  <si>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</t>
    </r>
  </si>
  <si>
    <t>首集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</si>
  <si>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薄荷酒; 黄酒;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威士忌; 食用酒精</t>
    </r>
  </si>
  <si>
    <t>丰泉泥池</t>
  </si>
  <si>
    <r>
      <t>徐州丰泉酒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</si>
  <si>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</si>
  <si>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清</t>
    </r>
    <r>
      <rPr>
        <sz val="11"/>
        <color theme="1"/>
        <rFont val="ＭＳ Ｐゴシック"/>
        <family val="3"/>
        <charset val="134"/>
        <scheme val="minor"/>
      </rPr>
      <t>谦</t>
    </r>
  </si>
  <si>
    <r>
      <t>白酒; 薄荷酒;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梨酒; 苹果酒</t>
    </r>
  </si>
  <si>
    <r>
      <t>久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云</t>
    </r>
  </si>
  <si>
    <r>
      <t>北京久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</si>
  <si>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薄荷酒; 葡萄酒; 白干酒（中国白酒）; 果酒（含酒精）; 麦芽威士忌;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食用酒精</t>
    </r>
  </si>
  <si>
    <r>
      <t>论</t>
    </r>
    <r>
      <rPr>
        <sz val="11"/>
        <color theme="1"/>
        <rFont val="ＭＳ Ｐゴシック"/>
        <family val="3"/>
        <charset val="128"/>
        <scheme val="minor"/>
      </rPr>
      <t>道宋</t>
    </r>
    <r>
      <rPr>
        <sz val="11"/>
        <color theme="1"/>
        <rFont val="ＭＳ Ｐゴシック"/>
        <family val="3"/>
        <charset val="134"/>
        <scheme val="minor"/>
      </rPr>
      <t>陆</t>
    </r>
  </si>
  <si>
    <r>
      <t>鹿邑</t>
    </r>
    <r>
      <rPr>
        <sz val="11"/>
        <color theme="1"/>
        <rFont val="ＭＳ Ｐゴシック"/>
        <family val="3"/>
        <charset val="134"/>
        <scheme val="minor"/>
      </rPr>
      <t>县发</t>
    </r>
    <r>
      <rPr>
        <sz val="11"/>
        <color theme="1"/>
        <rFont val="ＭＳ Ｐゴシック"/>
        <family val="3"/>
        <charset val="128"/>
        <scheme val="minor"/>
      </rPr>
      <t>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</si>
  <si>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果酒（含酒精）;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餐后酒（利口酒和烈酒）;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</si>
  <si>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上海和袖生物科技有限公司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</si>
  <si>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米酒; 黄酒; 威士忌</t>
    </r>
  </si>
  <si>
    <t>古蜀香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</si>
  <si>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清酒（日本米酒）; 白干酒（中国白酒）; 果酒（含酒精）; 白酒</t>
    </r>
  </si>
  <si>
    <r>
      <t>馥</t>
    </r>
    <r>
      <rPr>
        <sz val="11"/>
        <color theme="1"/>
        <rFont val="ＭＳ Ｐゴシック"/>
        <family val="3"/>
        <charset val="134"/>
        <scheme val="minor"/>
      </rPr>
      <t>贵发财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</si>
  <si>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威士忌;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葡萄酒</t>
    </r>
  </si>
  <si>
    <t>古蜀金波</t>
  </si>
  <si>
    <r>
      <t>葡萄酒; 白干酒（中国白酒）;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烈酒;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</si>
  <si>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古蜀玉</t>
    </r>
    <r>
      <rPr>
        <sz val="11"/>
        <color theme="1"/>
        <rFont val="ＭＳ Ｐゴシック"/>
        <family val="3"/>
        <charset val="134"/>
        <scheme val="minor"/>
      </rPr>
      <t>觞</t>
    </r>
  </si>
  <si>
    <r>
      <t>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高粱酒; 清酒（日本米酒）;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白干酒（中国白酒）; 烈酒</t>
    </r>
  </si>
  <si>
    <r>
      <t>宜</t>
    </r>
    <r>
      <rPr>
        <sz val="11"/>
        <color theme="1"/>
        <rFont val="ＭＳ Ｐゴシック"/>
        <family val="3"/>
        <charset val="134"/>
        <scheme val="minor"/>
      </rPr>
      <t>跃</t>
    </r>
  </si>
  <si>
    <r>
      <t>湖北宜</t>
    </r>
    <r>
      <rPr>
        <sz val="11"/>
        <color theme="1"/>
        <rFont val="ＭＳ Ｐゴシック"/>
        <family val="3"/>
        <charset val="134"/>
        <scheme val="minor"/>
      </rPr>
      <t>跃农业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</si>
  <si>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柑香酒; 蜂蜜酒; 酸酒（低等葡萄酒）;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</si>
  <si>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水中仙</t>
  </si>
  <si>
    <r>
      <t>苏</t>
    </r>
    <r>
      <rPr>
        <sz val="11"/>
        <color theme="1"/>
        <rFont val="ＭＳ Ｐゴシック"/>
        <family val="3"/>
        <charset val="128"/>
        <scheme val="minor"/>
      </rPr>
      <t>学元</t>
    </r>
  </si>
  <si>
    <r>
      <t xml:space="preserve">开胃酒; 清酒（日本米酒）;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蜂蜜酒; 黄酒</t>
    </r>
  </si>
  <si>
    <t>溶岩人家</t>
  </si>
  <si>
    <r>
      <t>宜</t>
    </r>
    <r>
      <rPr>
        <sz val="11"/>
        <color theme="1"/>
        <rFont val="ＭＳ Ｐゴシック"/>
        <family val="3"/>
        <charset val="134"/>
        <scheme val="minor"/>
      </rPr>
      <t>宾锈</t>
    </r>
    <r>
      <rPr>
        <sz val="11"/>
        <color theme="1"/>
        <rFont val="ＭＳ Ｐゴシック"/>
        <family val="3"/>
        <charset val="128"/>
        <scheme val="minor"/>
      </rPr>
      <t>芬酒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</si>
  <si>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果酒（含酒精）;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黄酒; 开胃酒</t>
    </r>
  </si>
  <si>
    <r>
      <t>明皇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</si>
  <si>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安徽甲天下酒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</si>
  <si>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果酒;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清酒（日本米酒）; 青稞酒</t>
    </r>
  </si>
  <si>
    <t>天几湾</t>
  </si>
  <si>
    <r>
      <t>韩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*****************X</t>
    </r>
  </si>
  <si>
    <r>
      <t>梅酒; 果酒; 黄酒; 果酒（含酒精）; 白酒; 米酒;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葡萄酒</t>
    </r>
  </si>
  <si>
    <r>
      <t>美易</t>
    </r>
    <r>
      <rPr>
        <sz val="11"/>
        <color theme="1"/>
        <rFont val="ＭＳ Ｐゴシック"/>
        <family val="3"/>
        <charset val="134"/>
        <scheme val="minor"/>
      </rPr>
      <t>维</t>
    </r>
  </si>
  <si>
    <r>
      <t>米酒; 餐后酒（利口酒和烈酒）; 清酒; 佐餐酒; 果酒（含酒精）; 白酒;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混合威士忌酒;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白葡萄酒</t>
    </r>
  </si>
  <si>
    <t>新熯唐威</t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</si>
  <si>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清酒（日本米酒）; 食用酒精;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</t>
    </r>
  </si>
  <si>
    <t>雪浮花</t>
  </si>
  <si>
    <r>
      <t>白葡萄酒; 餐后酒（利口酒和烈酒）; 果酒（含酒精）;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清酒; 白酒; 米酒; 混合威士忌酒;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佐餐酒</t>
    </r>
  </si>
  <si>
    <t>斟盼</t>
  </si>
  <si>
    <r>
      <t>沈世</t>
    </r>
    <r>
      <rPr>
        <sz val="11"/>
        <color theme="1"/>
        <rFont val="ＭＳ Ｐゴシック"/>
        <family val="3"/>
        <charset val="134"/>
        <scheme val="minor"/>
      </rPr>
      <t>泽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</si>
  <si>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黄酒; 果酒;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</si>
  <si>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百姓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</si>
  <si>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省世遵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</si>
  <si>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高粱酒;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米酒; 烈酒; 蒸煮提取物（利口酒和烈酒）</t>
    </r>
  </si>
  <si>
    <r>
      <t>金谷</t>
    </r>
    <r>
      <rPr>
        <sz val="11"/>
        <color theme="1"/>
        <rFont val="ＭＳ Ｐゴシック"/>
        <family val="3"/>
        <charset val="134"/>
        <scheme val="minor"/>
      </rPr>
      <t>贝</t>
    </r>
  </si>
  <si>
    <r>
      <t>四川省金谷</t>
    </r>
    <r>
      <rPr>
        <sz val="11"/>
        <color theme="1"/>
        <rFont val="ＭＳ Ｐゴシック"/>
        <family val="3"/>
        <charset val="134"/>
        <scheme val="minor"/>
      </rPr>
      <t>贝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类销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</si>
  <si>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葡萄酒; 米酒; 清酒;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果酒; 黄酒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</si>
  <si>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黄酒; 果酒（含酒精）; 白酒; 威士忌;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</si>
  <si>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膳</t>
    </r>
    <r>
      <rPr>
        <sz val="11"/>
        <color theme="1"/>
        <rFont val="ＭＳ Ｐゴシック"/>
        <family val="3"/>
        <charset val="134"/>
        <scheme val="minor"/>
      </rPr>
      <t>团圆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</si>
  <si>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东时</t>
    </r>
    <r>
      <rPr>
        <sz val="11"/>
        <color theme="1"/>
        <rFont val="ＭＳ Ｐゴシック"/>
        <family val="3"/>
        <charset val="128"/>
        <scheme val="minor"/>
      </rPr>
      <t>光再生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源有限公司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</si>
  <si>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白酒;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</si>
  <si>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赣鲜</t>
    </r>
    <r>
      <rPr>
        <sz val="11"/>
        <color theme="1"/>
        <rFont val="ＭＳ Ｐゴシック"/>
        <family val="3"/>
        <charset val="128"/>
        <scheme val="minor"/>
      </rPr>
      <t>行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</si>
  <si>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歌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</si>
  <si>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米酒; 黄酒; 葡萄酒</t>
    </r>
  </si>
  <si>
    <r>
      <t>福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福运</t>
    </r>
  </si>
  <si>
    <r>
      <t>伏特加酒;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清酒;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</si>
  <si>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古蜀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泉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</si>
  <si>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白干酒（中国白酒）; 葡萄酒; 烈酒; 高粱酒;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</t>
    </r>
  </si>
  <si>
    <t>古蜀星月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</si>
  <si>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高粱酒;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烈酒;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</t>
    </r>
  </si>
  <si>
    <r>
      <t>佬第</t>
    </r>
    <r>
      <rPr>
        <sz val="11"/>
        <color theme="1"/>
        <rFont val="ＭＳ Ｐゴシック"/>
        <family val="3"/>
        <charset val="134"/>
        <scheme val="minor"/>
      </rPr>
      <t>乡</t>
    </r>
  </si>
  <si>
    <r>
      <t>餐后酒（利口酒和烈酒）; 苹果酒;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白酒</t>
    </r>
  </si>
  <si>
    <t>涪之源</t>
  </si>
  <si>
    <r>
      <t>四川通富供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</si>
  <si>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t>果酒（含酒精）; 白酒; 葡萄酒</t>
  </si>
  <si>
    <r>
      <t>夔</t>
    </r>
    <r>
      <rPr>
        <sz val="11"/>
        <color theme="1"/>
        <rFont val="ＭＳ Ｐゴシック"/>
        <family val="3"/>
        <charset val="134"/>
        <scheme val="minor"/>
      </rPr>
      <t>鸾</t>
    </r>
  </si>
  <si>
    <r>
      <t>昆明夔</t>
    </r>
    <r>
      <rPr>
        <sz val="11"/>
        <color theme="1"/>
        <rFont val="ＭＳ Ｐゴシック"/>
        <family val="3"/>
        <charset val="134"/>
        <scheme val="minor"/>
      </rPr>
      <t>鸾</t>
    </r>
    <r>
      <rPr>
        <sz val="11"/>
        <color theme="1"/>
        <rFont val="ＭＳ Ｐゴシック"/>
        <family val="3"/>
        <charset val="128"/>
        <scheme val="minor"/>
      </rPr>
      <t>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</si>
  <si>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含酒精的气泡水; 米酒;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</si>
  <si>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杏德恒</t>
  </si>
  <si>
    <r>
      <t>米酒; 白酒;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葡萄酒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</si>
  <si>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壕后山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</si>
  <si>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固阳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后山</t>
    </r>
    <r>
      <rPr>
        <sz val="11"/>
        <color theme="1"/>
        <rFont val="ＭＳ Ｐゴシック"/>
        <family val="3"/>
        <charset val="134"/>
        <scheme val="minor"/>
      </rPr>
      <t>缘农</t>
    </r>
    <r>
      <rPr>
        <sz val="11"/>
        <color theme="1"/>
        <rFont val="ＭＳ Ｐゴシック"/>
        <family val="3"/>
        <charset val="128"/>
        <scheme val="minor"/>
      </rPr>
      <t>民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</si>
  <si>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烈酒;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米酒</t>
    </r>
  </si>
  <si>
    <t>先成</t>
  </si>
  <si>
    <r>
      <t>白酒; 开胃酒; 葡萄酒; 黄酒;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</t>
    </r>
  </si>
  <si>
    <t>易祥</t>
  </si>
  <si>
    <r>
      <t>果酒（含酒精）; 青稞酒;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</si>
  <si>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YI HAO JIANG XIANG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</si>
  <si>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叁</t>
    </r>
    <r>
      <rPr>
        <sz val="11"/>
        <color theme="1"/>
        <rFont val="ＭＳ Ｐゴシック"/>
        <family val="3"/>
        <charset val="128"/>
        <scheme val="minor"/>
      </rPr>
      <t>壹众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</si>
  <si>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葡萄酒; 米酒; 黄酒</t>
    </r>
  </si>
  <si>
    <t>皖桐六尺巷</t>
  </si>
  <si>
    <r>
      <t>安徽六尺巷酒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</si>
  <si>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开胃酒; 蜂蜜酒; 黄酒; 米酒; 甜酒;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</si>
  <si>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古蜀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</si>
  <si>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烈酒; 白干酒（中国白酒）; 清酒（日本米酒）</t>
    </r>
  </si>
  <si>
    <r>
      <t xml:space="preserve">醇 </t>
    </r>
    <r>
      <rPr>
        <sz val="11"/>
        <color theme="1"/>
        <rFont val="ＭＳ Ｐゴシック"/>
        <family val="3"/>
        <charset val="134"/>
        <scheme val="minor"/>
      </rPr>
      <t>汤</t>
    </r>
    <r>
      <rPr>
        <sz val="11"/>
        <color theme="1"/>
        <rFont val="ＭＳ Ｐゴシック"/>
        <family val="3"/>
        <charset val="128"/>
        <scheme val="minor"/>
      </rPr>
      <t>溪·溪里醇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</si>
  <si>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雪平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</si>
  <si>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</t>
    </r>
  </si>
  <si>
    <r>
      <t>啊依</t>
    </r>
    <r>
      <rPr>
        <sz val="11"/>
        <color theme="1"/>
        <rFont val="ＭＳ Ｐゴシック"/>
        <family val="3"/>
        <charset val="134"/>
        <scheme val="minor"/>
      </rPr>
      <t>树</t>
    </r>
  </si>
  <si>
    <r>
      <t>通海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曲香园食品有限公司</t>
    </r>
  </si>
  <si>
    <r>
      <t>预调</t>
    </r>
    <r>
      <rPr>
        <sz val="11"/>
        <color theme="1"/>
        <rFont val="ＭＳ Ｐゴシック"/>
        <family val="3"/>
        <charset val="128"/>
        <scheme val="minor"/>
      </rPr>
      <t>甜酒;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葡萄酒; 白干酒（中国白酒）; 清酒（日本米酒）; 白酒; 果酒（含酒精）</t>
    </r>
  </si>
  <si>
    <r>
      <t>炽</t>
    </r>
    <r>
      <rPr>
        <sz val="11"/>
        <color theme="1"/>
        <rFont val="ＭＳ Ｐゴシック"/>
        <family val="3"/>
        <charset val="128"/>
        <scheme val="minor"/>
      </rPr>
      <t>粮台</t>
    </r>
  </si>
  <si>
    <r>
      <t>食用酒精; 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</t>
    </r>
  </si>
  <si>
    <r>
      <t>东宫</t>
    </r>
    <r>
      <rPr>
        <sz val="11"/>
        <color theme="1"/>
        <rFont val="ＭＳ Ｐゴシック"/>
        <family val="3"/>
        <charset val="128"/>
        <scheme val="minor"/>
      </rPr>
      <t>令</t>
    </r>
  </si>
  <si>
    <t>高国林</t>
  </si>
  <si>
    <r>
      <t>葡萄酒; 米酒;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</si>
  <si>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问</t>
    </r>
    <r>
      <rPr>
        <sz val="11"/>
        <color theme="1"/>
        <rFont val="ＭＳ Ｐゴシック"/>
        <family val="3"/>
        <charset val="128"/>
        <scheme val="minor"/>
      </rPr>
      <t>道于天</t>
    </r>
  </si>
  <si>
    <t>吴忠宝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</si>
  <si>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开胃酒; 米酒; 白酒; 高粱酒; 黄酒; 白干酒（中国白酒）; 烈酒</t>
    </r>
  </si>
  <si>
    <t>祁扶山</t>
  </si>
  <si>
    <r>
      <t xml:space="preserve">黄酒; 开胃酒; 葡萄酒; 果酒; 米酒; 白酒; 苦艾酒;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</si>
  <si>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米酒;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</si>
  <si>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桃气喔</t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</si>
  <si>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豫叶双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</si>
  <si>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米酒; 汽酒</t>
    </r>
  </si>
  <si>
    <t>吕庆凯</t>
  </si>
  <si>
    <r>
      <t>薄荷酒;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甜酒; 开胃酒; 白酒; 青稞酒;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</si>
  <si>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淩企耘</t>
  </si>
  <si>
    <r>
      <t>株洲市企云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</si>
  <si>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白酒;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</si>
  <si>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金世佳仁</t>
  </si>
  <si>
    <r>
      <t>济</t>
    </r>
    <r>
      <rPr>
        <sz val="11"/>
        <color theme="1"/>
        <rFont val="ＭＳ Ｐゴシック"/>
        <family val="3"/>
        <charset val="128"/>
        <scheme val="minor"/>
      </rPr>
      <t>南金世佳酒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</si>
  <si>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高粱酒;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 xml:space="preserve">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草本型利口酒;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</si>
  <si>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梅莱雅</t>
  </si>
  <si>
    <r>
      <t>预调</t>
    </r>
    <r>
      <rPr>
        <sz val="11"/>
        <color theme="1"/>
        <rFont val="ＭＳ Ｐゴシック"/>
        <family val="3"/>
        <charset val="128"/>
        <scheme val="minor"/>
      </rPr>
      <t>甜酒; 葡萄酒; 白酒; 汽酒; 含酒精蛋奶酒;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梅酒; 果酒; 利口酒; 露酒</t>
    </r>
  </si>
  <si>
    <t>京垓生活</t>
  </si>
  <si>
    <r>
      <t>上海京垓网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</si>
  <si>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</si>
  <si>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NANA JACQUELINE</t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</si>
  <si>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餐后酒（利口酒和烈酒）;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伏特加酒; 薄荷酒; 威士忌; 朗姆酒</t>
    </r>
  </si>
  <si>
    <t>信派</t>
  </si>
  <si>
    <r>
      <t xml:space="preserve">黄酒;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</si>
  <si>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泓康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生</t>
    </r>
  </si>
  <si>
    <r>
      <t>北京神墨文化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</si>
  <si>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米酒; 甜酒;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含酒精的气泡水;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</t>
    </r>
  </si>
  <si>
    <r>
      <t>婚良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</si>
  <si>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卓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</si>
  <si>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利口酒; 苹果酒</t>
    </r>
  </si>
  <si>
    <r>
      <t>追神</t>
    </r>
    <r>
      <rPr>
        <sz val="11"/>
        <color theme="1"/>
        <rFont val="ＭＳ Ｐゴシック"/>
        <family val="3"/>
        <charset val="134"/>
        <scheme val="minor"/>
      </rPr>
      <t>补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</si>
  <si>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东东</t>
    </r>
    <r>
      <rPr>
        <sz val="11"/>
        <color theme="1"/>
        <rFont val="ＭＳ Ｐゴシック"/>
        <family val="3"/>
        <charset val="128"/>
        <scheme val="minor"/>
      </rPr>
      <t>阿百年堂阿胶生物制品股份有限公司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</si>
  <si>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混合威士忌酒; 葡萄酒; 开胃酒; 汽酒;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</si>
  <si>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巴科尼 BARICONI</t>
  </si>
  <si>
    <r>
      <t>浙江多极国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</si>
  <si>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葡萄酒; 起泡白葡萄酒;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不起泡葡萄酒; 白葡萄酒;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加烈葡萄酒</t>
    </r>
  </si>
  <si>
    <r>
      <t>玛尔</t>
    </r>
    <r>
      <rPr>
        <sz val="11"/>
        <color theme="1"/>
        <rFont val="ＭＳ Ｐゴシック"/>
        <family val="3"/>
        <charset val="128"/>
        <scheme val="minor"/>
      </rPr>
      <t>嘎雅 MARCAIA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</si>
  <si>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白葡萄酒; 不起泡葡萄酒;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起泡白葡萄酒;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加烈葡萄酒</t>
    </r>
  </si>
  <si>
    <t>盛望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</si>
  <si>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白酒; 白干酒（中国白酒）; 米酒; 葡萄酒; 食用酒精; 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</t>
    </r>
  </si>
  <si>
    <t>古蜀源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</si>
  <si>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烈酒; 白干酒（中国白酒）; 清酒（日本米酒）;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葡萄酒</t>
    </r>
  </si>
  <si>
    <r>
      <t>古蜀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池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</si>
  <si>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白干酒（中国白酒）; 果酒（含酒精）; 烈酒; 高粱酒; 清酒（日本米酒）</t>
    </r>
  </si>
  <si>
    <r>
      <t>世</t>
    </r>
    <r>
      <rPr>
        <sz val="11"/>
        <color theme="1"/>
        <rFont val="ＭＳ Ｐゴシック"/>
        <family val="3"/>
        <charset val="134"/>
        <scheme val="minor"/>
      </rPr>
      <t>勋</t>
    </r>
    <r>
      <rPr>
        <sz val="11"/>
        <color theme="1"/>
        <rFont val="ＭＳ Ｐゴシック"/>
        <family val="3"/>
        <charset val="128"/>
        <scheme val="minor"/>
      </rPr>
      <t>将</t>
    </r>
  </si>
  <si>
    <r>
      <t>卢</t>
    </r>
    <r>
      <rPr>
        <sz val="11"/>
        <color theme="1"/>
        <rFont val="ＭＳ Ｐゴシック"/>
        <family val="3"/>
        <charset val="128"/>
        <scheme val="minor"/>
      </rPr>
      <t>静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</si>
  <si>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开胃酒;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</t>
    </r>
  </si>
  <si>
    <r>
      <t>七阿</t>
    </r>
    <r>
      <rPr>
        <sz val="11"/>
        <color theme="1"/>
        <rFont val="ＭＳ Ｐゴシック"/>
        <family val="3"/>
        <charset val="134"/>
        <scheme val="minor"/>
      </rPr>
      <t>嬷</t>
    </r>
  </si>
  <si>
    <t>林思琪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</si>
  <si>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酸酒（低等葡萄酒）; 薄荷酒; 白干酒（中国白酒）</t>
    </r>
  </si>
  <si>
    <r>
      <t>择</t>
    </r>
    <r>
      <rPr>
        <sz val="11"/>
        <color theme="1"/>
        <rFont val="ＭＳ Ｐゴシック"/>
        <family val="3"/>
        <charset val="128"/>
        <scheme val="minor"/>
      </rPr>
      <t>木</t>
    </r>
    <r>
      <rPr>
        <sz val="11"/>
        <color theme="1"/>
        <rFont val="ＭＳ Ｐゴシック"/>
        <family val="3"/>
        <charset val="134"/>
        <scheme val="minor"/>
      </rPr>
      <t>鸟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</si>
  <si>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大美</t>
    </r>
    <r>
      <rPr>
        <sz val="11"/>
        <color theme="1"/>
        <rFont val="ＭＳ Ｐゴシック"/>
        <family val="3"/>
        <charset val="134"/>
        <scheme val="minor"/>
      </rPr>
      <t>韩</t>
    </r>
    <r>
      <rPr>
        <sz val="11"/>
        <color theme="1"/>
        <rFont val="ＭＳ Ｐゴシック"/>
        <family val="3"/>
        <charset val="128"/>
        <scheme val="minor"/>
      </rPr>
      <t>秀文化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</si>
  <si>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甜酒; 露酒;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白葡萄酒;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葡萄酒; 蜂蜜酒; 白酒</t>
    </r>
  </si>
  <si>
    <t>万江辞</t>
  </si>
  <si>
    <t>周奇松</t>
  </si>
  <si>
    <r>
      <t>白酒; 葡萄酒;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清酒（日本米酒）; 果酒（含酒精）;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</si>
  <si>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益杞芳</t>
  </si>
  <si>
    <r>
      <t>吴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林</t>
    </r>
  </si>
  <si>
    <r>
      <t xml:space="preserve">米酒; 青稞酒;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梨酒; 葡萄酒; 清酒（日本米酒）; 果酒（含酒精）; 梅酒</t>
    </r>
  </si>
  <si>
    <r>
      <t>赤迎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</si>
  <si>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边</t>
    </r>
    <r>
      <rPr>
        <sz val="11"/>
        <color theme="1"/>
        <rFont val="ＭＳ Ｐゴシック"/>
        <family val="3"/>
        <charset val="128"/>
        <scheme val="minor"/>
      </rPr>
      <t>宁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</si>
  <si>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餐后酒（利口酒和烈酒）; 白酒;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</si>
  <si>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行柒</t>
  </si>
  <si>
    <r>
      <t>海南舶</t>
    </r>
    <r>
      <rPr>
        <sz val="11"/>
        <color theme="1"/>
        <rFont val="ＭＳ Ｐゴシック"/>
        <family val="3"/>
        <charset val="134"/>
        <scheme val="minor"/>
      </rPr>
      <t>载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</si>
  <si>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开胃酒; 白酒; 米酒; 苦味酒; 黄酒; 伏特加酒; 葡萄酒</t>
    </r>
  </si>
  <si>
    <r>
      <t>黔</t>
    </r>
    <r>
      <rPr>
        <sz val="11"/>
        <color theme="1"/>
        <rFont val="ＭＳ Ｐゴシック"/>
        <family val="3"/>
        <charset val="134"/>
        <scheme val="minor"/>
      </rPr>
      <t>炽</t>
    </r>
  </si>
  <si>
    <r>
      <t>吉祥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家具有限公司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</si>
  <si>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</si>
  <si>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雅禾西蔓</t>
  </si>
  <si>
    <t>宋波</t>
  </si>
  <si>
    <r>
      <t>餐后酒（利口酒和烈酒）; 果酒（含酒精）;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开胃酒;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</si>
  <si>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现农</t>
  </si>
  <si>
    <r>
      <t>内蒙古</t>
    </r>
    <r>
      <rPr>
        <sz val="11"/>
        <color theme="1"/>
        <rFont val="ＭＳ Ｐゴシック"/>
        <family val="3"/>
        <charset val="134"/>
        <scheme val="minor"/>
      </rPr>
      <t>现</t>
    </r>
    <r>
      <rPr>
        <sz val="11"/>
        <color theme="1"/>
        <rFont val="ＭＳ Ｐゴシック"/>
        <family val="3"/>
        <charset val="128"/>
        <scheme val="minor"/>
      </rPr>
      <t>代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</si>
  <si>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 xml:space="preserve">族米酒;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</si>
  <si>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定宣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</si>
  <si>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宣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巴人地窖酒厂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</si>
  <si>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苹果酒;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</t>
    </r>
  </si>
  <si>
    <t>斯克朗</t>
  </si>
  <si>
    <r>
      <t>果酒（含酒精）; 葡萄酒; 白干酒（中国白酒）;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</si>
  <si>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晋佬三</t>
  </si>
  <si>
    <t>王磊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</si>
  <si>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</si>
  <si>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州松豪酒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</si>
  <si>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</t>
    </r>
  </si>
  <si>
    <t>晨志七方香</t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</si>
  <si>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晨志科技有限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</si>
  <si>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白酒; 黄酒; 食用酒精; 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草莓酒</t>
    </r>
  </si>
  <si>
    <t>官小六</t>
  </si>
  <si>
    <r>
      <t>四川福牛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</si>
  <si>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开胃酒;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食用酒精; 米酒; 黄酒; 青稞酒; 葡萄酒</t>
    </r>
  </si>
  <si>
    <t>桑茉</t>
  </si>
  <si>
    <r>
      <t>林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生</t>
    </r>
  </si>
  <si>
    <r>
      <t>威士忌; 朗姆酒;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食用酒精;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</t>
    </r>
  </si>
  <si>
    <t>拾年重逢</t>
  </si>
  <si>
    <r>
      <t>白干酒（中国白酒）; 米酒; 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苦味酒;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</si>
  <si>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天津百味思国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</si>
  <si>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葡萄酒; 果酒（含酒精）; 黄酒; 威士忌; 米酒; 白酒</t>
    </r>
  </si>
  <si>
    <r>
      <t>论</t>
    </r>
    <r>
      <rPr>
        <sz val="11"/>
        <color theme="1"/>
        <rFont val="ＭＳ Ｐゴシック"/>
        <family val="3"/>
        <charset val="128"/>
        <scheme val="minor"/>
      </rPr>
      <t>悟智慧</t>
    </r>
  </si>
  <si>
    <r>
      <t>朱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</si>
  <si>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开胃酒;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</t>
    </r>
  </si>
  <si>
    <r>
      <t>昆明云</t>
    </r>
    <r>
      <rPr>
        <sz val="11"/>
        <color theme="1"/>
        <rFont val="ＭＳ Ｐゴシック"/>
        <family val="3"/>
        <charset val="134"/>
        <scheme val="minor"/>
      </rPr>
      <t>顶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</si>
  <si>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清酒（日本米酒）;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蒸煮提取物（利口酒和烈酒）;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</si>
  <si>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开胃酒;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米酒; 苦味酒; 清酒（日本米酒）; 果酒（含酒精）</t>
    </r>
  </si>
  <si>
    <t>襄郡府</t>
  </si>
  <si>
    <r>
      <t>吕</t>
    </r>
    <r>
      <rPr>
        <sz val="11"/>
        <color theme="1"/>
        <rFont val="ＭＳ Ｐゴシック"/>
        <family val="3"/>
        <charset val="128"/>
        <scheme val="minor"/>
      </rPr>
      <t>志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</si>
  <si>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>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高粱酒;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露酒; 白酒</t>
    </r>
  </si>
  <si>
    <t>衡医堂</t>
  </si>
  <si>
    <r>
      <t>上海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果宝生物技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</si>
  <si>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汽酒; 白酒; 黄酒; 米酒</t>
    </r>
  </si>
  <si>
    <t>府猴</t>
  </si>
  <si>
    <t>天斯科技有限公司</t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</si>
  <si>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黄酒; 清酒（日本米酒）;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</si>
  <si>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逍遥心</t>
  </si>
  <si>
    <r>
      <t>清酒（日本米酒）; 白酒; 果酒（含酒精）; 餐后酒（利口酒和烈酒）;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含酒精的气泡水;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</si>
  <si>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澂焱</t>
  </si>
  <si>
    <r>
      <t>杭州澂石网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</si>
  <si>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水果汽酒;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开胃酒; 白酒; 甜酒; 烈酒</t>
    </r>
  </si>
  <si>
    <r>
      <t>载</t>
    </r>
    <r>
      <rPr>
        <sz val="11"/>
        <color theme="1"/>
        <rFont val="ＭＳ Ｐゴシック"/>
        <family val="3"/>
        <charset val="128"/>
        <scheme val="minor"/>
      </rPr>
      <t>敬</t>
    </r>
  </si>
  <si>
    <t>徐磊</t>
  </si>
  <si>
    <r>
      <t>餐后酒（利口酒和烈酒）; 米酒; 白酒; 葡萄酒;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苹果酒</t>
    </r>
  </si>
  <si>
    <r>
      <t>每日</t>
    </r>
    <r>
      <rPr>
        <sz val="11"/>
        <color theme="1"/>
        <rFont val="ＭＳ Ｐゴシック"/>
        <family val="3"/>
        <charset val="134"/>
        <scheme val="minor"/>
      </rPr>
      <t>财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</si>
  <si>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闪电</t>
    </r>
    <r>
      <rPr>
        <sz val="11"/>
        <color theme="1"/>
        <rFont val="ＭＳ Ｐゴシック"/>
        <family val="3"/>
        <charset val="128"/>
        <scheme val="minor"/>
      </rPr>
      <t>人食品有限公司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</si>
  <si>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</si>
  <si>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t>巷口相逢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</si>
  <si>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苦味酒; 梨酒;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</t>
    </r>
  </si>
  <si>
    <t>五彩布兜</t>
  </si>
  <si>
    <r>
      <t>乔</t>
    </r>
    <r>
      <rPr>
        <sz val="11"/>
        <color theme="1"/>
        <rFont val="ＭＳ Ｐゴシック"/>
        <family val="3"/>
        <charset val="128"/>
        <scheme val="minor"/>
      </rPr>
      <t>宇</t>
    </r>
  </si>
  <si>
    <r>
      <t>黄酒; 果酒（含酒精）;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</t>
    </r>
  </si>
  <si>
    <t>杏运侯</t>
  </si>
  <si>
    <r>
      <t>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</si>
  <si>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t>金刺安健</t>
  </si>
  <si>
    <t>吴杰</t>
  </si>
  <si>
    <r>
      <t>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果酒; 青稞酒; 高粱酒; 米酒</t>
    </r>
  </si>
  <si>
    <r>
      <t>论</t>
    </r>
    <r>
      <rPr>
        <sz val="11"/>
        <color theme="1"/>
        <rFont val="ＭＳ Ｐゴシック"/>
        <family val="3"/>
        <charset val="128"/>
        <scheme val="minor"/>
      </rPr>
      <t>悟</t>
    </r>
  </si>
  <si>
    <r>
      <t xml:space="preserve">米酒; 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蜂蜜酒; 白酒;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</si>
  <si>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灵犀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猫</t>
    </r>
  </si>
  <si>
    <r>
      <t>周口澳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啤酒有限公司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</si>
  <si>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果酒; 露酒; 米酒; 汽酒; 白酒; 葡萄酒; 利口酒; 黄酒; 梅酒</t>
    </r>
  </si>
  <si>
    <t>BIRKBECK ESTATE</t>
  </si>
  <si>
    <r>
      <t>李春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</si>
  <si>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>葡萄酒; 威士忌;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利口酒; 朗姆酒;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</si>
  <si>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吉</t>
    </r>
    <r>
      <rPr>
        <sz val="11"/>
        <color theme="1"/>
        <rFont val="ＭＳ Ｐゴシック"/>
        <family val="3"/>
        <charset val="134"/>
        <scheme val="minor"/>
      </rPr>
      <t>闽浍</t>
    </r>
  </si>
  <si>
    <r>
      <t>林炳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</si>
  <si>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果酒; 开胃酒; 葡萄酒; 白酒</t>
    </r>
  </si>
  <si>
    <r>
      <t>润尧</t>
    </r>
    <r>
      <rPr>
        <sz val="11"/>
        <color theme="1"/>
        <rFont val="ＭＳ Ｐゴシック"/>
        <family val="3"/>
        <charset val="128"/>
        <scheme val="minor"/>
      </rPr>
      <t>柒号</t>
    </r>
  </si>
  <si>
    <r>
      <t xml:space="preserve">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白葡萄酒; 黄酒; 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</t>
    </r>
  </si>
  <si>
    <t>造逸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</si>
  <si>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</si>
  <si>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叙家</t>
  </si>
  <si>
    <r>
      <t xml:space="preserve">米酒; 利口酒; 伏特加酒;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</si>
  <si>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CHEONGRA</t>
  </si>
  <si>
    <t>李彬******************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</si>
  <si>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果酒（含酒精）;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</t>
    </r>
  </si>
  <si>
    <r>
      <t>持</t>
    </r>
    <r>
      <rPr>
        <sz val="11"/>
        <color theme="1"/>
        <rFont val="ＭＳ Ｐゴシック"/>
        <family val="3"/>
        <charset val="134"/>
        <scheme val="minor"/>
      </rPr>
      <t>节</t>
    </r>
    <r>
      <rPr>
        <sz val="11"/>
        <color theme="1"/>
        <rFont val="ＭＳ Ｐゴシック"/>
        <family val="3"/>
        <charset val="128"/>
        <scheme val="minor"/>
      </rPr>
      <t>云中</t>
    </r>
  </si>
  <si>
    <r>
      <t>李建</t>
    </r>
    <r>
      <rPr>
        <sz val="11"/>
        <color theme="1"/>
        <rFont val="ＭＳ Ｐゴシック"/>
        <family val="3"/>
        <charset val="134"/>
        <scheme val="minor"/>
      </rPr>
      <t>军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</si>
  <si>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葡萄酒;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开胃酒</t>
    </r>
  </si>
  <si>
    <t>宜市吉</t>
  </si>
  <si>
    <t>宜市吉（杭州）科技有限公司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</si>
  <si>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米酒; 葡萄酒; 伏特加酒; 威士忌; 黄酒; 青稞酒; 果酒（含酒精）; 食用酒精</t>
    </r>
  </si>
  <si>
    <r>
      <t>贤</t>
    </r>
    <r>
      <rPr>
        <sz val="11"/>
        <color theme="1"/>
        <rFont val="ＭＳ Ｐゴシック"/>
        <family val="3"/>
        <charset val="128"/>
        <scheme val="minor"/>
      </rPr>
      <t>翌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</si>
  <si>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柏川</t>
    </r>
  </si>
  <si>
    <r>
      <t xml:space="preserve">青稞酒; 白酒; 葡萄酒; 烈酒;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</si>
  <si>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r>
      <t>达春旺运</t>
    </r>
    <r>
      <rPr>
        <sz val="11"/>
        <color theme="1"/>
        <rFont val="ＭＳ Ｐゴシック"/>
        <family val="3"/>
        <charset val="134"/>
        <scheme val="minor"/>
      </rPr>
      <t>斋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</si>
  <si>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州正本堂健康管理有限公司</t>
    </r>
  </si>
  <si>
    <r>
      <t>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清酒; 果酒; 甜酒;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米酒; 白酒; 五加皮酒（中国混合烈酒）</t>
    </r>
  </si>
  <si>
    <r>
      <t>御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策</t>
    </r>
  </si>
  <si>
    <r>
      <t>朱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星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</si>
  <si>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果酒（含酒精）; 开胃酒; 清酒（日本米酒）; 葡萄酒; 白酒;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</si>
  <si>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t>养鹿小姐姐</t>
  </si>
  <si>
    <r>
      <t>吉林省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晟鹿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</si>
  <si>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</si>
  <si>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吟遵</t>
    </r>
    <r>
      <rPr>
        <sz val="11"/>
        <color theme="1"/>
        <rFont val="ＭＳ Ｐゴシック"/>
        <family val="3"/>
        <charset val="134"/>
        <scheme val="minor"/>
      </rPr>
      <t>颂</t>
    </r>
  </si>
  <si>
    <r>
      <t xml:space="preserve">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汽酒</t>
    </r>
  </si>
  <si>
    <r>
      <t>伍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丰</t>
    </r>
  </si>
  <si>
    <t>伍明蕾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</si>
  <si>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青稞酒;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</t>
    </r>
  </si>
  <si>
    <t>米非米索</t>
  </si>
  <si>
    <r>
      <t>上海</t>
    </r>
    <r>
      <rPr>
        <sz val="11"/>
        <color theme="1"/>
        <rFont val="ＭＳ Ｐゴシック"/>
        <family val="3"/>
        <charset val="134"/>
        <scheme val="minor"/>
      </rPr>
      <t>纽</t>
    </r>
    <r>
      <rPr>
        <sz val="11"/>
        <color theme="1"/>
        <rFont val="ＭＳ Ｐゴシック"/>
        <family val="3"/>
        <charset val="128"/>
        <scheme val="minor"/>
      </rPr>
      <t>隆投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</si>
  <si>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薄荷酒; 白酒; 白干酒（中国白酒）;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</si>
  <si>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北京品尚品医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</si>
  <si>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</si>
  <si>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识</t>
    </r>
    <r>
      <rPr>
        <sz val="11"/>
        <color theme="1"/>
        <rFont val="ＭＳ Ｐゴシック"/>
        <family val="3"/>
        <charset val="128"/>
        <scheme val="minor"/>
      </rPr>
      <t>味小</t>
    </r>
    <r>
      <rPr>
        <sz val="11"/>
        <color theme="1"/>
        <rFont val="ＭＳ Ｐゴシック"/>
        <family val="3"/>
        <charset val="134"/>
        <scheme val="minor"/>
      </rPr>
      <t>馆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</si>
  <si>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鲁</t>
    </r>
    <r>
      <rPr>
        <sz val="11"/>
        <color theme="1"/>
        <rFont val="ＭＳ Ｐゴシック"/>
        <family val="3"/>
        <charset val="128"/>
        <scheme val="minor"/>
      </rPr>
      <t>食味堂（</t>
    </r>
    <r>
      <rPr>
        <sz val="11"/>
        <color theme="1"/>
        <rFont val="ＭＳ Ｐゴシック"/>
        <family val="3"/>
        <charset val="134"/>
        <scheme val="minor"/>
      </rPr>
      <t>济</t>
    </r>
    <r>
      <rPr>
        <sz val="11"/>
        <color theme="1"/>
        <rFont val="ＭＳ Ｐゴシック"/>
        <family val="3"/>
        <charset val="128"/>
        <scheme val="minor"/>
      </rPr>
      <t>南）餐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</si>
  <si>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开胃酒; 汽酒; 葡萄酒</t>
    </r>
  </si>
  <si>
    <t>KTJ</t>
  </si>
  <si>
    <r>
      <t>山西苦甜井醋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</si>
  <si>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白酒; 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米酒;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</si>
  <si>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杭小咖</t>
  </si>
  <si>
    <t>周小杰</t>
  </si>
  <si>
    <r>
      <t>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黄酒; 梅酒;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</t>
    </r>
  </si>
  <si>
    <r>
      <t>中合盛建</t>
    </r>
    <r>
      <rPr>
        <sz val="11"/>
        <color theme="1"/>
        <rFont val="ＭＳ Ｐゴシック"/>
        <family val="3"/>
        <charset val="134"/>
        <scheme val="minor"/>
      </rPr>
      <t>设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</si>
  <si>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威士忌;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清酒</t>
    </r>
  </si>
  <si>
    <t>沐佳醇</t>
  </si>
  <si>
    <t>彭大松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</si>
  <si>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青稞酒; 黄酒; 果酒（含酒精）</t>
    </r>
  </si>
  <si>
    <t>川淘人家</t>
  </si>
  <si>
    <t>郝海生</t>
  </si>
  <si>
    <r>
      <t xml:space="preserve">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汽酒;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青稞酒; 果酒</t>
    </r>
  </si>
  <si>
    <t>对缘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</si>
  <si>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果酒（含酒精）; 米酒; 葡萄酒</t>
    </r>
  </si>
  <si>
    <r>
      <t>草原雄</t>
    </r>
    <r>
      <rPr>
        <sz val="11"/>
        <color theme="1"/>
        <rFont val="ＭＳ Ｐゴシック"/>
        <family val="3"/>
        <charset val="134"/>
        <scheme val="minor"/>
      </rPr>
      <t>鹰</t>
    </r>
  </si>
  <si>
    <r>
      <t>内蒙古草原雄</t>
    </r>
    <r>
      <rPr>
        <sz val="11"/>
        <color theme="1"/>
        <rFont val="ＭＳ Ｐゴシック"/>
        <family val="3"/>
        <charset val="134"/>
        <scheme val="minor"/>
      </rPr>
      <t>鹰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</si>
  <si>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葡萄酒; 苹果酒; 青稞酒</t>
    </r>
  </si>
  <si>
    <r>
      <t>道迎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</si>
  <si>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</si>
  <si>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萨</t>
    </r>
    <r>
      <rPr>
        <sz val="11"/>
        <color theme="1"/>
        <rFont val="ＭＳ Ｐゴシック"/>
        <family val="3"/>
        <charset val="128"/>
        <scheme val="minor"/>
      </rPr>
      <t>福</t>
    </r>
  </si>
  <si>
    <t>李治超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</si>
  <si>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</t>
    </r>
  </si>
  <si>
    <r>
      <t>卧</t>
    </r>
    <r>
      <rPr>
        <sz val="11"/>
        <color theme="1"/>
        <rFont val="ＭＳ Ｐゴシック"/>
        <family val="3"/>
        <charset val="134"/>
        <scheme val="minor"/>
      </rPr>
      <t>贤</t>
    </r>
  </si>
  <si>
    <r>
      <t xml:space="preserve">威士忌;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青稞酒;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</si>
  <si>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猴鹿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</si>
  <si>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成都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悦山</t>
    </r>
    <r>
      <rPr>
        <sz val="11"/>
        <color theme="1"/>
        <rFont val="ＭＳ Ｐゴシック"/>
        <family val="3"/>
        <charset val="134"/>
        <scheme val="minor"/>
      </rPr>
      <t>语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</si>
  <si>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食用酒精; 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</si>
  <si>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中合盛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</si>
  <si>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威士忌; 清酒; 果酒（含酒精）;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葡萄酒;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</si>
  <si>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肆拾玖坊知遇</t>
  </si>
  <si>
    <r>
      <t>开胃酒;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白酒</t>
    </r>
  </si>
  <si>
    <r>
      <t>月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禄</t>
    </r>
  </si>
  <si>
    <r>
      <t>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白酒; 果酒（含酒精）;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</si>
  <si>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橘</t>
    </r>
    <r>
      <rPr>
        <sz val="11"/>
        <color theme="1"/>
        <rFont val="ＭＳ Ｐゴシック"/>
        <family val="3"/>
        <charset val="134"/>
        <scheme val="minor"/>
      </rPr>
      <t>觅</t>
    </r>
    <r>
      <rPr>
        <sz val="11"/>
        <color theme="1"/>
        <rFont val="ＭＳ Ｐゴシック"/>
        <family val="3"/>
        <charset val="128"/>
        <scheme val="minor"/>
      </rPr>
      <t>迷</t>
    </r>
  </si>
  <si>
    <r>
      <t>铧镕</t>
    </r>
    <r>
      <rPr>
        <sz val="11"/>
        <color theme="1"/>
        <rFont val="ＭＳ Ｐゴシック"/>
        <family val="3"/>
        <charset val="128"/>
        <scheme val="minor"/>
      </rPr>
      <t>橘耀（重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）大健康管理有限公司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</si>
  <si>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黄酒</t>
    </r>
  </si>
  <si>
    <r>
      <t>郴</t>
    </r>
    <r>
      <rPr>
        <sz val="11"/>
        <color theme="1"/>
        <rFont val="ＭＳ Ｐゴシック"/>
        <family val="3"/>
        <charset val="134"/>
        <scheme val="minor"/>
      </rPr>
      <t>书</t>
    </r>
    <r>
      <rPr>
        <sz val="11"/>
        <color theme="1"/>
        <rFont val="ＭＳ Ｐゴシック"/>
        <family val="3"/>
        <charset val="128"/>
        <scheme val="minor"/>
      </rPr>
      <t>月</t>
    </r>
  </si>
  <si>
    <r>
      <t>唐</t>
    </r>
    <r>
      <rPr>
        <sz val="11"/>
        <color theme="1"/>
        <rFont val="ＭＳ Ｐゴシック"/>
        <family val="3"/>
        <charset val="134"/>
        <scheme val="minor"/>
      </rPr>
      <t>艳鹏</t>
    </r>
  </si>
  <si>
    <r>
      <t>果酒（含酒精）; 蜂蜜酒; 梨酒;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青稞酒; 黄酒;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</si>
  <si>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冬梅元</t>
    </r>
    <r>
      <rPr>
        <sz val="11"/>
        <color theme="1"/>
        <rFont val="ＭＳ Ｐゴシック"/>
        <family val="3"/>
        <charset val="134"/>
        <scheme val="minor"/>
      </rPr>
      <t>动</t>
    </r>
    <r>
      <rPr>
        <sz val="11"/>
        <color theme="1"/>
        <rFont val="ＭＳ Ｐゴシック"/>
        <family val="3"/>
        <charset val="128"/>
        <scheme val="minor"/>
      </rPr>
      <t>力</t>
    </r>
  </si>
  <si>
    <r>
      <t>海南惠</t>
    </r>
    <r>
      <rPr>
        <sz val="11"/>
        <color theme="1"/>
        <rFont val="ＭＳ Ｐゴシック"/>
        <family val="3"/>
        <charset val="134"/>
        <scheme val="minor"/>
      </rPr>
      <t>颐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</si>
  <si>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开胃酒; 黄酒; 米酒; 清酒; 甜果酒; 烈性干酒;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</si>
  <si>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基客源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</si>
  <si>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州鑫星阳酒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</si>
  <si>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</si>
  <si>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古麦</t>
    </r>
    <r>
      <rPr>
        <sz val="11"/>
        <color theme="1"/>
        <rFont val="ＭＳ Ｐゴシック"/>
        <family val="3"/>
        <charset val="134"/>
        <scheme val="minor"/>
      </rPr>
      <t>伦</t>
    </r>
    <r>
      <rPr>
        <sz val="11"/>
        <color theme="1"/>
        <rFont val="ＭＳ Ｐゴシック"/>
        <family val="3"/>
        <charset val="128"/>
        <scheme val="minor"/>
      </rPr>
      <t>GONMAILON</t>
    </r>
  </si>
  <si>
    <r>
      <t>王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</si>
  <si>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</si>
  <si>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t>杏兄台</t>
  </si>
  <si>
    <t>金欣怡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</si>
  <si>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白酒; 餐后酒（利口酒和烈酒）;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</si>
  <si>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杏</t>
    </r>
    <r>
      <rPr>
        <sz val="11"/>
        <color theme="1"/>
        <rFont val="ＭＳ Ｐゴシック"/>
        <family val="3"/>
        <charset val="134"/>
        <scheme val="minor"/>
      </rPr>
      <t>纷</t>
    </r>
    <r>
      <rPr>
        <sz val="11"/>
        <color theme="1"/>
        <rFont val="ＭＳ Ｐゴシック"/>
        <family val="3"/>
        <charset val="128"/>
        <scheme val="minor"/>
      </rPr>
      <t>人家</t>
    </r>
  </si>
  <si>
    <r>
      <t>白酒; 米酒;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清酒; 开胃酒</t>
    </r>
  </si>
  <si>
    <t>派行天下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</si>
  <si>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州酒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云外酒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</si>
  <si>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</si>
  <si>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浮生</t>
    </r>
  </si>
  <si>
    <t>曹小平</t>
  </si>
  <si>
    <r>
      <t xml:space="preserve">果酒（含酒精）; 威士忌; 葡萄酒;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</si>
  <si>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杏福今宵</t>
  </si>
  <si>
    <r>
      <t>蓝创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</si>
  <si>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高粱酒; 烈酒;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威士忌</t>
    </r>
  </si>
  <si>
    <r>
      <t>论</t>
    </r>
    <r>
      <rPr>
        <sz val="11"/>
        <color theme="1"/>
        <rFont val="ＭＳ Ｐゴシック"/>
        <family val="3"/>
        <charset val="128"/>
        <scheme val="minor"/>
      </rPr>
      <t>悟境界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</si>
  <si>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白酒;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蜂蜜酒</t>
    </r>
  </si>
  <si>
    <t>西域宗</t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</si>
  <si>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</si>
  <si>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论</t>
    </r>
    <r>
      <rPr>
        <sz val="11"/>
        <color theme="1"/>
        <rFont val="ＭＳ Ｐゴシック"/>
        <family val="3"/>
        <charset val="128"/>
        <scheme val="minor"/>
      </rPr>
      <t>芳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</si>
  <si>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帅龙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</si>
  <si>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</si>
  <si>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雅中皇</t>
  </si>
  <si>
    <r>
      <t>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白酒; 含酒精的气泡水; 青稞酒; 葡萄酒;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</si>
  <si>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团乐</t>
    </r>
    <r>
      <rPr>
        <sz val="11"/>
        <color theme="1"/>
        <rFont val="ＭＳ Ｐゴシック"/>
        <family val="3"/>
        <charset val="129"/>
        <scheme val="minor"/>
      </rPr>
      <t>优</t>
    </r>
  </si>
  <si>
    <r>
      <t>安徽</t>
    </r>
    <r>
      <rPr>
        <sz val="11"/>
        <color theme="1"/>
        <rFont val="ＭＳ Ｐゴシック"/>
        <family val="3"/>
        <charset val="134"/>
        <scheme val="minor"/>
      </rPr>
      <t>团乐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</si>
  <si>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果酒（含酒精）;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露酒; 开胃酒;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</t>
    </r>
  </si>
  <si>
    <r>
      <t>沂山</t>
    </r>
    <r>
      <rPr>
        <sz val="11"/>
        <color theme="1"/>
        <rFont val="ＭＳ Ｐゴシック"/>
        <family val="3"/>
        <charset val="134"/>
        <scheme val="minor"/>
      </rPr>
      <t>颂</t>
    </r>
  </si>
  <si>
    <t>王振</t>
  </si>
  <si>
    <r>
      <t xml:space="preserve">果酒;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用烈酒; 米酒; 葡萄酒;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</t>
    </r>
  </si>
  <si>
    <r>
      <t>亳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</si>
  <si>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刘少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</si>
  <si>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利口酒; 汽酒;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米酒</t>
    </r>
  </si>
  <si>
    <r>
      <t>嵊泗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景旅游投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</si>
  <si>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苹果酒; 白酒; 果酒（含酒精）; 利口酒;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朗姆酒; 葡萄酒</t>
    </r>
  </si>
  <si>
    <r>
      <t>历</t>
    </r>
    <r>
      <rPr>
        <sz val="11"/>
        <color theme="1"/>
        <rFont val="ＭＳ Ｐゴシック"/>
        <family val="3"/>
        <charset val="128"/>
        <scheme val="minor"/>
      </rPr>
      <t>山</t>
    </r>
    <r>
      <rPr>
        <sz val="11"/>
        <color theme="1"/>
        <rFont val="ＭＳ Ｐゴシック"/>
        <family val="3"/>
        <charset val="134"/>
        <scheme val="minor"/>
      </rPr>
      <t>兰</t>
    </r>
  </si>
  <si>
    <t>郎海燕******************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</si>
  <si>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葡萄酒; 米酒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</si>
  <si>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刚</t>
    </r>
    <r>
      <rPr>
        <sz val="11"/>
        <color theme="1"/>
        <rFont val="ＭＳ Ｐゴシック"/>
        <family val="3"/>
        <charset val="128"/>
        <scheme val="minor"/>
      </rPr>
      <t>膳</t>
    </r>
  </si>
  <si>
    <t>石家庄大愿善行健康管理有限公司</t>
  </si>
  <si>
    <r>
      <t>黄酒;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白酒; 苹果酒;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</t>
    </r>
  </si>
  <si>
    <t>橘甄仕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</si>
  <si>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</si>
  <si>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风</t>
    </r>
    <r>
      <rPr>
        <sz val="11"/>
        <color theme="1"/>
        <rFont val="ＭＳ Ｐゴシック"/>
        <family val="3"/>
        <charset val="128"/>
        <scheme val="minor"/>
      </rPr>
      <t>格名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</si>
  <si>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州国炫酒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</si>
  <si>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利口酒; 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</si>
  <si>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碧香晞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泉</t>
    </r>
  </si>
  <si>
    <r>
      <t>李洪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</si>
  <si>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刺五加酒;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果酒; 白干酒（中国白酒）;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</si>
  <si>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砚</t>
    </r>
    <r>
      <rPr>
        <sz val="11"/>
        <color theme="1"/>
        <rFont val="ＭＳ Ｐゴシック"/>
        <family val="3"/>
        <charset val="128"/>
        <scheme val="minor"/>
      </rPr>
      <t>陶坊</t>
    </r>
  </si>
  <si>
    <r>
      <t>汤</t>
    </r>
    <r>
      <rPr>
        <sz val="11"/>
        <color theme="1"/>
        <rFont val="ＭＳ Ｐゴシック"/>
        <family val="3"/>
        <charset val="128"/>
        <scheme val="minor"/>
      </rPr>
      <t>士宝</t>
    </r>
  </si>
  <si>
    <r>
      <t xml:space="preserve">黄酒; 食用酒精;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米酒</t>
    </r>
  </si>
  <si>
    <r>
      <t>悟空千</t>
    </r>
    <r>
      <rPr>
        <sz val="11"/>
        <color theme="1"/>
        <rFont val="ＭＳ Ｐゴシック"/>
        <family val="3"/>
        <charset val="134"/>
        <scheme val="minor"/>
      </rPr>
      <t>寻</t>
    </r>
  </si>
  <si>
    <t>合禾麦穗食品科技（上海）有限公司</t>
  </si>
  <si>
    <r>
      <t>汽酒; 清酒; 米酒; 食用酒精;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</si>
  <si>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酝</t>
    </r>
    <r>
      <rPr>
        <sz val="11"/>
        <color theme="1"/>
        <rFont val="ＭＳ Ｐゴシック"/>
        <family val="3"/>
        <charset val="128"/>
        <scheme val="minor"/>
      </rPr>
      <t>宏</t>
    </r>
    <r>
      <rPr>
        <sz val="11"/>
        <color theme="1"/>
        <rFont val="ＭＳ Ｐゴシック"/>
        <family val="3"/>
        <charset val="134"/>
        <scheme val="minor"/>
      </rPr>
      <t>图</t>
    </r>
  </si>
  <si>
    <r>
      <t>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青稞酒; 葡萄酒; 餐后酒（利口酒和烈酒）;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</t>
    </r>
  </si>
  <si>
    <r>
      <t>欣邦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</si>
  <si>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邦武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</si>
  <si>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葡萄酒; 薄荷酒; 威士忌</t>
    </r>
  </si>
  <si>
    <t>林礼九珍十八品</t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</si>
  <si>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江省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海森林食品商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</si>
  <si>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烈酒; 含酒精的气泡水;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甜酒;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</si>
  <si>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食</t>
    </r>
    <r>
      <rPr>
        <sz val="11"/>
        <color theme="1"/>
        <rFont val="ＭＳ Ｐゴシック"/>
        <family val="3"/>
        <charset val="134"/>
        <scheme val="minor"/>
      </rPr>
      <t>话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</si>
  <si>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利口酒;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葡萄酒</t>
    </r>
  </si>
  <si>
    <r>
      <t>漫</t>
    </r>
    <r>
      <rPr>
        <sz val="11"/>
        <color theme="1"/>
        <rFont val="ＭＳ Ｐゴシック"/>
        <family val="3"/>
        <charset val="134"/>
        <scheme val="minor"/>
      </rPr>
      <t>热</t>
    </r>
  </si>
  <si>
    <r>
      <t>米酒;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果酒（含酒精）</t>
    </r>
  </si>
  <si>
    <r>
      <t>顽</t>
    </r>
    <r>
      <rPr>
        <sz val="11"/>
        <color theme="1"/>
        <rFont val="ＭＳ Ｐゴシック"/>
        <family val="3"/>
        <charset val="128"/>
        <scheme val="minor"/>
      </rPr>
      <t>火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</si>
  <si>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利口酒;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</si>
  <si>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若乃寿</t>
  </si>
  <si>
    <r>
      <t>株式会社若竹屋酒造</t>
    </r>
    <r>
      <rPr>
        <sz val="11"/>
        <color theme="1"/>
        <rFont val="ＭＳ Ｐゴシック"/>
        <family val="3"/>
        <charset val="134"/>
        <scheme val="minor"/>
      </rPr>
      <t>场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</si>
  <si>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日式甜米酒;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葡萄酒; 清酒（日本米酒）; 威士忌</t>
    </r>
  </si>
  <si>
    <r>
      <t>毛</t>
    </r>
    <r>
      <rPr>
        <sz val="11"/>
        <color theme="1"/>
        <rFont val="ＭＳ Ｐゴシック"/>
        <family val="3"/>
        <charset val="134"/>
        <scheme val="minor"/>
      </rPr>
      <t>详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</si>
  <si>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青稞酒; 黄酒; 米酒; 白酒;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葡萄酒</t>
    </r>
  </si>
  <si>
    <t>擂王</t>
  </si>
  <si>
    <t>湖南省桃花源擂茶食品研究院有限公司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</si>
  <si>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白酒</t>
    </r>
  </si>
  <si>
    <r>
      <t>弥勒市愉果酒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</si>
  <si>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果酒（含酒精）; 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伏特加酒</t>
    </r>
  </si>
  <si>
    <r>
      <t>银</t>
    </r>
    <r>
      <rPr>
        <sz val="11"/>
        <color theme="1"/>
        <rFont val="ＭＳ Ｐゴシック"/>
        <family val="3"/>
        <charset val="128"/>
        <scheme val="minor"/>
      </rPr>
      <t>田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</si>
  <si>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白酒; 开胃酒; 米酒; 汽酒; 食用酒精; 葡萄酒; 威士忌; 伏特加酒</t>
    </r>
  </si>
  <si>
    <t>仙食岭</t>
  </si>
  <si>
    <r>
      <t>湖北康鑫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</si>
  <si>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黄酒; 米酒; 白酒; 梅酒; 蜂蜜酒; 佐餐酒; 露酒;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</si>
  <si>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JIN SHAN VILLAGE</t>
  </si>
  <si>
    <r>
      <t>山西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</si>
  <si>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蜂蜜酒; 葡萄酒</t>
    </r>
  </si>
  <si>
    <r>
      <t>贵鲜</t>
    </r>
    <r>
      <rPr>
        <sz val="11"/>
        <color theme="1"/>
        <rFont val="ＭＳ Ｐゴシック"/>
        <family val="3"/>
        <charset val="128"/>
        <scheme val="minor"/>
      </rPr>
      <t>行</t>
    </r>
  </si>
  <si>
    <r>
      <t>李桂</t>
    </r>
    <r>
      <rPr>
        <sz val="11"/>
        <color theme="1"/>
        <rFont val="ＭＳ Ｐゴシック"/>
        <family val="3"/>
        <charset val="134"/>
        <scheme val="minor"/>
      </rPr>
      <t>权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</si>
  <si>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白酒; 葡萄酒</t>
    </r>
  </si>
  <si>
    <r>
      <t>睿达</t>
    </r>
    <r>
      <rPr>
        <sz val="11"/>
        <color theme="1"/>
        <rFont val="ＭＳ Ｐゴシック"/>
        <family val="3"/>
        <charset val="134"/>
        <scheme val="minor"/>
      </rPr>
      <t>赢</t>
    </r>
  </si>
  <si>
    <t>侯翠霞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</si>
  <si>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米酒;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</si>
  <si>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敬善敬美</t>
  </si>
  <si>
    <r>
      <t>洪江市谷柯百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</t>
    </r>
  </si>
  <si>
    <r>
      <t>果酒（含酒精）;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</si>
  <si>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兴</t>
    </r>
    <r>
      <rPr>
        <sz val="11"/>
        <color theme="1"/>
        <rFont val="ＭＳ Ｐゴシック"/>
        <family val="3"/>
        <charset val="128"/>
        <scheme val="minor"/>
      </rPr>
      <t>鑫食尚煮</t>
    </r>
    <r>
      <rPr>
        <sz val="11"/>
        <color theme="1"/>
        <rFont val="ＭＳ Ｐゴシック"/>
        <family val="3"/>
        <charset val="134"/>
        <scheme val="minor"/>
      </rPr>
      <t>艺</t>
    </r>
  </si>
  <si>
    <t>白候英（******************）</t>
  </si>
  <si>
    <r>
      <t>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食用酒精;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</t>
    </r>
  </si>
  <si>
    <r>
      <t>润尧</t>
    </r>
    <r>
      <rPr>
        <sz val="11"/>
        <color theme="1"/>
        <rFont val="ＭＳ Ｐゴシック"/>
        <family val="3"/>
        <charset val="128"/>
        <scheme val="minor"/>
      </rPr>
      <t>溢号</t>
    </r>
  </si>
  <si>
    <r>
      <t xml:space="preserve">果酒（含酒精）; 黄酒; 高粱酒;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米酒; 果酒;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</si>
  <si>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竹赫</t>
  </si>
  <si>
    <r>
      <t>弋江区阿振百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</si>
  <si>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>果酒（含酒精）;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清酒（日本米酒）</t>
    </r>
  </si>
  <si>
    <r>
      <t>中佰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(重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)新型建材有限公司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</si>
  <si>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白干酒（中国白酒）;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葡萄酒; 烈酒;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</si>
  <si>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新泰市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高新技</t>
    </r>
    <r>
      <rPr>
        <sz val="11"/>
        <color theme="1"/>
        <rFont val="ＭＳ Ｐゴシック"/>
        <family val="3"/>
        <charset val="134"/>
        <scheme val="minor"/>
      </rPr>
      <t>术产业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区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中心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</si>
  <si>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</si>
  <si>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四川君品天悦酒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</si>
  <si>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</si>
  <si>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r>
      <t>山西御藏酒厂集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</si>
  <si>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</si>
  <si>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颂</t>
    </r>
    <r>
      <rPr>
        <sz val="11"/>
        <color theme="1"/>
        <rFont val="ＭＳ Ｐゴシック"/>
        <family val="3"/>
        <charset val="128"/>
        <scheme val="minor"/>
      </rPr>
      <t>昭君</t>
    </r>
  </si>
  <si>
    <r>
      <t>许</t>
    </r>
    <r>
      <rPr>
        <sz val="11"/>
        <color theme="1"/>
        <rFont val="ＭＳ Ｐゴシック"/>
        <family val="3"/>
        <charset val="128"/>
        <scheme val="minor"/>
      </rPr>
      <t>昌市魏都区</t>
    </r>
    <r>
      <rPr>
        <sz val="11"/>
        <color theme="1"/>
        <rFont val="ＭＳ Ｐゴシック"/>
        <family val="3"/>
        <charset val="134"/>
        <scheme val="minor"/>
      </rPr>
      <t>鸿观</t>
    </r>
    <r>
      <rPr>
        <sz val="11"/>
        <color theme="1"/>
        <rFont val="ＭＳ Ｐゴシック"/>
        <family val="3"/>
        <charset val="128"/>
        <scheme val="minor"/>
      </rPr>
      <t>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</si>
  <si>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葡萄酒;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</si>
  <si>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t>中邸</t>
  </si>
  <si>
    <r>
      <t>黄成</t>
    </r>
    <r>
      <rPr>
        <sz val="11"/>
        <color theme="1"/>
        <rFont val="ＭＳ Ｐゴシック"/>
        <family val="3"/>
        <charset val="134"/>
        <scheme val="minor"/>
      </rPr>
      <t>锦</t>
    </r>
  </si>
  <si>
    <r>
      <t>威士忌; 烈酒; 果酒（含酒精）; 白酒; 黄酒; 清酒（日本米酒）; 葡萄酒;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</si>
  <si>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PEILIDE</t>
  </si>
  <si>
    <r>
      <t>深圳富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酒堡酒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</si>
  <si>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朗姆酒</t>
    </r>
  </si>
  <si>
    <t>弘玄竹</t>
  </si>
  <si>
    <r>
      <t>宜昌圣</t>
    </r>
    <r>
      <rPr>
        <sz val="11"/>
        <color theme="1"/>
        <rFont val="ＭＳ Ｐゴシック"/>
        <family val="3"/>
        <charset val="134"/>
        <scheme val="minor"/>
      </rPr>
      <t>钧</t>
    </r>
    <r>
      <rPr>
        <sz val="11"/>
        <color theme="1"/>
        <rFont val="ＭＳ Ｐゴシック"/>
        <family val="3"/>
        <charset val="128"/>
        <scheme val="minor"/>
      </rPr>
      <t>福商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</si>
  <si>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</si>
  <si>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金小</t>
    </r>
    <r>
      <rPr>
        <sz val="11"/>
        <color theme="1"/>
        <rFont val="ＭＳ Ｐゴシック"/>
        <family val="3"/>
        <charset val="134"/>
        <scheme val="minor"/>
      </rPr>
      <t>闯</t>
    </r>
  </si>
  <si>
    <t>丁会娜</t>
  </si>
  <si>
    <r>
      <t>开胃酒; 威士忌; 黄酒; 葡萄酒; 高粱酒;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烈酒</t>
    </r>
  </si>
  <si>
    <t>益草香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</si>
  <si>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州遵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</si>
  <si>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</si>
  <si>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嘴中仙</t>
  </si>
  <si>
    <t>成都数有引力科技有限公司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</si>
  <si>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高粱酒; 黄酒; 果酒; 米酒;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</si>
  <si>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医</t>
    </r>
    <r>
      <rPr>
        <sz val="11"/>
        <color theme="1"/>
        <rFont val="ＭＳ Ｐゴシック"/>
        <family val="3"/>
        <charset val="134"/>
        <scheme val="minor"/>
      </rPr>
      <t>线</t>
    </r>
    <r>
      <rPr>
        <sz val="11"/>
        <color theme="1"/>
        <rFont val="ＭＳ Ｐゴシック"/>
        <family val="3"/>
        <charset val="128"/>
        <scheme val="minor"/>
      </rPr>
      <t>明医</t>
    </r>
  </si>
  <si>
    <t>彭安</t>
  </si>
  <si>
    <r>
      <t>威士忌; 葡萄酒; 白酒; 果酒（含酒精）; 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</si>
  <si>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中庾</t>
  </si>
  <si>
    <t>宋小亮</t>
  </si>
  <si>
    <r>
      <t>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烈酒; 开胃酒;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</si>
  <si>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念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</si>
  <si>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清酒（日本米酒）; 烈酒; 开胃酒; 白酒</t>
    </r>
  </si>
  <si>
    <t>培安美（浙江）特医食品股份有限公司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</si>
  <si>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</si>
  <si>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丘养仁</t>
  </si>
  <si>
    <r>
      <t>奚</t>
    </r>
    <r>
      <rPr>
        <sz val="11"/>
        <color theme="1"/>
        <rFont val="ＭＳ Ｐゴシック"/>
        <family val="3"/>
        <charset val="134"/>
        <scheme val="minor"/>
      </rPr>
      <t>娇莲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</si>
  <si>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餐后酒（利口酒和烈酒）; 果酒（含酒精）</t>
    </r>
  </si>
  <si>
    <r>
      <t>沙茜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月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</si>
  <si>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月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</si>
  <si>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</si>
  <si>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明院</t>
    </r>
    <r>
      <rPr>
        <sz val="11"/>
        <color theme="1"/>
        <rFont val="ＭＳ Ｐゴシック"/>
        <family val="3"/>
        <charset val="134"/>
        <scheme val="minor"/>
      </rPr>
      <t>长</t>
    </r>
  </si>
  <si>
    <r>
      <t>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清酒（日本米酒）; 果酒（含酒精）; 米酒; 葡萄酒</t>
    </r>
  </si>
  <si>
    <t>牧勒歌</t>
  </si>
  <si>
    <r>
      <t>杭州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达智</t>
    </r>
    <r>
      <rPr>
        <sz val="11"/>
        <color theme="1"/>
        <rFont val="ＭＳ Ｐゴシック"/>
        <family val="3"/>
        <charset val="134"/>
        <scheme val="minor"/>
      </rPr>
      <t>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</si>
  <si>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烈酒; 高粱酒; 青稞酒; 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含酒精的气泡水</t>
    </r>
  </si>
  <si>
    <t>LUCK FAIRY KISS</t>
  </si>
  <si>
    <r>
      <t>日照半山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田生</t>
    </r>
    <r>
      <rPr>
        <sz val="11"/>
        <color theme="1"/>
        <rFont val="ＭＳ Ｐゴシック"/>
        <family val="3"/>
        <charset val="134"/>
        <scheme val="minor"/>
      </rPr>
      <t>态农业发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</si>
  <si>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葡萄酒; 露酒;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</si>
  <si>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小</t>
    </r>
    <r>
      <rPr>
        <sz val="11"/>
        <color theme="1"/>
        <rFont val="ＭＳ Ｐゴシック"/>
        <family val="3"/>
        <charset val="134"/>
        <scheme val="minor"/>
      </rPr>
      <t>冈</t>
    </r>
    <r>
      <rPr>
        <sz val="11"/>
        <color theme="1"/>
        <rFont val="ＭＳ Ｐゴシック"/>
        <family val="3"/>
        <charset val="128"/>
        <scheme val="minor"/>
      </rPr>
      <t>仔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</si>
  <si>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市新会区新</t>
    </r>
    <r>
      <rPr>
        <sz val="11"/>
        <color theme="1"/>
        <rFont val="ＭＳ Ｐゴシック"/>
        <family val="3"/>
        <charset val="134"/>
        <scheme val="minor"/>
      </rPr>
      <t>业农业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</si>
  <si>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烈酒; 蜂蜜酒; 白酒; 葡萄酒;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</si>
  <si>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杏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</si>
  <si>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太原市晋杏高梁酒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</si>
  <si>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黄酒; 蜂蜜酒; 葡萄酒; 米酒; 酸酒（低等葡萄酒）;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开胃酒</t>
    </r>
  </si>
  <si>
    <r>
      <t>创</t>
    </r>
    <r>
      <rPr>
        <sz val="11"/>
        <color theme="1"/>
        <rFont val="ＭＳ Ｐゴシック"/>
        <family val="3"/>
        <charset val="128"/>
        <scheme val="minor"/>
      </rPr>
      <t>世墨池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</si>
  <si>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市墨池台酒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</si>
  <si>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</si>
  <si>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巴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潭</t>
    </r>
  </si>
  <si>
    <t>林楚城</t>
  </si>
  <si>
    <r>
      <t xml:space="preserve">威士忌; 高粱酒;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果酒（含酒精）</t>
    </r>
  </si>
  <si>
    <t>玫百</t>
  </si>
  <si>
    <r>
      <t>孙</t>
    </r>
    <r>
      <rPr>
        <sz val="11"/>
        <color theme="1"/>
        <rFont val="ＭＳ Ｐゴシック"/>
        <family val="3"/>
        <charset val="128"/>
        <scheme val="minor"/>
      </rPr>
      <t>正</t>
    </r>
    <r>
      <rPr>
        <sz val="11"/>
        <color theme="1"/>
        <rFont val="ＭＳ Ｐゴシック"/>
        <family val="3"/>
        <charset val="134"/>
        <scheme val="minor"/>
      </rPr>
      <t>义</t>
    </r>
  </si>
  <si>
    <r>
      <t xml:space="preserve">果酒（含酒精）;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露酒;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</t>
    </r>
  </si>
  <si>
    <t>悦仙芝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</si>
  <si>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东颐</t>
    </r>
    <r>
      <rPr>
        <sz val="11"/>
        <color theme="1"/>
        <rFont val="ＭＳ Ｐゴシック"/>
        <family val="3"/>
        <charset val="128"/>
        <scheme val="minor"/>
      </rPr>
      <t>悦健康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</si>
  <si>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</si>
  <si>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甘孜州</t>
    </r>
    <r>
      <rPr>
        <sz val="11"/>
        <color theme="1"/>
        <rFont val="ＭＳ Ｐゴシック"/>
        <family val="3"/>
        <charset val="134"/>
        <scheme val="minor"/>
      </rPr>
      <t>萨玛</t>
    </r>
    <r>
      <rPr>
        <sz val="11"/>
        <color theme="1"/>
        <rFont val="ＭＳ Ｐゴシック"/>
        <family val="3"/>
        <charset val="128"/>
        <scheme val="minor"/>
      </rPr>
      <t>林卡露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地服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</si>
  <si>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餐后酒（利口酒和烈酒）; 青稞酒</t>
  </si>
  <si>
    <r>
      <t>扬龙</t>
    </r>
    <r>
      <rPr>
        <sz val="11"/>
        <color theme="1"/>
        <rFont val="ＭＳ Ｐゴシック"/>
        <family val="3"/>
        <charset val="128"/>
        <scheme val="minor"/>
      </rPr>
      <t>台</t>
    </r>
  </si>
  <si>
    <t>林香娜</t>
  </si>
  <si>
    <r>
      <t xml:space="preserve">黄酒; 威士忌; 烈酒; 高粱酒;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</si>
  <si>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星球</t>
    </r>
    <r>
      <rPr>
        <sz val="11"/>
        <color theme="1"/>
        <rFont val="ＭＳ Ｐゴシック"/>
        <family val="3"/>
        <charset val="134"/>
        <scheme val="minor"/>
      </rPr>
      <t>兽</t>
    </r>
  </si>
  <si>
    <r>
      <t>果酒（含酒精）; 水果汽酒;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清酒; 葡萄酒</t>
    </r>
  </si>
  <si>
    <r>
      <t>安康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</si>
  <si>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功超</t>
    </r>
  </si>
  <si>
    <r>
      <t>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威士忌; 汽酒; 开胃酒; 葡萄酒; 白酒; 果酒（含酒精）</t>
    </r>
  </si>
  <si>
    <r>
      <t>八面出</t>
    </r>
    <r>
      <rPr>
        <sz val="11"/>
        <color theme="1"/>
        <rFont val="ＭＳ Ｐゴシック"/>
        <family val="3"/>
        <charset val="134"/>
        <scheme val="minor"/>
      </rPr>
      <t>锋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</si>
  <si>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</si>
  <si>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君莫</t>
    </r>
    <r>
      <rPr>
        <sz val="11"/>
        <color theme="1"/>
        <rFont val="ＭＳ Ｐゴシック"/>
        <family val="3"/>
        <charset val="134"/>
        <scheme val="minor"/>
      </rPr>
      <t>忆</t>
    </r>
  </si>
  <si>
    <r>
      <t>夏建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</si>
  <si>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食用酒精;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</si>
  <si>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江之左岸</t>
  </si>
  <si>
    <r>
      <t>宜</t>
    </r>
    <r>
      <rPr>
        <sz val="11"/>
        <color theme="1"/>
        <rFont val="ＭＳ Ｐゴシック"/>
        <family val="3"/>
        <charset val="134"/>
        <scheme val="minor"/>
      </rPr>
      <t>宾酿艺</t>
    </r>
    <r>
      <rPr>
        <sz val="11"/>
        <color theme="1"/>
        <rFont val="ＭＳ Ｐゴシック"/>
        <family val="3"/>
        <charset val="128"/>
        <scheme val="minor"/>
      </rPr>
      <t>堂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</si>
  <si>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食用酒精</t>
    </r>
  </si>
  <si>
    <r>
      <t>玺</t>
    </r>
    <r>
      <rPr>
        <sz val="11"/>
        <color theme="1"/>
        <rFont val="ＭＳ Ｐゴシック"/>
        <family val="3"/>
        <charset val="128"/>
        <scheme val="minor"/>
      </rPr>
      <t>遵</t>
    </r>
    <r>
      <rPr>
        <sz val="11"/>
        <color theme="1"/>
        <rFont val="ＭＳ Ｐゴシック"/>
        <family val="3"/>
        <charset val="134"/>
        <scheme val="minor"/>
      </rPr>
      <t>赋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</si>
  <si>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烈酒; 清酒; 果酒; 葡萄酒;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</si>
  <si>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今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仁</t>
    </r>
  </si>
  <si>
    <r>
      <t xml:space="preserve">果酒（含酒精）; 白酒;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汽酒;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</si>
  <si>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食方扁</t>
    </r>
    <r>
      <rPr>
        <sz val="11"/>
        <color theme="1"/>
        <rFont val="ＭＳ Ｐゴシック"/>
        <family val="3"/>
        <charset val="134"/>
        <scheme val="minor"/>
      </rPr>
      <t>鹊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</si>
  <si>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</si>
  <si>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汽酒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</si>
  <si>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黑坐</t>
    </r>
    <r>
      <rPr>
        <sz val="11"/>
        <color theme="1"/>
        <rFont val="ＭＳ Ｐゴシック"/>
        <family val="3"/>
        <charset val="134"/>
        <scheme val="minor"/>
      </rPr>
      <t>标</t>
    </r>
  </si>
  <si>
    <t>宁波祥宇新材料科技有限公司</t>
  </si>
  <si>
    <r>
      <t xml:space="preserve">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伏特加酒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</si>
  <si>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泌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</si>
  <si>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春市酒加商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</si>
  <si>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利口酒;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</si>
  <si>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梅友人</t>
  </si>
  <si>
    <r>
      <t>波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多吉洛（厦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）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出口有限公司</t>
    </r>
  </si>
  <si>
    <r>
      <t>清酒;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薄荷酒; 清酒（日本米酒）;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果酒; 梅酒; 日本梅子酒</t>
    </r>
  </si>
  <si>
    <r>
      <t>杏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叙</t>
    </r>
  </si>
  <si>
    <r>
      <t>罗维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</si>
  <si>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威士忌; 果酒; 梅酒;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</si>
  <si>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农</t>
    </r>
    <r>
      <rPr>
        <sz val="11"/>
        <color theme="1"/>
        <rFont val="ＭＳ Ｐゴシック"/>
        <family val="3"/>
        <charset val="128"/>
        <scheme val="minor"/>
      </rPr>
      <t>工家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</si>
  <si>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市前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公益基金会</t>
    </r>
  </si>
  <si>
    <r>
      <t>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食用酒精;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</si>
  <si>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升</t>
    </r>
    <r>
      <rPr>
        <sz val="11"/>
        <color theme="1"/>
        <rFont val="ＭＳ Ｐゴシック"/>
        <family val="3"/>
        <charset val="134"/>
        <scheme val="minor"/>
      </rPr>
      <t>鳞</t>
    </r>
  </si>
  <si>
    <t>呼哈（上海）品牌管理有限公司</t>
  </si>
  <si>
    <r>
      <t xml:space="preserve">米酒;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梅酒; 含酒精的气泡水;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</t>
    </r>
  </si>
  <si>
    <r>
      <t>熊猫小酒</t>
    </r>
    <r>
      <rPr>
        <sz val="11"/>
        <color theme="1"/>
        <rFont val="ＭＳ Ｐゴシック"/>
        <family val="3"/>
        <charset val="134"/>
        <scheme val="minor"/>
      </rPr>
      <t>窝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</si>
  <si>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利口酒; 食用酒精; 威士忌; 清酒（日本米酒）;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</si>
  <si>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大禾</t>
    </r>
    <r>
      <rPr>
        <sz val="11"/>
        <color theme="1"/>
        <rFont val="ＭＳ Ｐゴシック"/>
        <family val="3"/>
        <charset val="134"/>
        <scheme val="minor"/>
      </rPr>
      <t>庆</t>
    </r>
  </si>
  <si>
    <t>北京恩鼎科技有限公司</t>
  </si>
  <si>
    <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</si>
  <si>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源活堂</t>
  </si>
  <si>
    <t>余涛</t>
  </si>
  <si>
    <t>米酒; 果酒; 威士忌; 葡萄酒; 甜酒; 黄酒; 草本型利口酒; 白酒; 汽酒; 清酒</t>
  </si>
  <si>
    <r>
      <t>九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益</t>
    </r>
    <r>
      <rPr>
        <sz val="11"/>
        <color theme="1"/>
        <rFont val="ＭＳ Ｐゴシック"/>
        <family val="3"/>
        <charset val="134"/>
        <scheme val="minor"/>
      </rPr>
      <t>贝</t>
    </r>
  </si>
  <si>
    <r>
      <t>钱</t>
    </r>
    <r>
      <rPr>
        <sz val="11"/>
        <color theme="1"/>
        <rFont val="ＭＳ Ｐゴシック"/>
        <family val="3"/>
        <charset val="128"/>
        <scheme val="minor"/>
      </rPr>
      <t>磊</t>
    </r>
  </si>
  <si>
    <r>
      <t>果酒（含酒精）; 草本型利口酒; 米酒; 蜂蜜酒; 杏仁酒; 刺五加酒; 黄酒; 桑椹酒;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</si>
  <si>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肆零肆捌</t>
  </si>
  <si>
    <r>
      <t>白</t>
    </r>
    <r>
      <rPr>
        <sz val="11"/>
        <color theme="1"/>
        <rFont val="ＭＳ Ｐゴシック"/>
        <family val="3"/>
        <charset val="134"/>
        <scheme val="minor"/>
      </rPr>
      <t>鹊</t>
    </r>
    <r>
      <rPr>
        <sz val="11"/>
        <color theme="1"/>
        <rFont val="ＭＳ Ｐゴシック"/>
        <family val="3"/>
        <charset val="128"/>
        <scheme val="minor"/>
      </rPr>
      <t>（北京）信息技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</si>
  <si>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梅酒;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利口酒; 果酒; 果酒（含酒精）; 杜松子酒;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</si>
  <si>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座</t>
    </r>
  </si>
  <si>
    <r>
      <t>高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群</t>
    </r>
  </si>
  <si>
    <r>
      <t xml:space="preserve">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</si>
  <si>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巧大嫂</t>
  </si>
  <si>
    <r>
      <t>谢</t>
    </r>
    <r>
      <rPr>
        <sz val="11"/>
        <color theme="1"/>
        <rFont val="ＭＳ Ｐゴシック"/>
        <family val="3"/>
        <charset val="128"/>
        <scheme val="minor"/>
      </rPr>
      <t>彩霞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</si>
  <si>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</si>
  <si>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鲁</t>
    </r>
    <r>
      <rPr>
        <sz val="11"/>
        <color theme="1"/>
        <rFont val="ＭＳ Ｐゴシック"/>
        <family val="3"/>
        <charset val="128"/>
        <scheme val="minor"/>
      </rPr>
      <t>廿七</t>
    </r>
  </si>
  <si>
    <r>
      <t>绍兴</t>
    </r>
    <r>
      <rPr>
        <sz val="11"/>
        <color theme="1"/>
        <rFont val="ＭＳ Ｐゴシック"/>
        <family val="3"/>
        <charset val="128"/>
        <scheme val="minor"/>
      </rPr>
      <t>酒城文化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</si>
  <si>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甘蔗制烈酒</t>
    </r>
  </si>
  <si>
    <r>
      <t>吉林海明天盛医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</si>
  <si>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刺五加酒; 苦味酒; 露酒; 葡萄酒; 果酒; 白酒;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</si>
  <si>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奕山河</t>
  </si>
  <si>
    <r>
      <t>威士忌; 梅酒;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</si>
  <si>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t>峨客庄园</t>
  </si>
  <si>
    <t>四川郎酒股份有限公司</t>
  </si>
  <si>
    <r>
      <t xml:space="preserve">葡萄酒; 烈酒;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</si>
  <si>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t>地山春</t>
  </si>
  <si>
    <r>
      <t>河南省御</t>
    </r>
    <r>
      <rPr>
        <sz val="11"/>
        <color theme="1"/>
        <rFont val="ＭＳ Ｐゴシック"/>
        <family val="3"/>
        <charset val="134"/>
        <scheme val="minor"/>
      </rPr>
      <t>澜诗</t>
    </r>
    <r>
      <rPr>
        <sz val="11"/>
        <color theme="1"/>
        <rFont val="ＭＳ Ｐゴシック"/>
        <family val="3"/>
        <charset val="128"/>
        <scheme val="minor"/>
      </rPr>
      <t>堡酒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</si>
  <si>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</si>
  <si>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敢年</t>
  </si>
  <si>
    <t>昝文春</t>
  </si>
  <si>
    <r>
      <t>苦味酒;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</t>
    </r>
  </si>
  <si>
    <r>
      <t>曹武帝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</si>
  <si>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郭排</t>
    </r>
    <r>
      <rPr>
        <sz val="11"/>
        <color theme="1"/>
        <rFont val="ＭＳ Ｐゴシック"/>
        <family val="3"/>
        <charset val="134"/>
        <scheme val="minor"/>
      </rPr>
      <t>场</t>
    </r>
  </si>
  <si>
    <r>
      <t xml:space="preserve">果酒（含酒精）; 葡萄酒; 利口酒; 黄酒; 白酒; 食用酒精;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</si>
  <si>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t>卿瑶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</si>
  <si>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州卿瑶商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</si>
  <si>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果酒（含酒精）; 杜松子酒;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苹果酒;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开胃酒</t>
    </r>
  </si>
  <si>
    <r>
      <t>品味梦</t>
    </r>
    <r>
      <rPr>
        <sz val="11"/>
        <color theme="1"/>
        <rFont val="ＭＳ Ｐゴシック"/>
        <family val="3"/>
        <charset val="134"/>
        <scheme val="minor"/>
      </rPr>
      <t>圆</t>
    </r>
  </si>
  <si>
    <r>
      <t>浙江品位</t>
    </r>
    <r>
      <rPr>
        <sz val="11"/>
        <color theme="1"/>
        <rFont val="ＭＳ Ｐゴシック"/>
        <family val="3"/>
        <charset val="134"/>
        <scheme val="minor"/>
      </rPr>
      <t>门业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</si>
  <si>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米酒;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</si>
  <si>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农</t>
    </r>
    <r>
      <rPr>
        <sz val="11"/>
        <color theme="1"/>
        <rFont val="ＭＳ Ｐゴシック"/>
        <family val="3"/>
        <charset val="128"/>
        <scheme val="minor"/>
      </rPr>
      <t>工喜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</si>
  <si>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米酒</t>
    </r>
  </si>
  <si>
    <r>
      <t>皇朽</t>
    </r>
    <r>
      <rPr>
        <sz val="11"/>
        <color theme="1"/>
        <rFont val="ＭＳ Ｐゴシック"/>
        <family val="3"/>
        <charset val="134"/>
        <scheme val="minor"/>
      </rPr>
      <t>泽润</t>
    </r>
  </si>
  <si>
    <r>
      <t>广西</t>
    </r>
    <r>
      <rPr>
        <sz val="11"/>
        <color theme="1"/>
        <rFont val="ＭＳ Ｐゴシック"/>
        <family val="3"/>
        <charset val="134"/>
        <scheme val="minor"/>
      </rPr>
      <t>润泽</t>
    </r>
    <r>
      <rPr>
        <sz val="11"/>
        <color theme="1"/>
        <rFont val="ＭＳ Ｐゴシック"/>
        <family val="3"/>
        <charset val="128"/>
        <scheme val="minor"/>
      </rPr>
      <t>天下养老服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</si>
  <si>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葡萄酒; 清酒;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</si>
  <si>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鲜</t>
    </r>
    <r>
      <rPr>
        <sz val="11"/>
        <color theme="1"/>
        <rFont val="ＭＳ Ｐゴシック"/>
        <family val="3"/>
        <charset val="128"/>
        <scheme val="minor"/>
      </rPr>
      <t>巨</t>
    </r>
  </si>
  <si>
    <r>
      <t>嘉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市阿能食品供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</si>
  <si>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白酒; 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</si>
  <si>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梦</t>
    </r>
    <r>
      <rPr>
        <sz val="11"/>
        <color theme="1"/>
        <rFont val="ＭＳ Ｐゴシック"/>
        <family val="3"/>
        <charset val="134"/>
        <scheme val="minor"/>
      </rPr>
      <t>萧尧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</si>
  <si>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白酒; 烈酒; 青稞酒; 米酒</t>
    </r>
  </si>
  <si>
    <r>
      <t>玖</t>
    </r>
    <r>
      <rPr>
        <sz val="11"/>
        <color theme="1"/>
        <rFont val="ＭＳ Ｐゴシック"/>
        <family val="3"/>
        <charset val="129"/>
        <scheme val="minor"/>
      </rPr>
      <t>伢</t>
    </r>
    <r>
      <rPr>
        <sz val="11"/>
        <color theme="1"/>
        <rFont val="ＭＳ Ｐゴシック"/>
        <family val="3"/>
        <charset val="128"/>
        <scheme val="minor"/>
      </rPr>
      <t>子</t>
    </r>
  </si>
  <si>
    <r>
      <t>江西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根科技有限公司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</si>
  <si>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白酒; 食用酒精; 果酒（含酒精）;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</si>
  <si>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家</t>
    </r>
    <r>
      <rPr>
        <sz val="11"/>
        <color theme="1"/>
        <rFont val="ＭＳ Ｐゴシック"/>
        <family val="3"/>
        <charset val="134"/>
        <scheme val="minor"/>
      </rPr>
      <t>欢兴</t>
    </r>
  </si>
  <si>
    <t>温慧君*****************X</t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</si>
  <si>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</si>
  <si>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藏至方</t>
  </si>
  <si>
    <r>
      <t>元气哇</t>
    </r>
    <r>
      <rPr>
        <sz val="11"/>
        <color theme="1"/>
        <rFont val="ＭＳ Ｐゴシック"/>
        <family val="3"/>
        <charset val="134"/>
        <scheme val="minor"/>
      </rPr>
      <t>哒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</si>
  <si>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</si>
  <si>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峨客</t>
  </si>
  <si>
    <r>
      <t>烈酒; 葡萄酒; 威士忌; 高粱酒; 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</si>
  <si>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仙巨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</si>
  <si>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汽酒;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</si>
  <si>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泥坊</t>
    </r>
  </si>
  <si>
    <r>
      <t>四川省</t>
    </r>
    <r>
      <rPr>
        <sz val="11"/>
        <color theme="1"/>
        <rFont val="ＭＳ Ｐゴシック"/>
        <family val="3"/>
        <charset val="134"/>
        <scheme val="minor"/>
      </rPr>
      <t>泸</t>
    </r>
    <r>
      <rPr>
        <sz val="11"/>
        <color theme="1"/>
        <rFont val="ＭＳ Ｐゴシック"/>
        <family val="3"/>
        <charset val="128"/>
        <scheme val="minor"/>
      </rPr>
      <t>州制酒厂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</si>
  <si>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葡萄酒; 清酒（日本米酒）; 威士忌; 黄酒; 米酒; 青稞酒</t>
    </r>
  </si>
  <si>
    <r>
      <t>成</t>
    </r>
    <r>
      <rPr>
        <sz val="11"/>
        <color theme="1"/>
        <rFont val="ＭＳ Ｐゴシック"/>
        <family val="3"/>
        <charset val="134"/>
        <scheme val="minor"/>
      </rPr>
      <t>谦亿</t>
    </r>
  </si>
  <si>
    <r>
      <t>南通濠支客酒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</si>
  <si>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果酒</t>
    </r>
  </si>
  <si>
    <t>全泰明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</si>
  <si>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黄酒; 利口酒; 果酒（含酒精）; 葡萄酒; 威士忌; 白酒</t>
    </r>
  </si>
  <si>
    <r>
      <t>九嶷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高</t>
    </r>
  </si>
  <si>
    <r>
      <t>嬉皮士（广州）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</si>
  <si>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开胃酒; 米酒;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威士忌</t>
    </r>
  </si>
  <si>
    <t>月芽澄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</si>
  <si>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东赛</t>
    </r>
    <r>
      <rPr>
        <sz val="11"/>
        <color theme="1"/>
        <rFont val="ＭＳ Ｐゴシック"/>
        <family val="3"/>
        <charset val="128"/>
        <scheme val="minor"/>
      </rPr>
      <t>思特流体控制系</t>
    </r>
    <r>
      <rPr>
        <sz val="11"/>
        <color theme="1"/>
        <rFont val="ＭＳ Ｐゴシック"/>
        <family val="3"/>
        <charset val="134"/>
        <scheme val="minor"/>
      </rPr>
      <t>统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</si>
  <si>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高粱酒; 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米酒; 葡萄酒;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蜂蜜酒</t>
    </r>
  </si>
  <si>
    <t>AOLANBIOBIO</t>
  </si>
  <si>
    <r>
      <t>南京佛勒都娜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</si>
  <si>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薄荷酒;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</si>
  <si>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翻</t>
    </r>
    <r>
      <rPr>
        <sz val="11"/>
        <color theme="1"/>
        <rFont val="ＭＳ Ｐゴシック"/>
        <family val="3"/>
        <charset val="134"/>
        <scheme val="minor"/>
      </rPr>
      <t>龙门</t>
    </r>
  </si>
  <si>
    <r>
      <t xml:space="preserve">黄酒; 食用酒精; 葡萄酒; 白酒; 果酒（含酒精）; 米酒;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</si>
  <si>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峨</t>
    </r>
    <r>
      <rPr>
        <sz val="11"/>
        <color theme="1"/>
        <rFont val="ＭＳ Ｐゴシック"/>
        <family val="3"/>
        <charset val="134"/>
        <scheme val="minor"/>
      </rPr>
      <t>马</t>
    </r>
  </si>
  <si>
    <r>
      <t>白酒; 烈酒; 高粱酒; 葡萄酒;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</si>
  <si>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r>
      <t>峨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酒庄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</si>
  <si>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威士忌; 烈酒; 白酒; 葡萄酒;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</t>
    </r>
  </si>
  <si>
    <r>
      <t>江天</t>
    </r>
    <r>
      <rPr>
        <sz val="11"/>
        <color theme="1"/>
        <rFont val="ＭＳ Ｐゴシック"/>
        <family val="3"/>
        <charset val="134"/>
        <scheme val="minor"/>
      </rPr>
      <t>晓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</si>
  <si>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叁</t>
    </r>
    <r>
      <rPr>
        <sz val="11"/>
        <color theme="1"/>
        <rFont val="ＭＳ Ｐゴシック"/>
        <family val="3"/>
        <charset val="128"/>
        <scheme val="minor"/>
      </rPr>
      <t>佰杯酒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</si>
  <si>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</si>
  <si>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辉</t>
    </r>
    <r>
      <rPr>
        <sz val="11"/>
        <color theme="1"/>
        <rFont val="ＭＳ Ｐゴシック"/>
        <family val="3"/>
        <charset val="128"/>
        <scheme val="minor"/>
      </rPr>
      <t>麦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</si>
  <si>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伏特加酒; 食用酒精;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白酒; 葡萄酒; 威士忌</t>
    </r>
  </si>
  <si>
    <r>
      <t>饮</t>
    </r>
    <r>
      <rPr>
        <sz val="11"/>
        <color theme="1"/>
        <rFont val="ＭＳ Ｐゴシック"/>
        <family val="3"/>
        <charset val="128"/>
        <scheme val="minor"/>
      </rPr>
      <t>道子</t>
    </r>
  </si>
  <si>
    <t>王松松</t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</si>
  <si>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果酒（含酒精）; 高粱酒;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</t>
    </r>
  </si>
  <si>
    <r>
      <t>蜂</t>
    </r>
    <r>
      <rPr>
        <sz val="11"/>
        <color theme="1"/>
        <rFont val="ＭＳ Ｐゴシック"/>
        <family val="3"/>
        <charset val="134"/>
        <scheme val="minor"/>
      </rPr>
      <t>宫</t>
    </r>
  </si>
  <si>
    <r>
      <t>广州市拓璞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器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</si>
  <si>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果酒（含酒精）; 蜂蜜酒;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</si>
  <si>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梁仙仁</t>
  </si>
  <si>
    <r>
      <t>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青稞酒; 白酒; 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</si>
  <si>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卓天云</t>
  </si>
  <si>
    <r>
      <t>延安卓天网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</si>
  <si>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黄酒; 青稞酒; 白葡萄酒; 烈酒; 薄荷酒;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</si>
  <si>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云科聚</t>
    </r>
    <r>
      <rPr>
        <sz val="11"/>
        <color theme="1"/>
        <rFont val="ＭＳ Ｐゴシック"/>
        <family val="3"/>
        <charset val="134"/>
        <scheme val="minor"/>
      </rPr>
      <t>电</t>
    </r>
  </si>
  <si>
    <r>
      <t>云南</t>
    </r>
    <r>
      <rPr>
        <sz val="11"/>
        <color theme="1"/>
        <rFont val="ＭＳ Ｐゴシック"/>
        <family val="3"/>
        <charset val="134"/>
        <scheme val="minor"/>
      </rPr>
      <t>驰</t>
    </r>
    <r>
      <rPr>
        <sz val="11"/>
        <color theme="1"/>
        <rFont val="ＭＳ Ｐゴシック"/>
        <family val="3"/>
        <charset val="128"/>
        <scheme val="minor"/>
      </rPr>
      <t>票科技有限公司</t>
    </r>
  </si>
  <si>
    <r>
      <t xml:space="preserve">苹果酒; 烈酒; 果酒（含酒精）; 米酒; 白酒;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</t>
    </r>
  </si>
  <si>
    <r>
      <t>实坚</t>
    </r>
    <r>
      <rPr>
        <sz val="11"/>
        <color theme="1"/>
        <rFont val="ＭＳ Ｐゴシック"/>
        <family val="3"/>
        <charset val="128"/>
        <scheme val="minor"/>
      </rPr>
      <t>达</t>
    </r>
  </si>
  <si>
    <r>
      <t>佛山市</t>
    </r>
    <r>
      <rPr>
        <sz val="11"/>
        <color theme="1"/>
        <rFont val="ＭＳ Ｐゴシック"/>
        <family val="3"/>
        <charset val="134"/>
        <scheme val="minor"/>
      </rPr>
      <t>实坚农业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</si>
  <si>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</si>
  <si>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豫</t>
    </r>
    <r>
      <rPr>
        <sz val="11"/>
        <color theme="1"/>
        <rFont val="ＭＳ Ｐゴシック"/>
        <family val="3"/>
        <charset val="134"/>
        <scheme val="minor"/>
      </rPr>
      <t>兴龙</t>
    </r>
  </si>
  <si>
    <r>
      <t>夏邑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雪添源食品有限公司</t>
    </r>
  </si>
  <si>
    <r>
      <t>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蒸煮提取物（利口酒和烈酒）;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白干酒（中国白酒）; 米酒; 葡萄酒</t>
    </r>
  </si>
  <si>
    <r>
      <t xml:space="preserve">米酒; 清酒;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酒(利口酒)</t>
    </r>
  </si>
  <si>
    <r>
      <t>露酒;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果酒（含酒精）; 白酒;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</t>
    </r>
  </si>
  <si>
    <r>
      <t>全能坐</t>
    </r>
    <r>
      <rPr>
        <sz val="11"/>
        <color theme="1"/>
        <rFont val="ＭＳ Ｐゴシック"/>
        <family val="3"/>
        <charset val="134"/>
        <scheme val="minor"/>
      </rPr>
      <t>标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</si>
  <si>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家奇</t>
    </r>
  </si>
  <si>
    <t>葡萄酒; 威士忌; 米酒; 黄酒; 汽酒; 草本型利口酒; 清酒; 果酒; 甜酒; 白酒</t>
  </si>
  <si>
    <t>七真福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</si>
  <si>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翼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凡教育科技有限公司</t>
    </r>
  </si>
  <si>
    <r>
      <t>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青稞酒;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</si>
  <si>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焱巨美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</si>
  <si>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莞市森柏雅化</t>
    </r>
    <r>
      <rPr>
        <sz val="11"/>
        <color theme="1"/>
        <rFont val="ＭＳ Ｐゴシック"/>
        <family val="3"/>
        <charset val="134"/>
        <scheme val="minor"/>
      </rPr>
      <t>妆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</si>
  <si>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葡萄酒; 果酒（含酒精）; 汽酒; 苹果酒; 青稞酒;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</si>
  <si>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希</t>
    </r>
    <r>
      <rPr>
        <sz val="11"/>
        <color theme="1"/>
        <rFont val="ＭＳ Ｐゴシック"/>
        <family val="3"/>
        <charset val="134"/>
        <scheme val="minor"/>
      </rPr>
      <t>阁</t>
    </r>
  </si>
  <si>
    <r>
      <t xml:space="preserve">清酒（日本米酒）; 果酒（含酒精）; 米酒;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露酒;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</si>
  <si>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乡</t>
    </r>
    <r>
      <rPr>
        <sz val="11"/>
        <color theme="1"/>
        <rFont val="ＭＳ Ｐゴシック"/>
        <family val="3"/>
        <charset val="128"/>
        <scheme val="minor"/>
      </rPr>
      <t>米吟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</si>
  <si>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兵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</si>
  <si>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食用酒精; 米酒;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</si>
  <si>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虞</t>
    </r>
    <r>
      <rPr>
        <sz val="11"/>
        <color theme="1"/>
        <rFont val="ＭＳ Ｐゴシック"/>
        <family val="3"/>
        <charset val="134"/>
        <scheme val="minor"/>
      </rPr>
      <t>飨</t>
    </r>
    <r>
      <rPr>
        <sz val="11"/>
        <color theme="1"/>
        <rFont val="ＭＳ Ｐゴシック"/>
        <family val="3"/>
        <charset val="128"/>
        <scheme val="minor"/>
      </rPr>
      <t>情</t>
    </r>
  </si>
  <si>
    <t>常熟市悦食食品科技有限公司</t>
  </si>
  <si>
    <r>
      <t xml:space="preserve">果酒; 梅酒; 果酒（含酒精）; 食用酒精;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朗姆酒;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</si>
  <si>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鑫雨成</t>
  </si>
  <si>
    <r>
      <t>吴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明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</si>
  <si>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威士忌; 黄酒; 开胃酒; 餐后酒（利口酒和烈酒）;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</si>
  <si>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t>瑞江醇</t>
  </si>
  <si>
    <t>江西粟力道科技有限公司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</si>
  <si>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酸酒（低等葡萄酒）; 果酒（含酒精）;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餐后酒（利口酒和烈酒）</t>
    </r>
  </si>
  <si>
    <t>崖文酒庄</t>
  </si>
  <si>
    <r>
      <t>范振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</si>
  <si>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</t>
    </r>
  </si>
  <si>
    <t>麦爵</t>
  </si>
  <si>
    <t>蒋柱青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</si>
  <si>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白酒</t>
    </r>
  </si>
  <si>
    <t>杯宿月</t>
  </si>
  <si>
    <r>
      <t>陈</t>
    </r>
    <r>
      <rPr>
        <sz val="11"/>
        <color theme="1"/>
        <rFont val="ＭＳ Ｐゴシック"/>
        <family val="3"/>
        <charset val="128"/>
        <scheme val="minor"/>
      </rPr>
      <t>家</t>
    </r>
    <r>
      <rPr>
        <sz val="11"/>
        <color theme="1"/>
        <rFont val="ＭＳ Ｐゴシック"/>
        <family val="3"/>
        <charset val="134"/>
        <scheme val="minor"/>
      </rPr>
      <t>鸿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</si>
  <si>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米酒; 食用酒精;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</si>
  <si>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</si>
  <si>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幽雅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</si>
  <si>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东华</t>
    </r>
    <r>
      <rPr>
        <sz val="11"/>
        <color theme="1"/>
        <rFont val="ＭＳ Ｐゴシック"/>
        <family val="3"/>
        <charset val="128"/>
        <scheme val="minor"/>
      </rPr>
      <t>枝春酒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</si>
  <si>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</si>
  <si>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未来家园一吻天下</t>
  </si>
  <si>
    <r>
      <t>湖北未来家园高科技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</si>
  <si>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伏特加酒; 烈酒; 不起泡葡萄酒; 青稞酒;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甜酒; 白酒</t>
    </r>
  </si>
  <si>
    <r>
      <t>驰</t>
    </r>
    <r>
      <rPr>
        <sz val="11"/>
        <color theme="1"/>
        <rFont val="ＭＳ Ｐゴシック"/>
        <family val="3"/>
        <charset val="128"/>
        <scheme val="minor"/>
      </rPr>
      <t>九洲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</si>
  <si>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梁海******************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</si>
  <si>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梅酒; 米酒</t>
    </r>
  </si>
  <si>
    <r>
      <t>龙门</t>
    </r>
    <r>
      <rPr>
        <sz val="11"/>
        <color theme="1"/>
        <rFont val="ＭＳ Ｐゴシック"/>
        <family val="3"/>
        <charset val="128"/>
        <scheme val="minor"/>
      </rPr>
      <t>志</t>
    </r>
  </si>
  <si>
    <r>
      <t>白酒;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</si>
  <si>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谷庭韵</t>
  </si>
  <si>
    <r>
      <t>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蒸煮提取物（利口酒和烈酒）;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</si>
  <si>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宫</t>
    </r>
    <r>
      <rPr>
        <sz val="11"/>
        <color theme="1"/>
        <rFont val="ＭＳ Ｐゴシック"/>
        <family val="3"/>
        <charset val="128"/>
        <scheme val="minor"/>
      </rPr>
      <t>廷与你</t>
    </r>
  </si>
  <si>
    <r>
      <t>吴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芳</t>
    </r>
  </si>
  <si>
    <r>
      <t>开胃酒; 蜂蜜酒; 苦味酒; 青稞酒;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白酒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</si>
  <si>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九</t>
    </r>
    <r>
      <rPr>
        <sz val="11"/>
        <color theme="1"/>
        <rFont val="ＭＳ Ｐゴシック"/>
        <family val="3"/>
        <charset val="134"/>
        <scheme val="minor"/>
      </rPr>
      <t>陈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</si>
  <si>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甘蔗制烈酒; 米酒; 葡萄酒;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</si>
  <si>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念胡</t>
    </r>
    <r>
      <rPr>
        <sz val="11"/>
        <color theme="1"/>
        <rFont val="ＭＳ Ｐゴシック"/>
        <family val="3"/>
        <charset val="134"/>
        <scheme val="minor"/>
      </rPr>
      <t>杨</t>
    </r>
  </si>
  <si>
    <t>佛山市好啊科技有限公司</t>
  </si>
  <si>
    <r>
      <t xml:space="preserve">利口酒;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伏特加酒; 白酒; 黄酒; 果酒（含酒精）; 苹果酒; 米酒</t>
    </r>
  </si>
  <si>
    <t>活力圣</t>
  </si>
  <si>
    <r>
      <t>上海尊</t>
    </r>
    <r>
      <rPr>
        <sz val="11"/>
        <color theme="1"/>
        <rFont val="ＭＳ Ｐゴシック"/>
        <family val="3"/>
        <charset val="134"/>
        <scheme val="minor"/>
      </rPr>
      <t>贤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</si>
  <si>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果酒（含酒精）; 白酒; 黄酒; 开胃酒; 蜂蜜酒; 食用酒精;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甜果酒; 米酒</t>
    </r>
  </si>
  <si>
    <r>
      <t>朵</t>
    </r>
    <r>
      <rPr>
        <sz val="11"/>
        <color theme="1"/>
        <rFont val="ＭＳ Ｐゴシック"/>
        <family val="3"/>
        <charset val="128"/>
        <scheme val="minor"/>
      </rPr>
      <t>拉魔盒</t>
    </r>
  </si>
  <si>
    <t>王文静</t>
  </si>
  <si>
    <r>
      <t xml:space="preserve">果酒（含酒精）; 米酒; 苹果酒; 汽酒;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葡萄酒;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</si>
  <si>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孔朝</t>
  </si>
  <si>
    <r>
      <t>孔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荣</t>
    </r>
  </si>
  <si>
    <r>
      <t xml:space="preserve">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黄酒;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</si>
  <si>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r>
      <t>飞鸿</t>
    </r>
    <r>
      <rPr>
        <sz val="11"/>
        <color theme="1"/>
        <rFont val="ＭＳ Ｐゴシック"/>
        <family val="3"/>
        <charset val="128"/>
        <scheme val="minor"/>
      </rPr>
      <t>武窖</t>
    </r>
  </si>
  <si>
    <r>
      <t>葡萄酒; 白酒; 蜂蜜酒; 果酒（含酒精）; 米酒; 苦味酒;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</si>
  <si>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清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玖</t>
    </r>
  </si>
  <si>
    <r>
      <t>广州市增城密</t>
    </r>
    <r>
      <rPr>
        <sz val="11"/>
        <color theme="1"/>
        <rFont val="ＭＳ Ｐゴシック"/>
        <family val="3"/>
        <charset val="134"/>
        <scheme val="minor"/>
      </rPr>
      <t>农缘</t>
    </r>
    <r>
      <rPr>
        <sz val="11"/>
        <color theme="1"/>
        <rFont val="ＭＳ Ｐゴシック"/>
        <family val="3"/>
        <charset val="128"/>
        <scheme val="minor"/>
      </rPr>
      <t>食品店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</si>
  <si>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开胃酒;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黄酒; 食用酒精; 白酒</t>
    </r>
  </si>
  <si>
    <t>吴越丹溪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</si>
  <si>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中翰文化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</si>
  <si>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米酒;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黄酒; 草本型利口酒</t>
    </r>
  </si>
  <si>
    <r>
      <t>斟遵</t>
    </r>
    <r>
      <rPr>
        <sz val="11"/>
        <color theme="1"/>
        <rFont val="ＭＳ Ｐゴシック"/>
        <family val="3"/>
        <charset val="134"/>
        <scheme val="minor"/>
      </rPr>
      <t>赋</t>
    </r>
  </si>
  <si>
    <r>
      <t xml:space="preserve">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露酒; 果酒; 米酒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</si>
  <si>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铁</t>
    </r>
    <r>
      <rPr>
        <sz val="11"/>
        <color theme="1"/>
        <rFont val="ＭＳ Ｐゴシック"/>
        <family val="3"/>
        <charset val="128"/>
        <scheme val="minor"/>
      </rPr>
      <t>利</t>
    </r>
  </si>
  <si>
    <r>
      <t xml:space="preserve">开胃酒; 清酒（日本米酒）;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食用酒精; 高粱酒</t>
    </r>
  </si>
  <si>
    <r>
      <t>常</t>
    </r>
    <r>
      <rPr>
        <sz val="11"/>
        <color theme="1"/>
        <rFont val="ＭＳ Ｐゴシック"/>
        <family val="3"/>
        <charset val="134"/>
        <scheme val="minor"/>
      </rPr>
      <t>飨</t>
    </r>
    <r>
      <rPr>
        <sz val="11"/>
        <color theme="1"/>
        <rFont val="ＭＳ Ｐゴシック"/>
        <family val="3"/>
        <charset val="128"/>
        <scheme val="minor"/>
      </rPr>
      <t>情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</si>
  <si>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白酒; 果酒（含酒精）; 果酒; 米酒; 食用酒精;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朗姆酒; 梅酒</t>
    </r>
  </si>
  <si>
    <r>
      <t>SOOFEIR KNIGHT 索菲</t>
    </r>
    <r>
      <rPr>
        <sz val="11"/>
        <color theme="1"/>
        <rFont val="ＭＳ Ｐゴシック"/>
        <family val="3"/>
        <charset val="134"/>
        <scheme val="minor"/>
      </rPr>
      <t>骑</t>
    </r>
    <r>
      <rPr>
        <sz val="11"/>
        <color theme="1"/>
        <rFont val="ＭＳ Ｐゴシック"/>
        <family val="3"/>
        <charset val="128"/>
        <scheme val="minor"/>
      </rPr>
      <t>士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</si>
  <si>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苗苗</t>
    </r>
  </si>
  <si>
    <r>
      <t>果酒（含酒精）; 葡萄酒; 黄酒;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白酒</t>
    </r>
  </si>
  <si>
    <t>晋尹</t>
  </si>
  <si>
    <t>吴旺林</t>
  </si>
  <si>
    <r>
      <t>薄荷酒;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</si>
  <si>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咱喜</t>
  </si>
  <si>
    <r>
      <t>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威士忌; 米酒; 白酒; 葡萄酒</t>
    </r>
  </si>
  <si>
    <t>衡昌福园</t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</si>
  <si>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朗姆酒;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黄酒; 白酒; 利口酒; 高粱酒</t>
    </r>
  </si>
  <si>
    <t>高膳（河北）智能科技有限公司</t>
  </si>
  <si>
    <r>
      <t>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葡萄酒;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</si>
  <si>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韦兹</t>
    </r>
    <r>
      <rPr>
        <sz val="11"/>
        <color theme="1"/>
        <rFont val="ＭＳ Ｐゴシック"/>
        <family val="3"/>
        <charset val="128"/>
        <scheme val="minor"/>
      </rPr>
      <t>沟</t>
    </r>
  </si>
  <si>
    <r>
      <t>李新</t>
    </r>
    <r>
      <rPr>
        <sz val="11"/>
        <color theme="1"/>
        <rFont val="ＭＳ Ｐゴシック"/>
        <family val="3"/>
        <charset val="134"/>
        <scheme val="minor"/>
      </rPr>
      <t>艳</t>
    </r>
  </si>
  <si>
    <r>
      <t>白酒;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咖啡利口酒; 果酒; 蜂蜜酒; 梅酒;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刺五加酒</t>
    </r>
  </si>
  <si>
    <r>
      <t>将</t>
    </r>
    <r>
      <rPr>
        <sz val="11"/>
        <color theme="1"/>
        <rFont val="ＭＳ Ｐゴシック"/>
        <family val="3"/>
        <charset val="134"/>
        <scheme val="minor"/>
      </rPr>
      <t>骋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</si>
  <si>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食用酒精; 米酒</t>
    </r>
  </si>
  <si>
    <t>文忠印</t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</si>
  <si>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</t>
    </r>
  </si>
  <si>
    <r>
      <t>禄巢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</si>
  <si>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河北禄巢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</si>
  <si>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白干酒（中国白酒）; 露酒</t>
    </r>
  </si>
  <si>
    <r>
      <t>天之</t>
    </r>
    <r>
      <rPr>
        <sz val="11"/>
        <color theme="1"/>
        <rFont val="ＭＳ Ｐゴシック"/>
        <family val="3"/>
        <charset val="134"/>
        <scheme val="minor"/>
      </rPr>
      <t>时</t>
    </r>
  </si>
  <si>
    <t>李治国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</si>
  <si>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果酒（含酒精）;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</si>
  <si>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海慈美宜佳</t>
  </si>
  <si>
    <r>
      <t>边</t>
    </r>
    <r>
      <rPr>
        <sz val="11"/>
        <color theme="1"/>
        <rFont val="ＭＳ Ｐゴシック"/>
        <family val="3"/>
        <charset val="128"/>
        <scheme val="minor"/>
      </rPr>
      <t>家</t>
    </r>
    <r>
      <rPr>
        <sz val="11"/>
        <color theme="1"/>
        <rFont val="ＭＳ Ｐゴシック"/>
        <family val="3"/>
        <charset val="134"/>
        <scheme val="minor"/>
      </rPr>
      <t>尧</t>
    </r>
  </si>
  <si>
    <r>
      <t>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白酒; 葡萄酒; 果酒（含酒精）;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</si>
  <si>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九仙士</t>
  </si>
  <si>
    <t>康宇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</si>
  <si>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威士忌; 烈酒; 黄酒; 果酒（含酒精）</t>
    </r>
  </si>
  <si>
    <r>
      <t>四川鑫川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类销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</si>
  <si>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 xml:space="preserve">薄荷酒; 白酒; 食用酒精; 米酒; 开胃酒;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</si>
  <si>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吟金</t>
  </si>
  <si>
    <r>
      <t>烈酒;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</si>
  <si>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飞鸿</t>
    </r>
    <r>
      <rPr>
        <sz val="11"/>
        <color theme="1"/>
        <rFont val="ＭＳ Ｐゴシック"/>
        <family val="3"/>
        <charset val="128"/>
        <scheme val="minor"/>
      </rPr>
      <t>芝醇液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</si>
  <si>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葡萄酒; 米酒; 苦味酒;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</si>
  <si>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颜</t>
    </r>
    <r>
      <rPr>
        <sz val="11"/>
        <color theme="1"/>
        <rFont val="ＭＳ Ｐゴシック"/>
        <family val="3"/>
        <charset val="128"/>
        <scheme val="minor"/>
      </rPr>
      <t>之推</t>
    </r>
  </si>
  <si>
    <r>
      <t>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葡萄酒; 清酒（日本米酒）;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伏特加酒</t>
    </r>
  </si>
  <si>
    <t>王伯大</t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</si>
  <si>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清酒（日本米酒）; 葡萄酒; 伏特加酒; 黄酒; 威士忌; 米酒</t>
    </r>
  </si>
  <si>
    <t>唱响成功</t>
  </si>
  <si>
    <r>
      <t>华</t>
    </r>
    <r>
      <rPr>
        <sz val="11"/>
        <color theme="1"/>
        <rFont val="ＭＳ Ｐゴシック"/>
        <family val="3"/>
        <charset val="128"/>
        <scheme val="minor"/>
      </rPr>
      <t>恒荣耀（北京）影</t>
    </r>
    <r>
      <rPr>
        <sz val="11"/>
        <color theme="1"/>
        <rFont val="ＭＳ Ｐゴシック"/>
        <family val="3"/>
        <charset val="134"/>
        <scheme val="minor"/>
      </rPr>
      <t>视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</si>
  <si>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米酒; 黄酒; 葡萄酒; 果酒（含酒精）; 清酒（日本米酒）;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</si>
  <si>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r>
      <t>九州隆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</si>
  <si>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秀芝</t>
    </r>
  </si>
  <si>
    <r>
      <t xml:space="preserve">开胃酒; 朗姆酒; 伏特加酒;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威士忌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</si>
  <si>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吟君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</si>
  <si>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白酒;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黄酒; 烈酒</t>
    </r>
  </si>
  <si>
    <r>
      <t>皇朽</t>
    </r>
    <r>
      <rPr>
        <sz val="11"/>
        <color theme="1"/>
        <rFont val="ＭＳ Ｐゴシック"/>
        <family val="3"/>
        <charset val="134"/>
        <scheme val="minor"/>
      </rPr>
      <t>润泽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</si>
  <si>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清酒; 米酒;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</si>
  <si>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白山</t>
    </r>
    <r>
      <rPr>
        <sz val="11"/>
        <color theme="1"/>
        <rFont val="ＭＳ Ｐゴシック"/>
        <family val="3"/>
        <charset val="134"/>
        <scheme val="minor"/>
      </rPr>
      <t>铭</t>
    </r>
    <r>
      <rPr>
        <sz val="11"/>
        <color theme="1"/>
        <rFont val="ＭＳ Ｐゴシック"/>
        <family val="3"/>
        <charset val="128"/>
        <scheme val="minor"/>
      </rPr>
      <t>草堂</t>
    </r>
  </si>
  <si>
    <t>于永成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</si>
  <si>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白酒; 葡萄酒; 蜂蜜酒;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</si>
  <si>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天津市北辰区丰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酒窖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</si>
  <si>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黄酒</t>
    </r>
  </si>
  <si>
    <r>
      <t>米</t>
    </r>
    <r>
      <rPr>
        <sz val="11"/>
        <color theme="1"/>
        <rFont val="ＭＳ Ｐゴシック"/>
        <family val="3"/>
        <charset val="134"/>
        <scheme val="minor"/>
      </rPr>
      <t>赐</t>
    </r>
  </si>
  <si>
    <t>唐川******************</t>
  </si>
  <si>
    <r>
      <t>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白酒; 清酒; 青梅酒; 黄酒;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</si>
  <si>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得天承</t>
  </si>
  <si>
    <r>
      <t>刘振</t>
    </r>
    <r>
      <rPr>
        <sz val="11"/>
        <color theme="1"/>
        <rFont val="ＭＳ Ｐゴシック"/>
        <family val="3"/>
        <charset val="134"/>
        <scheme val="minor"/>
      </rPr>
      <t>亚</t>
    </r>
  </si>
  <si>
    <r>
      <t>烈酒; 果酒（含酒精）; 葡萄酒;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米酒</t>
    </r>
  </si>
  <si>
    <t>黑爵士</t>
  </si>
  <si>
    <t>宋健民</t>
  </si>
  <si>
    <r>
      <t>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朗姆酒;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伏特加酒</t>
    </r>
  </si>
  <si>
    <r>
      <t>聚</t>
    </r>
    <r>
      <rPr>
        <sz val="11"/>
        <color theme="1"/>
        <rFont val="ＭＳ Ｐゴシック"/>
        <family val="3"/>
        <charset val="134"/>
        <scheme val="minor"/>
      </rPr>
      <t>鹤</t>
    </r>
    <r>
      <rPr>
        <sz val="11"/>
        <color theme="1"/>
        <rFont val="ＭＳ Ｐゴシック"/>
        <family val="3"/>
        <charset val="128"/>
        <scheme val="minor"/>
      </rPr>
      <t>湖</t>
    </r>
  </si>
  <si>
    <t>范永蕾</t>
  </si>
  <si>
    <r>
      <t>薄荷酒; 白酒; 苹果酒;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蜂蜜酒;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</si>
  <si>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空山静</t>
  </si>
  <si>
    <r>
      <t>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蒸煮提取物（利口酒和烈酒）;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</si>
  <si>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浮梦大唐</t>
  </si>
  <si>
    <r>
      <t>故城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赴洪百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</si>
  <si>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 xml:space="preserve">朗姆酒;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梅酒; 黄酒; 葡萄酒</t>
    </r>
  </si>
  <si>
    <r>
      <t>顺</t>
    </r>
    <r>
      <rPr>
        <sz val="11"/>
        <color theme="1"/>
        <rFont val="ＭＳ Ｐゴシック"/>
        <family val="3"/>
        <charset val="128"/>
        <scheme val="minor"/>
      </rPr>
      <t>天年</t>
    </r>
  </si>
  <si>
    <r>
      <t>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烈酒; 威士忌; 白酒;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</si>
  <si>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晋云仙多</t>
  </si>
  <si>
    <r>
      <t>马</t>
    </r>
    <r>
      <rPr>
        <sz val="11"/>
        <color theme="1"/>
        <rFont val="ＭＳ Ｐゴシック"/>
        <family val="3"/>
        <charset val="128"/>
        <scheme val="minor"/>
      </rPr>
      <t>春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</si>
  <si>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白干酒（中国白酒）; 葡萄酒; 黄酒; 利口酒;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果酒（含酒精）</t>
    </r>
  </si>
  <si>
    <t>VALPANERA</t>
  </si>
  <si>
    <r>
      <t>沃潘</t>
    </r>
    <r>
      <rPr>
        <sz val="11"/>
        <color theme="1"/>
        <rFont val="ＭＳ Ｐゴシック"/>
        <family val="3"/>
        <charset val="134"/>
        <scheme val="minor"/>
      </rPr>
      <t>纳农</t>
    </r>
    <r>
      <rPr>
        <sz val="11"/>
        <color theme="1"/>
        <rFont val="ＭＳ Ｐゴシック"/>
        <family val="3"/>
        <charset val="128"/>
        <scheme val="minor"/>
      </rPr>
      <t>庄公司</t>
    </r>
  </si>
  <si>
    <r>
      <t xml:space="preserve">不起泡葡萄酒; 佐餐酒;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蒸煮提取物（利口酒和烈酒）;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甜酒; 利口酒; 苦味酒;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白葡萄酒</t>
    </r>
  </si>
  <si>
    <r>
      <t>红尘</t>
    </r>
    <r>
      <rPr>
        <sz val="11"/>
        <color theme="1"/>
        <rFont val="ＭＳ Ｐゴシック"/>
        <family val="3"/>
        <charset val="128"/>
        <scheme val="minor"/>
      </rPr>
      <t>仙</t>
    </r>
  </si>
  <si>
    <t>福建方想科技有限公司</t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</si>
  <si>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果酒;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葡萄酒; 高粱酒</t>
    </r>
  </si>
  <si>
    <r>
      <t>柏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</si>
  <si>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>江西柏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品品牌运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</si>
  <si>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黄酒; 梅酒; 高粱酒;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食用酒精; 白酒; 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</si>
  <si>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关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翁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</si>
  <si>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文超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</si>
  <si>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</si>
  <si>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鼎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葡萄酒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</si>
  <si>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水果汽酒;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果酒; 葡萄酒; 汽酒; 白酒; 伏特加酒; 朗姆酒</t>
    </r>
  </si>
  <si>
    <t>茉侈</t>
  </si>
  <si>
    <t>张尧尧</t>
  </si>
  <si>
    <r>
      <t>威士忌; 白酒; 果酒（含酒精）;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</si>
  <si>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天医</t>
    </r>
  </si>
  <si>
    <r>
      <t>昆明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天医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</si>
  <si>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苦味酒; 葡萄酒; 伏特加酒; 清酒; 食用酒精;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</si>
  <si>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至阳子</t>
  </si>
  <si>
    <t>尹巧燕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</si>
  <si>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</si>
  <si>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江祥</t>
    </r>
    <r>
      <rPr>
        <sz val="11"/>
        <color theme="1"/>
        <rFont val="ＭＳ Ｐゴシック"/>
        <family val="3"/>
        <charset val="134"/>
        <scheme val="minor"/>
      </rPr>
      <t>鹤</t>
    </r>
  </si>
  <si>
    <r>
      <t>新宁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冠泰酒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</si>
  <si>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果酒（含酒精）; 葡萄酒</t>
    </r>
  </si>
  <si>
    <r>
      <t>卡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芬</t>
    </r>
  </si>
  <si>
    <r>
      <t>李振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</si>
  <si>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</si>
  <si>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r>
      <t>步阳集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</si>
  <si>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开胃酒;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汽酒; 米酒</t>
    </r>
  </si>
  <si>
    <r>
      <t>吴甫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</si>
  <si>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 xml:space="preserve">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烈酒; 果酒（含酒精）; 威士忌;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</si>
  <si>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御</t>
    </r>
    <r>
      <rPr>
        <sz val="11"/>
        <color theme="1"/>
        <rFont val="ＭＳ Ｐゴシック"/>
        <family val="3"/>
        <charset val="134"/>
        <scheme val="minor"/>
      </rPr>
      <t>东诚</t>
    </r>
  </si>
  <si>
    <r>
      <t>辽</t>
    </r>
    <r>
      <rPr>
        <sz val="11"/>
        <color theme="1"/>
        <rFont val="ＭＳ Ｐゴシック"/>
        <family val="3"/>
        <charset val="128"/>
        <scheme val="minor"/>
      </rPr>
      <t>宁省双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</si>
  <si>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米酒; 果酒（含酒精）; 蜂蜜酒; 白酒</t>
    </r>
  </si>
  <si>
    <r>
      <t>蜀</t>
    </r>
    <r>
      <rPr>
        <sz val="11"/>
        <color theme="1"/>
        <rFont val="ＭＳ Ｐゴシック"/>
        <family val="3"/>
        <charset val="134"/>
        <scheme val="minor"/>
      </rPr>
      <t>计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</si>
  <si>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开胃酒; 威士忌; 烈酒; 白酒; 清酒（日本米酒）; 葡萄酒; 黄酒; 青稞酒</t>
    </r>
  </si>
  <si>
    <t>茗主角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</si>
  <si>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纵</t>
    </r>
    <r>
      <rPr>
        <sz val="11"/>
        <color theme="1"/>
        <rFont val="ＭＳ Ｐゴシック"/>
        <family val="3"/>
        <charset val="128"/>
        <scheme val="minor"/>
      </rPr>
      <t>横四海酒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</si>
  <si>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高粱酒;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</si>
  <si>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起影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</si>
  <si>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元景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园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</si>
  <si>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露酒; 白酒;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青梅酒</t>
    </r>
  </si>
  <si>
    <r>
      <t>蜀曌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庄</t>
    </r>
  </si>
  <si>
    <r>
      <t>广元嘉沃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</si>
  <si>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米酒; 梨酒;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青梅酒; 果酒; 蜂蜜酒; 水果汽酒</t>
    </r>
  </si>
  <si>
    <r>
      <t>御</t>
    </r>
    <r>
      <rPr>
        <sz val="11"/>
        <color theme="1"/>
        <rFont val="ＭＳ Ｐゴシック"/>
        <family val="3"/>
        <charset val="134"/>
        <scheme val="minor"/>
      </rPr>
      <t>仑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</si>
  <si>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恒</t>
    </r>
    <r>
      <rPr>
        <sz val="11"/>
        <color theme="1"/>
        <rFont val="ＭＳ Ｐゴシック"/>
        <family val="3"/>
        <charset val="134"/>
        <scheme val="minor"/>
      </rPr>
      <t>聪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</si>
  <si>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清酒（日本米酒）; 威士忌; 烈酒; 果酒（含酒精）; 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</si>
  <si>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天芮芯</t>
  </si>
  <si>
    <r>
      <t>玹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健康管理（云南）有限公司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</si>
  <si>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白干酒（中国白酒）; 米酒; 葡萄酒; 黄酒</t>
    </r>
  </si>
  <si>
    <t>YONG YING DI YI</t>
  </si>
  <si>
    <r>
      <t>辽</t>
    </r>
    <r>
      <rPr>
        <sz val="11"/>
        <color theme="1"/>
        <rFont val="ＭＳ Ｐゴシック"/>
        <family val="3"/>
        <charset val="128"/>
        <scheme val="minor"/>
      </rPr>
      <t>宁八十八</t>
    </r>
    <r>
      <rPr>
        <sz val="11"/>
        <color theme="1"/>
        <rFont val="ＭＳ Ｐゴシック"/>
        <family val="3"/>
        <charset val="134"/>
        <scheme val="minor"/>
      </rPr>
      <t>线创</t>
    </r>
    <r>
      <rPr>
        <sz val="11"/>
        <color theme="1"/>
        <rFont val="ＭＳ Ｐゴシック"/>
        <family val="3"/>
        <charset val="128"/>
        <scheme val="minor"/>
      </rPr>
      <t>新科技有限公司</t>
    </r>
  </si>
  <si>
    <r>
      <t xml:space="preserve">清酒;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麦芽威士忌; 果酒（含酒精）; 黄酒; 食用酒精; 高粱酒; 威士忌</t>
    </r>
  </si>
  <si>
    <t>风鸣桥</t>
  </si>
  <si>
    <t>寇立巧</t>
  </si>
  <si>
    <r>
      <t>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</si>
  <si>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 xml:space="preserve">麦芽威士忌; 果酒（含酒精）; 清酒;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葡萄酒; 白酒</t>
    </r>
  </si>
  <si>
    <r>
      <t>庆</t>
    </r>
    <r>
      <rPr>
        <sz val="11"/>
        <color theme="1"/>
        <rFont val="ＭＳ Ｐゴシック"/>
        <family val="3"/>
        <charset val="128"/>
        <scheme val="minor"/>
      </rPr>
      <t>小年</t>
    </r>
  </si>
  <si>
    <r>
      <t>赵进</t>
    </r>
    <r>
      <rPr>
        <sz val="11"/>
        <color theme="1"/>
        <rFont val="ＭＳ Ｐゴシック"/>
        <family val="3"/>
        <charset val="128"/>
        <scheme val="minor"/>
      </rPr>
      <t>国</t>
    </r>
  </si>
  <si>
    <r>
      <t xml:space="preserve">米酒; 薄荷酒; 餐后酒（利口酒和烈酒）;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黄酒;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</si>
  <si>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原喜</t>
  </si>
  <si>
    <t>莫麒令</t>
  </si>
  <si>
    <r>
      <t>白酒; 黄酒;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</si>
  <si>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群英雄</t>
  </si>
  <si>
    <t>李琅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</si>
  <si>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含酒精的气泡水;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果酒（含酒精）; 餐后酒（利口酒和烈酒）;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青稞酒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</si>
  <si>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九巷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</si>
  <si>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甘蔗制烈酒; 白酒;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</si>
  <si>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玄德和叙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</si>
  <si>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威士忌;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白酒; 葡萄酒</t>
    </r>
  </si>
  <si>
    <r>
      <t>章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明介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</si>
  <si>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朱</t>
    </r>
    <r>
      <rPr>
        <sz val="11"/>
        <color theme="1"/>
        <rFont val="ＭＳ Ｐゴシック"/>
        <family val="3"/>
        <charset val="134"/>
        <scheme val="minor"/>
      </rPr>
      <t>鹤</t>
    </r>
    <r>
      <rPr>
        <sz val="11"/>
        <color theme="1"/>
        <rFont val="ＭＳ Ｐゴシック"/>
        <family val="3"/>
        <charset val="128"/>
        <scheme val="minor"/>
      </rPr>
      <t>汀（</t>
    </r>
    <r>
      <rPr>
        <sz val="11"/>
        <color theme="1"/>
        <rFont val="ＭＳ Ｐゴシック"/>
        <family val="3"/>
        <charset val="134"/>
        <scheme val="minor"/>
      </rPr>
      <t>绍兴</t>
    </r>
    <r>
      <rPr>
        <sz val="11"/>
        <color theme="1"/>
        <rFont val="ＭＳ Ｐゴシック"/>
        <family val="3"/>
        <charset val="128"/>
        <scheme val="minor"/>
      </rPr>
      <t>）黄酒文化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</si>
  <si>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甘蔗制烈酒;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</si>
  <si>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衿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情</t>
    </r>
  </si>
  <si>
    <t>崔浩然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</si>
  <si>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果酒（含酒精）; 利口酒; 葡萄酒;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</si>
  <si>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喜羡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</si>
  <si>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</si>
  <si>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唐波汗</t>
  </si>
  <si>
    <r>
      <t>河北京泰酒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</si>
  <si>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开胃酒; 威士忌; 白酒; 伏特加酒;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</si>
  <si>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星哥杈</t>
    </r>
    <r>
      <rPr>
        <sz val="11"/>
        <color theme="1"/>
        <rFont val="ＭＳ Ｐゴシック"/>
        <family val="3"/>
        <charset val="134"/>
        <scheme val="minor"/>
      </rPr>
      <t>车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</si>
  <si>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州文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</si>
  <si>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蒸煮提取物（利口酒和烈酒）; 黄酒</t>
    </r>
  </si>
  <si>
    <t>火焰魔童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</si>
  <si>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朗姆酒; 清酒; 白酒;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 xml:space="preserve">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</t>
    </r>
  </si>
  <si>
    <r>
      <t>伊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</si>
  <si>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>新疆西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汗酒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</si>
  <si>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清酒; 果酒（含酒精）; 葡萄酒; 白酒</t>
    </r>
  </si>
  <si>
    <r>
      <t>闻</t>
    </r>
    <r>
      <rPr>
        <sz val="11"/>
        <color theme="1"/>
        <rFont val="ＭＳ Ｐゴシック"/>
        <family val="3"/>
        <charset val="128"/>
        <scheme val="minor"/>
      </rPr>
      <t>酩至樽</t>
    </r>
  </si>
  <si>
    <r>
      <t xml:space="preserve">葡萄酒;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清酒（日本米酒）; 开胃酒</t>
    </r>
  </si>
  <si>
    <t>半山檐</t>
  </si>
  <si>
    <t>李霞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</si>
  <si>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白酒;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</t>
    </r>
  </si>
  <si>
    <r>
      <t>斑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侠</t>
    </r>
  </si>
  <si>
    <r>
      <t>四川致敬者企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</si>
  <si>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甜果酒; 梅酒; 开胃酒; 果酒; 青稞酒; 甜酒; 葡萄酒; 白酒; 米酒</t>
    </r>
  </si>
  <si>
    <t>即刻燃力</t>
  </si>
  <si>
    <r>
      <t>湖南元世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</si>
  <si>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含酒精的苦味开胃酒;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伏特加酒</t>
    </r>
  </si>
  <si>
    <r>
      <t>络</t>
    </r>
    <r>
      <rPr>
        <sz val="11"/>
        <color theme="1"/>
        <rFont val="ＭＳ Ｐゴシック"/>
        <family val="3"/>
        <charset val="128"/>
        <scheme val="minor"/>
      </rPr>
      <t>魁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</si>
  <si>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</si>
  <si>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库选</t>
  </si>
  <si>
    <r>
      <t>湖北古音商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</si>
  <si>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薄荷酒;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葡萄酒; 黄酒; 威士忌</t>
    </r>
  </si>
  <si>
    <r>
      <t>随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喜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</si>
  <si>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冠秀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</si>
  <si>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白酒</t>
    </r>
  </si>
  <si>
    <t>橘荣康</t>
  </si>
  <si>
    <r>
      <t>四川川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皮源科技有限公司</t>
    </r>
  </si>
  <si>
    <r>
      <t>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米酒; 白酒; 烈酒; 五加皮酒（中国混合烈酒）;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</si>
  <si>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泰富有</t>
  </si>
  <si>
    <r>
      <t>黄</t>
    </r>
    <r>
      <rPr>
        <sz val="11"/>
        <color theme="1"/>
        <rFont val="ＭＳ Ｐゴシック"/>
        <family val="3"/>
        <charset val="134"/>
        <scheme val="minor"/>
      </rPr>
      <t>传伟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</si>
  <si>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米酒; 食用酒精; 黄酒;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开胃酒</t>
    </r>
  </si>
  <si>
    <r>
      <t>始</t>
    </r>
    <r>
      <rPr>
        <sz val="11"/>
        <color theme="1"/>
        <rFont val="ＭＳ Ｐゴシック"/>
        <family val="3"/>
        <charset val="134"/>
        <scheme val="minor"/>
      </rPr>
      <t>鉴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</si>
  <si>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食用酒精; 白酒; 蒸煮提取物（利口酒和烈酒）;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</si>
  <si>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鹿圣奎</t>
  </si>
  <si>
    <t>吉林省蔓达生物科技有限公司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</si>
  <si>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高粱酒; 白酒;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蜂蜜酒; 利口酒; 烈酒</t>
    </r>
  </si>
  <si>
    <r>
      <t>秦</t>
    </r>
    <r>
      <rPr>
        <sz val="11"/>
        <color theme="1"/>
        <rFont val="ＭＳ Ｐゴシック"/>
        <family val="3"/>
        <charset val="134"/>
        <scheme val="minor"/>
      </rPr>
      <t>浆</t>
    </r>
    <r>
      <rPr>
        <sz val="11"/>
        <color theme="1"/>
        <rFont val="ＭＳ Ｐゴシック"/>
        <family val="3"/>
        <charset val="128"/>
        <scheme val="minor"/>
      </rPr>
      <t>士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</si>
  <si>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邵</t>
    </r>
    <r>
      <rPr>
        <sz val="11"/>
        <color theme="1"/>
        <rFont val="ＭＳ Ｐゴシック"/>
        <family val="3"/>
        <charset val="134"/>
        <scheme val="minor"/>
      </rPr>
      <t>凯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</si>
  <si>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开胃酒; 葡萄酒; 威士忌; 清酒（日本米酒）; 白酒;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</si>
  <si>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章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明酒坊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</si>
  <si>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甘蔗制烈酒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</si>
  <si>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三生</t>
    </r>
  </si>
  <si>
    <r>
      <t>河北玉</t>
    </r>
    <r>
      <rPr>
        <sz val="11"/>
        <color theme="1"/>
        <rFont val="ＭＳ Ｐゴシック"/>
        <family val="3"/>
        <charset val="134"/>
        <scheme val="minor"/>
      </rPr>
      <t>兰缘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</si>
  <si>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用烈酒;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</si>
  <si>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宋清秋</t>
  </si>
  <si>
    <t>席春果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</si>
  <si>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黄酒; 开胃酒; 葡萄酒; 白酒; 清酒（日本米酒）</t>
    </r>
  </si>
  <si>
    <r>
      <t>汴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佬</t>
    </r>
    <r>
      <rPr>
        <sz val="11"/>
        <color theme="1"/>
        <rFont val="ＭＳ Ｐゴシック"/>
        <family val="3"/>
        <charset val="134"/>
        <scheme val="minor"/>
      </rPr>
      <t>张记</t>
    </r>
  </si>
  <si>
    <r>
      <t>开封</t>
    </r>
    <r>
      <rPr>
        <sz val="11"/>
        <color theme="1"/>
        <rFont val="ＭＳ Ｐゴシック"/>
        <family val="3"/>
        <charset val="134"/>
        <scheme val="minor"/>
      </rPr>
      <t>张</t>
    </r>
    <r>
      <rPr>
        <sz val="11"/>
        <color theme="1"/>
        <rFont val="ＭＳ Ｐゴシック"/>
        <family val="3"/>
        <charset val="128"/>
        <scheme val="minor"/>
      </rPr>
      <t>民麻花食品有限公司</t>
    </r>
  </si>
  <si>
    <r>
      <t>葡萄酒;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</si>
  <si>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知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29"/>
        <scheme val="minor"/>
      </rPr>
      <t>嘟</t>
    </r>
    <r>
      <rPr>
        <sz val="11"/>
        <color theme="1"/>
        <rFont val="ＭＳ Ｐゴシック"/>
        <family val="3"/>
        <charset val="128"/>
        <scheme val="minor"/>
      </rPr>
      <t>督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</si>
  <si>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圣森投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</si>
  <si>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苹果酒; 米酒;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酸酒（低等葡萄酒）; 白酒</t>
    </r>
  </si>
  <si>
    <r>
      <t>力</t>
    </r>
    <r>
      <rPr>
        <sz val="11"/>
        <color theme="1"/>
        <rFont val="ＭＳ Ｐゴシック"/>
        <family val="3"/>
        <charset val="134"/>
        <scheme val="minor"/>
      </rPr>
      <t>嵘</t>
    </r>
    <r>
      <rPr>
        <sz val="11"/>
        <color theme="1"/>
        <rFont val="ＭＳ Ｐゴシック"/>
        <family val="3"/>
        <charset val="128"/>
        <scheme val="minor"/>
      </rPr>
      <t>酒造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</si>
  <si>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白酒; 清酒（日本米酒）; 葡萄酒; 威士忌;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</si>
  <si>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兴</t>
    </r>
    <r>
      <rPr>
        <sz val="11"/>
        <color theme="1"/>
        <rFont val="ＭＳ Ｐゴシック"/>
        <family val="3"/>
        <charset val="128"/>
        <scheme val="minor"/>
      </rPr>
      <t>鹿王</t>
    </r>
  </si>
  <si>
    <r>
      <t>程小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</si>
  <si>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白酒</t>
    </r>
  </si>
  <si>
    <r>
      <t>曼</t>
    </r>
    <r>
      <rPr>
        <sz val="11"/>
        <color theme="1"/>
        <rFont val="ＭＳ Ｐゴシック"/>
        <family val="3"/>
        <charset val="134"/>
        <scheme val="minor"/>
      </rPr>
      <t>莲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</si>
  <si>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</si>
  <si>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葆鹿源</t>
  </si>
  <si>
    <r>
      <t>辽</t>
    </r>
    <r>
      <rPr>
        <sz val="11"/>
        <color theme="1"/>
        <rFont val="ＭＳ Ｐゴシック"/>
        <family val="3"/>
        <charset val="128"/>
        <scheme val="minor"/>
      </rPr>
      <t>宁致德生物科技有限公司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</si>
  <si>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黄酒; 开胃酒; 烈酒; 果酒（含酒精）</t>
    </r>
  </si>
  <si>
    <t>轩钜</t>
  </si>
  <si>
    <r>
      <t>张</t>
    </r>
    <r>
      <rPr>
        <sz val="11"/>
        <color theme="1"/>
        <rFont val="ＭＳ Ｐゴシック"/>
        <family val="3"/>
        <charset val="128"/>
        <scheme val="minor"/>
      </rPr>
      <t>相富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</si>
  <si>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威士忌; 黄酒;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</si>
  <si>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洛水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裳</t>
    </r>
  </si>
  <si>
    <r>
      <t>洛阳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泉酒博酒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</si>
  <si>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</si>
  <si>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锡</t>
    </r>
    <r>
      <rPr>
        <sz val="11"/>
        <color theme="1"/>
        <rFont val="ＭＳ Ｐゴシック"/>
        <family val="3"/>
        <charset val="128"/>
        <scheme val="minor"/>
      </rPr>
      <t>友江南</t>
    </r>
  </si>
  <si>
    <r>
      <t>无</t>
    </r>
    <r>
      <rPr>
        <sz val="11"/>
        <color theme="1"/>
        <rFont val="ＭＳ Ｐゴシック"/>
        <family val="3"/>
        <charset val="134"/>
        <scheme val="minor"/>
      </rPr>
      <t>锡</t>
    </r>
    <r>
      <rPr>
        <sz val="11"/>
        <color theme="1"/>
        <rFont val="ＭＳ Ｐゴシック"/>
        <family val="3"/>
        <charset val="128"/>
        <scheme val="minor"/>
      </rPr>
      <t>市玉祁酒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</si>
  <si>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果酒（含酒精）; 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</t>
    </r>
  </si>
  <si>
    <r>
      <t>高二</t>
    </r>
    <r>
      <rPr>
        <sz val="11"/>
        <color theme="1"/>
        <rFont val="ＭＳ Ｐゴシック"/>
        <family val="3"/>
        <charset val="134"/>
        <scheme val="minor"/>
      </rPr>
      <t>爷</t>
    </r>
  </si>
  <si>
    <r>
      <t>高粱酒;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青梅酒; 青稞酒; 白酒; 黄酒; 白干酒（中国白酒）;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</si>
  <si>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SIINSIIN</t>
  </si>
  <si>
    <t>清壹科技（杭州）有限公司</t>
  </si>
  <si>
    <r>
      <t>白酒; 黄酒; 果酒;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葡萄酒;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</si>
  <si>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汴京佬</t>
    </r>
    <r>
      <rPr>
        <sz val="11"/>
        <color theme="1"/>
        <rFont val="ＭＳ Ｐゴシック"/>
        <family val="3"/>
        <charset val="134"/>
        <scheme val="minor"/>
      </rPr>
      <t>张记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</si>
  <si>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开胃酒;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</si>
  <si>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十里俏楚</t>
  </si>
  <si>
    <r>
      <t>桐城市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林包装有限公司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</si>
  <si>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白干酒（中国白酒）; 柑香酒;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高粱酒;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米酒</t>
    </r>
  </si>
  <si>
    <r>
      <t>香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肆</t>
    </r>
  </si>
  <si>
    <r>
      <t>舒</t>
    </r>
    <r>
      <rPr>
        <sz val="11"/>
        <color theme="1"/>
        <rFont val="ＭＳ Ｐゴシック"/>
        <family val="3"/>
        <charset val="134"/>
        <scheme val="minor"/>
      </rPr>
      <t>龙伟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</si>
  <si>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米酒;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食用酒精</t>
    </r>
  </si>
  <si>
    <t>淳裕情</t>
  </si>
  <si>
    <r>
      <t>湖北云</t>
    </r>
    <r>
      <rPr>
        <sz val="11"/>
        <color theme="1"/>
        <rFont val="ＭＳ Ｐゴシック"/>
        <family val="3"/>
        <charset val="134"/>
        <scheme val="minor"/>
      </rPr>
      <t>雾</t>
    </r>
    <r>
      <rPr>
        <sz val="11"/>
        <color theme="1"/>
        <rFont val="ＭＳ Ｐゴシック"/>
        <family val="3"/>
        <charset val="128"/>
        <scheme val="minor"/>
      </rPr>
      <t>山庄酒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</si>
  <si>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蒸煮提取物（利口酒和烈酒）; 苦味酒;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</si>
  <si>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松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角屋酒造</t>
    </r>
  </si>
  <si>
    <r>
      <t xml:space="preserve">清酒（日本米酒）; 威士忌;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</si>
  <si>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帝王秦</t>
  </si>
  <si>
    <r>
      <t>姜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利</t>
    </r>
  </si>
  <si>
    <r>
      <t xml:space="preserve">葡萄酒; 果酒（含酒精）;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蜂蜜酒; 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</si>
  <si>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r>
      <t>瀚中</t>
    </r>
    <r>
      <rPr>
        <sz val="11"/>
        <color theme="1"/>
        <rFont val="ＭＳ Ｐゴシック"/>
        <family val="3"/>
        <charset val="134"/>
        <scheme val="minor"/>
      </rPr>
      <t>驼</t>
    </r>
  </si>
  <si>
    <r>
      <t>新疆</t>
    </r>
    <r>
      <rPr>
        <sz val="11"/>
        <color theme="1"/>
        <rFont val="ＭＳ Ｐゴシック"/>
        <family val="3"/>
        <charset val="134"/>
        <scheme val="minor"/>
      </rPr>
      <t>莲</t>
    </r>
    <r>
      <rPr>
        <sz val="11"/>
        <color theme="1"/>
        <rFont val="ＭＳ Ｐゴシック"/>
        <family val="3"/>
        <charset val="128"/>
        <scheme val="minor"/>
      </rPr>
      <t>医生物科技有限公司</t>
    </r>
  </si>
  <si>
    <r>
      <t>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</si>
  <si>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嵘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</si>
  <si>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家界</t>
    </r>
    <r>
      <rPr>
        <sz val="11"/>
        <color theme="1"/>
        <rFont val="ＭＳ Ｐゴシック"/>
        <family val="3"/>
        <charset val="134"/>
        <scheme val="minor"/>
      </rPr>
      <t>张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嵘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</si>
  <si>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</si>
  <si>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香韵南湖</t>
  </si>
  <si>
    <r>
      <t>秋田（嘉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）供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</si>
  <si>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薄荷酒; 葡萄酒;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</t>
    </r>
  </si>
  <si>
    <t>匡王墨</t>
  </si>
  <si>
    <t>耿迎春</t>
  </si>
  <si>
    <r>
      <t>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清酒;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</t>
    </r>
  </si>
  <si>
    <r>
      <t>微醺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园（重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</si>
  <si>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食用酒精; 青稞酒;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米酒; 葡萄酒; 白酒</t>
    </r>
  </si>
  <si>
    <r>
      <t>益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九</t>
    </r>
  </si>
  <si>
    <r>
      <t>深圳</t>
    </r>
    <r>
      <rPr>
        <sz val="11"/>
        <color theme="1"/>
        <rFont val="ＭＳ Ｐゴシック"/>
        <family val="3"/>
        <charset val="134"/>
        <scheme val="minor"/>
      </rPr>
      <t>郑</t>
    </r>
    <r>
      <rPr>
        <sz val="11"/>
        <color theme="1"/>
        <rFont val="ＭＳ Ｐゴシック"/>
        <family val="3"/>
        <charset val="128"/>
        <scheme val="minor"/>
      </rPr>
      <t>和文化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</si>
  <si>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米酒; 白酒; 高粱酒;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</t>
    </r>
  </si>
  <si>
    <t>雄代翠</t>
  </si>
  <si>
    <r>
      <t>莫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元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</si>
  <si>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苦味酒;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</si>
  <si>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翼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</si>
  <si>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广州翼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控股有限公司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</si>
  <si>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黄酒; 甜酒; 果酒（含酒精）; 米酒; 威士忌;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</si>
  <si>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陈长发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</si>
  <si>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</si>
  <si>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t>良御医</t>
  </si>
  <si>
    <t>黄萍</t>
  </si>
  <si>
    <t>清酒; 米酒; 黄酒; 白酒; 威士忌; 草本型利口酒; 葡萄酒; 甜酒; 汽酒; 果酒</t>
  </si>
  <si>
    <r>
      <t>紫</t>
    </r>
    <r>
      <rPr>
        <sz val="11"/>
        <color theme="1"/>
        <rFont val="ＭＳ Ｐゴシック"/>
        <family val="3"/>
        <charset val="134"/>
        <scheme val="minor"/>
      </rPr>
      <t>壶谣</t>
    </r>
  </si>
  <si>
    <r>
      <t>彭国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</si>
  <si>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威士忌; 果酒（含酒精）;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</t>
    </r>
  </si>
  <si>
    <t>皇本</t>
  </si>
  <si>
    <r>
      <t>餐后酒（利口酒和烈酒）;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威士忌; 果酒（含酒精）; 葡萄酒</t>
    </r>
  </si>
  <si>
    <r>
      <t>火焰</t>
    </r>
    <r>
      <rPr>
        <sz val="11"/>
        <color theme="1"/>
        <rFont val="ＭＳ Ｐゴシック"/>
        <family val="3"/>
        <charset val="134"/>
        <scheme val="minor"/>
      </rPr>
      <t>铁</t>
    </r>
    <r>
      <rPr>
        <sz val="11"/>
        <color theme="1"/>
        <rFont val="ＭＳ Ｐゴシック"/>
        <family val="3"/>
        <charset val="128"/>
        <scheme val="minor"/>
      </rPr>
      <t>扇娘子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</si>
  <si>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 xml:space="preserve">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米酒;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</t>
    </r>
  </si>
  <si>
    <t>火焰童子</t>
  </si>
  <si>
    <r>
      <t xml:space="preserve">清酒;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</si>
  <si>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米小牛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</si>
  <si>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郑东</t>
    </r>
    <r>
      <rPr>
        <sz val="11"/>
        <color theme="1"/>
        <rFont val="ＭＳ Ｐゴシック"/>
        <family val="3"/>
        <charset val="128"/>
        <scheme val="minor"/>
      </rPr>
      <t>新区静姐米</t>
    </r>
    <r>
      <rPr>
        <sz val="11"/>
        <color theme="1"/>
        <rFont val="ＭＳ Ｐゴシック"/>
        <family val="3"/>
        <charset val="134"/>
        <scheme val="minor"/>
      </rPr>
      <t>酿饮</t>
    </r>
    <r>
      <rPr>
        <sz val="11"/>
        <color theme="1"/>
        <rFont val="ＭＳ Ｐゴシック"/>
        <family val="3"/>
        <charset val="128"/>
        <scheme val="minor"/>
      </rPr>
      <t>品店(个体工商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)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</si>
  <si>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清酒（日本米酒）; 果酒; 利口酒;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日式甜米酒;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果酒（含酒精）</t>
    </r>
  </si>
  <si>
    <t>心酬</t>
  </si>
  <si>
    <r>
      <t>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白酒; 梨酒; 果酒（含酒精）; 伏特加酒</t>
    </r>
  </si>
  <si>
    <r>
      <t>泰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金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</si>
  <si>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</si>
  <si>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铭</t>
    </r>
    <r>
      <rPr>
        <sz val="11"/>
        <color theme="1"/>
        <rFont val="ＭＳ Ｐゴシック"/>
        <family val="3"/>
        <charset val="128"/>
        <scheme val="minor"/>
      </rPr>
      <t>主角</t>
    </r>
  </si>
  <si>
    <r>
      <t>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黄酒; 果酒（含酒精）; 米酒</t>
    </r>
  </si>
  <si>
    <t>儒王者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</si>
  <si>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餐后酒（利口酒和烈酒）; 葡萄酒; 青稞酒; 清酒（日本米酒）; 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</si>
  <si>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邓</t>
    </r>
    <r>
      <rPr>
        <sz val="11"/>
        <color theme="1"/>
        <rFont val="ＭＳ Ｐゴシック"/>
        <family val="3"/>
        <charset val="128"/>
        <scheme val="minor"/>
      </rPr>
      <t>可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</si>
  <si>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江</t>
    </r>
  </si>
  <si>
    <t>白酒; 高粱酒; 食用酒精; 葡萄汽酒; 五加皮酒（中国混合烈酒）; 蒸煮提取物（利口酒和烈酒）; 果酒; 葡萄酒; 青稞酒; 薄荷酒</t>
  </si>
  <si>
    <t>沧润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</si>
  <si>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烈酒; 果酒;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甜酒; 清酒（日本米酒）</t>
    </r>
  </si>
  <si>
    <t>佩玥</t>
  </si>
  <si>
    <r>
      <t>骏</t>
    </r>
    <r>
      <rPr>
        <sz val="11"/>
        <color theme="1"/>
        <rFont val="ＭＳ Ｐゴシック"/>
        <family val="3"/>
        <charset val="128"/>
        <scheme val="minor"/>
      </rPr>
      <t>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</si>
  <si>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汽酒; 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起泡白葡萄酒; 含酒精的气泡水;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不起泡葡萄酒</t>
    </r>
  </si>
  <si>
    <r>
      <t>坛</t>
    </r>
    <r>
      <rPr>
        <sz val="11"/>
        <color theme="1"/>
        <rFont val="ＭＳ Ｐゴシック"/>
        <family val="3"/>
        <charset val="128"/>
        <scheme val="minor"/>
      </rPr>
      <t>大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</si>
  <si>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成都市君</t>
    </r>
    <r>
      <rPr>
        <sz val="11"/>
        <color theme="1"/>
        <rFont val="ＭＳ Ｐゴシック"/>
        <family val="3"/>
        <charset val="134"/>
        <scheme val="minor"/>
      </rPr>
      <t>腾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</si>
  <si>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青稞酒;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开胃酒; 苦味酒</t>
    </r>
  </si>
  <si>
    <t>沽明月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</si>
  <si>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州元黔酒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</si>
  <si>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米酒;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烈酒</t>
    </r>
  </si>
  <si>
    <t>草原啊甘</t>
  </si>
  <si>
    <t>鲍晓凯</t>
  </si>
  <si>
    <r>
      <t xml:space="preserve">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米酒; 青稞酒; 食用酒精</t>
    </r>
  </si>
  <si>
    <t>花千溪</t>
  </si>
  <si>
    <r>
      <t>花千溪（洛阳）水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</si>
  <si>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</si>
  <si>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双套江南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</si>
  <si>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汽酒</t>
    </r>
  </si>
  <si>
    <t>天地礼</t>
  </si>
  <si>
    <r>
      <t>谭</t>
    </r>
    <r>
      <rPr>
        <sz val="11"/>
        <color theme="1"/>
        <rFont val="ＭＳ Ｐゴシック"/>
        <family val="3"/>
        <charset val="128"/>
        <scheme val="minor"/>
      </rPr>
      <t>清霞</t>
    </r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</si>
  <si>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葡萄酒; 黄酒</t>
    </r>
  </si>
  <si>
    <r>
      <t>渝</t>
    </r>
    <r>
      <rPr>
        <sz val="11"/>
        <color theme="1"/>
        <rFont val="ＭＳ Ｐゴシック"/>
        <family val="3"/>
        <charset val="134"/>
        <scheme val="minor"/>
      </rPr>
      <t>铂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</si>
  <si>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渝</t>
    </r>
    <r>
      <rPr>
        <sz val="11"/>
        <color theme="1"/>
        <rFont val="ＭＳ Ｐゴシック"/>
        <family val="3"/>
        <charset val="134"/>
        <scheme val="minor"/>
      </rPr>
      <t>铂</t>
    </r>
    <r>
      <rPr>
        <sz val="11"/>
        <color theme="1"/>
        <rFont val="ＭＳ Ｐゴシック"/>
        <family val="3"/>
        <charset val="128"/>
        <scheme val="minor"/>
      </rPr>
      <t>有品科技有限公司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</si>
  <si>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苹果酒; 威士忌; 葡萄酒;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白酒</t>
    </r>
  </si>
  <si>
    <t>匡王儒</t>
  </si>
  <si>
    <r>
      <t>米酒; 白酒;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</si>
  <si>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CARROFAN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</si>
  <si>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</si>
  <si>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藏逍</t>
  </si>
  <si>
    <t>朱勇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</si>
  <si>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黄酒; 威士忌; 葡萄酒</t>
    </r>
  </si>
  <si>
    <t>金呷七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</si>
  <si>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利口酒; 伏特加酒;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</si>
  <si>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汉莲华</t>
    </r>
    <r>
      <rPr>
        <sz val="11"/>
        <color theme="1"/>
        <rFont val="ＭＳ Ｐゴシック"/>
        <family val="3"/>
        <charset val="128"/>
        <scheme val="minor"/>
      </rPr>
      <t>寺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</si>
  <si>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露酒;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果酒（含酒精）; 黄酒</t>
    </r>
  </si>
  <si>
    <t>酌姿情</t>
  </si>
  <si>
    <r>
      <t>内蒙古云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达信息技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</si>
  <si>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白干酒（中国白酒）;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露酒; 葡萄酒; 果酒（含酒精）</t>
    </r>
  </si>
  <si>
    <t>川谷福</t>
  </si>
  <si>
    <r>
      <t>吴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芝</t>
    </r>
  </si>
  <si>
    <r>
      <t xml:space="preserve">果酒（含酒精）; 青稞酒; 清酒（日本米酒）;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葡萄酒;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</si>
  <si>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甄</t>
    </r>
    <r>
      <rPr>
        <sz val="11"/>
        <color theme="1"/>
        <rFont val="ＭＳ Ｐゴシック"/>
        <family val="3"/>
        <charset val="134"/>
        <scheme val="minor"/>
      </rPr>
      <t>检</t>
    </r>
    <r>
      <rPr>
        <sz val="11"/>
        <color theme="1"/>
        <rFont val="ＭＳ Ｐゴシック"/>
        <family val="3"/>
        <charset val="128"/>
        <scheme val="minor"/>
      </rPr>
      <t>宜信</t>
    </r>
  </si>
  <si>
    <r>
      <t>北京中云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检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</si>
  <si>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伏特加酒; 葡萄酒; 白酒; 果酒（含酒精）;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</t>
    </r>
  </si>
  <si>
    <r>
      <t>四川蜀果酒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</si>
  <si>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烈酒;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</si>
  <si>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芳伏羲</t>
    </r>
  </si>
  <si>
    <r>
      <t>吕</t>
    </r>
    <r>
      <rPr>
        <sz val="11"/>
        <color theme="1"/>
        <rFont val="ＭＳ Ｐゴシック"/>
        <family val="3"/>
        <charset val="128"/>
        <scheme val="minor"/>
      </rPr>
      <t>培逵</t>
    </r>
  </si>
  <si>
    <r>
      <t>蜂蜜酒;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苦味酒;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开胃酒</t>
    </r>
  </si>
  <si>
    <t>合力晟</t>
  </si>
  <si>
    <t>刘春清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</si>
  <si>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</t>
    </r>
  </si>
  <si>
    <r>
      <t>强</t>
    </r>
    <r>
      <rPr>
        <sz val="11"/>
        <color theme="1"/>
        <rFont val="ＭＳ Ｐゴシック"/>
        <family val="3"/>
        <charset val="128"/>
        <scheme val="minor"/>
      </rPr>
      <t>元</t>
    </r>
  </si>
  <si>
    <r>
      <t>四川川佬九酒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</si>
  <si>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葡萄酒;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黄酒</t>
    </r>
  </si>
  <si>
    <t>酉天波</t>
  </si>
  <si>
    <r>
      <t>杨</t>
    </r>
    <r>
      <rPr>
        <sz val="11"/>
        <color theme="1"/>
        <rFont val="ＭＳ Ｐゴシック"/>
        <family val="3"/>
        <charset val="128"/>
        <scheme val="minor"/>
      </rPr>
      <t>浩康</t>
    </r>
  </si>
  <si>
    <r>
      <t>薄荷酒;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黄酒; 含酒精的气泡水; 果酒（含酒精）; 米酒;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</t>
    </r>
  </si>
  <si>
    <r>
      <t>宸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九五至尊</t>
    </r>
  </si>
  <si>
    <r>
      <t>史</t>
    </r>
    <r>
      <rPr>
        <sz val="11"/>
        <color theme="1"/>
        <rFont val="ＭＳ Ｐゴシック"/>
        <family val="3"/>
        <charset val="134"/>
        <scheme val="minor"/>
      </rPr>
      <t>晓东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</si>
  <si>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汽酒; 黄酒; 白酒</t>
    </r>
  </si>
  <si>
    <r>
      <t>天山交</t>
    </r>
    <r>
      <rPr>
        <sz val="11"/>
        <color theme="1"/>
        <rFont val="ＭＳ Ｐゴシック"/>
        <family val="3"/>
        <charset val="134"/>
        <scheme val="minor"/>
      </rPr>
      <t>联</t>
    </r>
  </si>
  <si>
    <r>
      <t>王献</t>
    </r>
    <r>
      <rPr>
        <sz val="11"/>
        <color theme="1"/>
        <rFont val="ＭＳ Ｐゴシック"/>
        <family val="3"/>
        <charset val="134"/>
        <scheme val="minor"/>
      </rPr>
      <t>锁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</si>
  <si>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黄酒</t>
    </r>
  </si>
  <si>
    <r>
      <t>百</t>
    </r>
    <r>
      <rPr>
        <sz val="11"/>
        <color theme="1"/>
        <rFont val="ＭＳ Ｐゴシック"/>
        <family val="3"/>
        <charset val="134"/>
        <scheme val="minor"/>
      </rPr>
      <t>坛</t>
    </r>
    <r>
      <rPr>
        <sz val="11"/>
        <color theme="1"/>
        <rFont val="ＭＳ Ｐゴシック"/>
        <family val="3"/>
        <charset val="128"/>
        <scheme val="minor"/>
      </rPr>
      <t>尽</t>
    </r>
    <r>
      <rPr>
        <sz val="11"/>
        <color theme="1"/>
        <rFont val="ＭＳ Ｐゴシック"/>
        <family val="3"/>
        <charset val="134"/>
        <scheme val="minor"/>
      </rPr>
      <t>欢</t>
    </r>
  </si>
  <si>
    <t>秦坤</t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</si>
  <si>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清酒（日本米酒）;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米酒; 汽酒</t>
    </r>
  </si>
  <si>
    <t>敷特佳</t>
  </si>
  <si>
    <r>
      <t>哈</t>
    </r>
    <r>
      <rPr>
        <sz val="11"/>
        <color theme="1"/>
        <rFont val="ＭＳ Ｐゴシック"/>
        <family val="3"/>
        <charset val="134"/>
        <scheme val="minor"/>
      </rPr>
      <t>尔滨</t>
    </r>
    <r>
      <rPr>
        <sz val="11"/>
        <color theme="1"/>
        <rFont val="ＭＳ Ｐゴシック"/>
        <family val="3"/>
        <charset val="128"/>
        <scheme val="minor"/>
      </rPr>
      <t>敷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佳科技股份有限公司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</si>
  <si>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水果汽酒; 果酒（含酒精）; 蜂蜜酒;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麦芽威士忌; 草莓酒</t>
    </r>
  </si>
  <si>
    <t>浅得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</si>
  <si>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米酒;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烈酒; 白酒; 汽酒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</si>
  <si>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屿</t>
    </r>
    <r>
      <rPr>
        <sz val="11"/>
        <color theme="1"/>
        <rFont val="ＭＳ Ｐゴシック"/>
        <family val="3"/>
        <charset val="128"/>
        <scheme val="minor"/>
      </rPr>
      <t>醇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</si>
  <si>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</si>
  <si>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葡萄酒; 米酒; 黄酒</t>
    </r>
  </si>
  <si>
    <r>
      <t>颂</t>
    </r>
    <r>
      <rPr>
        <sz val="11"/>
        <color theme="1"/>
        <rFont val="ＭＳ Ｐゴシック"/>
        <family val="3"/>
        <charset val="128"/>
        <scheme val="minor"/>
      </rPr>
      <t>海福</t>
    </r>
  </si>
  <si>
    <t>孟令全</t>
  </si>
  <si>
    <r>
      <t xml:space="preserve">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清酒（日本米酒）; 开胃酒; 米酒; 利口酒</t>
    </r>
  </si>
  <si>
    <r>
      <t>神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万家</t>
    </r>
  </si>
  <si>
    <r>
      <t>安徽神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肉制品有限公司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</si>
  <si>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青稞酒;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</si>
  <si>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遵品湖</t>
  </si>
  <si>
    <r>
      <t>周</t>
    </r>
    <r>
      <rPr>
        <sz val="11"/>
        <color theme="1"/>
        <rFont val="ＭＳ Ｐゴシック"/>
        <family val="3"/>
        <charset val="134"/>
        <scheme val="minor"/>
      </rPr>
      <t>银</t>
    </r>
  </si>
  <si>
    <r>
      <t xml:space="preserve">白干酒（中国白酒）;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高粱酒;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烈酒;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</si>
  <si>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梅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芳庭</t>
    </r>
  </si>
  <si>
    <r>
      <t>大理市梅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芳庭餐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店（个体工商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</si>
  <si>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果酒（含酒精）</t>
    </r>
  </si>
  <si>
    <r>
      <t>合肥海恒控股集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</si>
  <si>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</t>
    </r>
  </si>
  <si>
    <r>
      <t>牧云</t>
    </r>
    <r>
      <rPr>
        <sz val="11"/>
        <color theme="1"/>
        <rFont val="ＭＳ Ｐゴシック"/>
        <family val="3"/>
        <charset val="134"/>
        <scheme val="minor"/>
      </rPr>
      <t>图</t>
    </r>
  </si>
  <si>
    <r>
      <t>葡萄酒;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</t>
    </r>
  </si>
  <si>
    <t>醉羿</t>
  </si>
  <si>
    <t>王加加</t>
  </si>
  <si>
    <r>
      <t xml:space="preserve">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清酒（日本米酒）; 高粱酒; 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</si>
  <si>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沃朗森</t>
  </si>
  <si>
    <t>章建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</si>
  <si>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黄酒;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</si>
  <si>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浙江</t>
    </r>
    <r>
      <rPr>
        <sz val="11"/>
        <color theme="1"/>
        <rFont val="ＭＳ Ｐゴシック"/>
        <family val="3"/>
        <charset val="134"/>
        <scheme val="minor"/>
      </rPr>
      <t>练</t>
    </r>
    <r>
      <rPr>
        <sz val="11"/>
        <color theme="1"/>
        <rFont val="ＭＳ Ｐゴシック"/>
        <family val="3"/>
        <charset val="128"/>
        <scheme val="minor"/>
      </rPr>
      <t>市酒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</si>
  <si>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苹果酒; 五加皮酒（中国混合烈酒）; 露酒; 白酒; 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</t>
    </r>
  </si>
  <si>
    <t>道生怡</t>
  </si>
  <si>
    <r>
      <t>绵</t>
    </r>
    <r>
      <rPr>
        <sz val="11"/>
        <color theme="1"/>
        <rFont val="ＭＳ Ｐゴシック"/>
        <family val="3"/>
        <charset val="128"/>
        <scheme val="minor"/>
      </rPr>
      <t>竹市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</si>
  <si>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黄酒; 开胃酒;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</si>
  <si>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成都</t>
    </r>
    <r>
      <rPr>
        <sz val="11"/>
        <color theme="1"/>
        <rFont val="ＭＳ Ｐゴシック"/>
        <family val="3"/>
        <charset val="134"/>
        <scheme val="minor"/>
      </rPr>
      <t>宽</t>
    </r>
    <r>
      <rPr>
        <sz val="11"/>
        <color theme="1"/>
        <rFont val="ＭＳ Ｐゴシック"/>
        <family val="3"/>
        <charset val="128"/>
        <scheme val="minor"/>
      </rPr>
      <t>窄美食投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</si>
  <si>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威士忌; 果酒; 米酒;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</si>
  <si>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极樽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</si>
  <si>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汽酒; 果酒（含酒精）</t>
    </r>
  </si>
  <si>
    <t>奉有余</t>
  </si>
  <si>
    <r>
      <t>河南花</t>
    </r>
    <r>
      <rPr>
        <sz val="11"/>
        <color theme="1"/>
        <rFont val="ＭＳ Ｐゴシック"/>
        <family val="3"/>
        <charset val="134"/>
        <scheme val="minor"/>
      </rPr>
      <t>间</t>
    </r>
    <r>
      <rPr>
        <sz val="11"/>
        <color theme="1"/>
        <rFont val="ＭＳ Ｐゴシック"/>
        <family val="3"/>
        <charset val="128"/>
        <scheme val="minor"/>
      </rPr>
      <t>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</si>
  <si>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</si>
  <si>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r>
      <t>顺</t>
    </r>
    <r>
      <rPr>
        <sz val="11"/>
        <color theme="1"/>
        <rFont val="ＭＳ Ｐゴシック"/>
        <family val="3"/>
        <charset val="128"/>
        <scheme val="minor"/>
      </rPr>
      <t>善康</t>
    </r>
  </si>
  <si>
    <r>
      <t>广州市泰丰堂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养健康信息咨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</si>
  <si>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果酒;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</si>
  <si>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酉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府家</t>
    </r>
  </si>
  <si>
    <r>
      <t>果酒（含酒精）; 含酒精的气泡水; 白酒; 果酒; 青稞酒; 薄荷酒;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</si>
  <si>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匠之魁</t>
  </si>
  <si>
    <t>曹津雨</t>
  </si>
  <si>
    <r>
      <t>烈酒; 高粱酒; 利口酒;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</si>
  <si>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绰</t>
    </r>
  </si>
  <si>
    <r>
      <t>太原市万柏林区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志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)</t>
    </r>
  </si>
  <si>
    <r>
      <t xml:space="preserve">葡萄酒; 梅酒;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威士忌</t>
    </r>
  </si>
  <si>
    <t>云水臻</t>
  </si>
  <si>
    <r>
      <t>周口喜相逢酒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</si>
  <si>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高粱酒; 葡萄酒;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</si>
  <si>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r>
      <t>周氏</t>
    </r>
    <r>
      <rPr>
        <sz val="11"/>
        <color theme="1"/>
        <rFont val="ＭＳ Ｐゴシック"/>
        <family val="3"/>
        <charset val="134"/>
        <scheme val="minor"/>
      </rPr>
      <t>细</t>
    </r>
    <r>
      <rPr>
        <sz val="11"/>
        <color theme="1"/>
        <rFont val="ＭＳ Ｐゴシック"/>
        <family val="3"/>
        <charset val="128"/>
        <scheme val="minor"/>
      </rPr>
      <t>柳堂</t>
    </r>
  </si>
  <si>
    <t>安徽誉善堂健康科技有限公司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</si>
  <si>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果酒（含酒精）; 白酒;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</si>
  <si>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衡</t>
    </r>
    <r>
      <rPr>
        <sz val="11"/>
        <color theme="1"/>
        <rFont val="ＭＳ Ｐゴシック"/>
        <family val="3"/>
        <charset val="134"/>
        <scheme val="minor"/>
      </rPr>
      <t>齐烧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</si>
  <si>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 xml:space="preserve">果酒; 白酒;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梅酒</t>
    </r>
  </si>
  <si>
    <t>君王黔</t>
  </si>
  <si>
    <t>王三姐</t>
  </si>
  <si>
    <r>
      <t>葡萄酒;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伏特加酒; 汽酒; 清酒（日本米酒）; 烈酒</t>
    </r>
  </si>
  <si>
    <r>
      <t>匠之</t>
    </r>
    <r>
      <rPr>
        <sz val="11"/>
        <color theme="1"/>
        <rFont val="ＭＳ Ｐゴシック"/>
        <family val="3"/>
        <charset val="134"/>
        <scheme val="minor"/>
      </rPr>
      <t>华</t>
    </r>
  </si>
  <si>
    <t>白会芹</t>
  </si>
  <si>
    <r>
      <t>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利口酒</t>
    </r>
  </si>
  <si>
    <r>
      <t>纳</t>
    </r>
    <r>
      <rPr>
        <sz val="11"/>
        <color theme="1"/>
        <rFont val="ＭＳ Ｐゴシック"/>
        <family val="3"/>
        <charset val="128"/>
        <scheme val="minor"/>
      </rPr>
      <t>今</t>
    </r>
  </si>
  <si>
    <r>
      <t>康</t>
    </r>
    <r>
      <rPr>
        <sz val="11"/>
        <color theme="1"/>
        <rFont val="ＭＳ Ｐゴシック"/>
        <family val="3"/>
        <charset val="134"/>
        <scheme val="minor"/>
      </rPr>
      <t>晓丽</t>
    </r>
  </si>
  <si>
    <r>
      <t>开胃酒; 威士忌;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</si>
  <si>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柳海燕</t>
  </si>
  <si>
    <r>
      <t>宁波</t>
    </r>
    <r>
      <rPr>
        <sz val="11"/>
        <color theme="1"/>
        <rFont val="ＭＳ Ｐゴシック"/>
        <family val="3"/>
        <charset val="134"/>
        <scheme val="minor"/>
      </rPr>
      <t>赟</t>
    </r>
    <r>
      <rPr>
        <sz val="11"/>
        <color theme="1"/>
        <rFont val="ＭＳ Ｐゴシック"/>
        <family val="3"/>
        <charset val="128"/>
        <scheme val="minor"/>
      </rPr>
      <t>鑫国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</si>
  <si>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黄酒; 青稞酒;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</si>
  <si>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窝头</t>
    </r>
    <r>
      <rPr>
        <sz val="11"/>
        <color theme="1"/>
        <rFont val="ＭＳ Ｐゴシック"/>
        <family val="3"/>
        <charset val="128"/>
        <scheme val="minor"/>
      </rPr>
      <t>河</t>
    </r>
  </si>
  <si>
    <r>
      <t>天津市通惠</t>
    </r>
    <r>
      <rPr>
        <sz val="11"/>
        <color theme="1"/>
        <rFont val="ＭＳ Ｐゴシック"/>
        <family val="3"/>
        <charset val="134"/>
        <scheme val="minor"/>
      </rPr>
      <t>线业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</si>
  <si>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白酒; 清酒; 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青稞酒</t>
    </r>
  </si>
  <si>
    <t>金源春</t>
  </si>
  <si>
    <t>四川省崇州市金源酒厂</t>
  </si>
  <si>
    <r>
      <t>白干酒（中国白酒）;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清酒（日本米酒）;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</si>
  <si>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布达雪域</t>
  </si>
  <si>
    <t>王虎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</si>
  <si>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青稞酒;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白酒; 食用酒精;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</si>
  <si>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澳富麒麟</t>
  </si>
  <si>
    <t>王波</t>
  </si>
  <si>
    <r>
      <t>黄酒; 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</t>
    </r>
  </si>
  <si>
    <t>央普</t>
  </si>
  <si>
    <t>四川央普生物科技股份有限公司</t>
  </si>
  <si>
    <r>
      <t>葡萄酒;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含酒精的气泡水; 白酒; 威士忌; 果酒（含酒精）</t>
    </r>
  </si>
  <si>
    <r>
      <t>赋欢</t>
    </r>
    <r>
      <rPr>
        <sz val="11"/>
        <color theme="1"/>
        <rFont val="ＭＳ Ｐゴシック"/>
        <family val="3"/>
        <charset val="128"/>
        <scheme val="minor"/>
      </rPr>
      <t>言</t>
    </r>
  </si>
  <si>
    <r>
      <t>黄酒; 青稞酒; 白酒; 食用酒精;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</si>
  <si>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极福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来</t>
    </r>
  </si>
  <si>
    <t>潘昱卉</t>
  </si>
  <si>
    <r>
      <t xml:space="preserve">薄荷酒;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威士忌;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</t>
    </r>
  </si>
  <si>
    <t>深佳瑶</t>
  </si>
  <si>
    <r>
      <t>深圳市佳瑶供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</si>
  <si>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</si>
  <si>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威士忌; 米酒; 果酒（含酒精）; 梅酒;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</si>
  <si>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唐膳美</t>
  </si>
  <si>
    <t>李奥</t>
  </si>
  <si>
    <r>
      <t xml:space="preserve">清酒（日本米酒）; 白酒;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梅酒; 果酒（含酒精）; 威士忌; 米酒</t>
    </r>
  </si>
  <si>
    <t>茗留香</t>
  </si>
  <si>
    <r>
      <t>深圳市茗留香投</t>
    </r>
    <r>
      <rPr>
        <sz val="11"/>
        <color theme="1"/>
        <rFont val="ＭＳ Ｐゴシック"/>
        <family val="3"/>
        <charset val="134"/>
        <scheme val="minor"/>
      </rPr>
      <t>资发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</si>
  <si>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威士忌;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甜果酒;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</si>
  <si>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见盏</t>
  </si>
  <si>
    <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汽酒; 烈酒; 白酒; 清酒（日本米酒）; 威士忌</t>
    </r>
  </si>
  <si>
    <r>
      <t>三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拱</t>
    </r>
  </si>
  <si>
    <r>
      <t>湘潭市三拱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</si>
  <si>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</t>
    </r>
  </si>
  <si>
    <t>芙中芙</t>
  </si>
  <si>
    <r>
      <t>湖南清山月茶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</si>
  <si>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米酒; 开胃酒; 白酒; 混合威士忌酒;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汽酒; 果酒（含酒精）; 葡萄酒; 烈酒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</si>
  <si>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仙</t>
    </r>
    <r>
      <rPr>
        <sz val="11"/>
        <color theme="1"/>
        <rFont val="ＭＳ Ｐゴシック"/>
        <family val="3"/>
        <charset val="134"/>
        <scheme val="minor"/>
      </rPr>
      <t>鹊</t>
    </r>
  </si>
  <si>
    <r>
      <t>开胃酒;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</si>
  <si>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辰世</t>
  </si>
  <si>
    <r>
      <t>深圳辰世企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</si>
  <si>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梅酒;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青梅酒; 黄酒</t>
    </r>
  </si>
  <si>
    <r>
      <t>潇</t>
    </r>
    <r>
      <rPr>
        <sz val="11"/>
        <color theme="1"/>
        <rFont val="ＭＳ Ｐゴシック"/>
        <family val="3"/>
        <charset val="128"/>
        <scheme val="minor"/>
      </rPr>
      <t>湘</t>
    </r>
    <r>
      <rPr>
        <sz val="11"/>
        <color theme="1"/>
        <rFont val="ＭＳ Ｐゴシック"/>
        <family val="3"/>
        <charset val="134"/>
        <scheme val="minor"/>
      </rPr>
      <t>汇</t>
    </r>
  </si>
  <si>
    <r>
      <t>北京超神</t>
    </r>
    <r>
      <rPr>
        <sz val="11"/>
        <color theme="1"/>
        <rFont val="ＭＳ Ｐゴシック"/>
        <family val="3"/>
        <charset val="134"/>
        <scheme val="minor"/>
      </rPr>
      <t>艺联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</si>
  <si>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果酒（含酒精）; 威士忌; 白酒;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</si>
  <si>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畅</t>
    </r>
    <r>
      <rPr>
        <sz val="11"/>
        <color theme="1"/>
        <rFont val="ＭＳ Ｐゴシック"/>
        <family val="3"/>
        <charset val="128"/>
        <scheme val="minor"/>
      </rPr>
      <t>山川</t>
    </r>
  </si>
  <si>
    <t>徐子霞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</si>
  <si>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葡萄酒; 果酒（含酒精）; 白酒; 威士忌;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梅酒; 米酒</t>
    </r>
  </si>
  <si>
    <r>
      <t>林</t>
    </r>
    <r>
      <rPr>
        <sz val="11"/>
        <color theme="1"/>
        <rFont val="ＭＳ Ｐゴシック"/>
        <family val="3"/>
        <charset val="134"/>
        <scheme val="minor"/>
      </rPr>
      <t>沧</t>
    </r>
    <r>
      <rPr>
        <sz val="11"/>
        <color theme="1"/>
        <rFont val="ＭＳ Ｐゴシック"/>
        <family val="3"/>
        <charset val="128"/>
        <scheme val="minor"/>
      </rPr>
      <t>精耘</t>
    </r>
  </si>
  <si>
    <r>
      <t>林</t>
    </r>
    <r>
      <rPr>
        <sz val="11"/>
        <color theme="1"/>
        <rFont val="ＭＳ Ｐゴシック"/>
        <family val="3"/>
        <charset val="134"/>
        <scheme val="minor"/>
      </rPr>
      <t>沧</t>
    </r>
    <r>
      <rPr>
        <sz val="11"/>
        <color theme="1"/>
        <rFont val="ＭＳ Ｐゴシック"/>
        <family val="3"/>
        <charset val="128"/>
        <scheme val="minor"/>
      </rPr>
      <t>精耘(云南)商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</si>
  <si>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威士忌;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</si>
  <si>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亦藏</t>
  </si>
  <si>
    <r>
      <t>清酒（日本米酒）; 烈酒; 米酒;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汽酒; 白酒; 果酒（含酒精）</t>
    </r>
  </si>
  <si>
    <t>百封藏</t>
  </si>
  <si>
    <r>
      <t>威士忌; 汽酒; 烈酒;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清酒（日本米酒）; 白酒</t>
    </r>
  </si>
  <si>
    <r>
      <t>道生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</si>
  <si>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葡萄酒; 黄酒; 开胃酒;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</si>
  <si>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得界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</si>
  <si>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烈酒; 白酒; 果酒（含酒精）; 汽酒</t>
    </r>
  </si>
  <si>
    <r>
      <t>言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匠星</t>
    </r>
  </si>
  <si>
    <r>
      <t>南平市</t>
    </r>
    <r>
      <rPr>
        <sz val="11"/>
        <color theme="1"/>
        <rFont val="ＭＳ Ｐゴシック"/>
        <family val="3"/>
        <charset val="134"/>
        <scheme val="minor"/>
      </rPr>
      <t>汤</t>
    </r>
    <r>
      <rPr>
        <sz val="11"/>
        <color theme="1"/>
        <rFont val="ＭＳ Ｐゴシック"/>
        <family val="3"/>
        <charset val="128"/>
        <scheme val="minor"/>
      </rPr>
      <t>氏食品有限公司</t>
    </r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</si>
  <si>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威士忌; 葡萄酒; 果酒; 露酒; 汽酒; 米酒</t>
    </r>
  </si>
  <si>
    <r>
      <t>韦帅</t>
    </r>
    <r>
      <rPr>
        <sz val="11"/>
        <color theme="1"/>
        <rFont val="ＭＳ Ｐゴシック"/>
        <family val="3"/>
        <charset val="128"/>
        <scheme val="minor"/>
      </rPr>
      <t>杰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</si>
  <si>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下</t>
    </r>
    <r>
      <rPr>
        <sz val="11"/>
        <color theme="1"/>
        <rFont val="ＭＳ Ｐゴシック"/>
        <family val="3"/>
        <charset val="134"/>
        <scheme val="minor"/>
      </rPr>
      <t>帅乡帅</t>
    </r>
    <r>
      <rPr>
        <sz val="11"/>
        <color theme="1"/>
        <rFont val="ＭＳ Ｐゴシック"/>
        <family val="3"/>
        <charset val="128"/>
        <scheme val="minor"/>
      </rPr>
      <t>杰民族特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店（个体工商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</si>
  <si>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黄酒; 利口酒;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</si>
  <si>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此</t>
    </r>
    <r>
      <rPr>
        <sz val="11"/>
        <color theme="1"/>
        <rFont val="ＭＳ Ｐゴシック"/>
        <family val="3"/>
        <charset val="134"/>
        <scheme val="minor"/>
      </rPr>
      <t>岁</t>
    </r>
  </si>
  <si>
    <r>
      <t>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清酒（日本米酒）; 白酒; 果酒（含酒精）; 烈酒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</si>
  <si>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葡萄酒;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</si>
  <si>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凰策</t>
    </r>
  </si>
  <si>
    <r>
      <t>太原市小店区森吉妙百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)</t>
    </r>
  </si>
  <si>
    <r>
      <t>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白酒; 梅酒;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</si>
  <si>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赖</t>
    </r>
    <r>
      <rPr>
        <sz val="11"/>
        <color theme="1"/>
        <rFont val="ＭＳ Ｐゴシック"/>
        <family val="3"/>
        <charset val="128"/>
        <scheme val="minor"/>
      </rPr>
      <t>勇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</si>
  <si>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汽酒; 食用酒精; 葡萄酒; 黄酒; 白酒;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</si>
  <si>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邻</t>
    </r>
    <r>
      <rPr>
        <sz val="11"/>
        <color theme="1"/>
        <rFont val="ＭＳ Ｐゴシック"/>
        <family val="3"/>
        <charset val="128"/>
        <scheme val="minor"/>
      </rPr>
      <t>樽台</t>
    </r>
  </si>
  <si>
    <r>
      <t>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</t>
    </r>
  </si>
  <si>
    <t>九仙林</t>
  </si>
  <si>
    <t>杭州九仙云谷科技有限公司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</si>
  <si>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米酒; 黄酒;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</si>
  <si>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锐</t>
    </r>
    <r>
      <rPr>
        <sz val="11"/>
        <color theme="1"/>
        <rFont val="ＭＳ Ｐゴシック"/>
        <family val="3"/>
        <charset val="128"/>
        <scheme val="minor"/>
      </rPr>
      <t>适</t>
    </r>
  </si>
  <si>
    <r>
      <t>合肥</t>
    </r>
    <r>
      <rPr>
        <sz val="11"/>
        <color theme="1"/>
        <rFont val="ＭＳ Ｐゴシック"/>
        <family val="3"/>
        <charset val="134"/>
        <scheme val="minor"/>
      </rPr>
      <t>锐</t>
    </r>
    <r>
      <rPr>
        <sz val="11"/>
        <color theme="1"/>
        <rFont val="ＭＳ Ｐゴシック"/>
        <family val="3"/>
        <charset val="128"/>
        <scheme val="minor"/>
      </rPr>
      <t>适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器有限公司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</si>
  <si>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</t>
    </r>
  </si>
  <si>
    <t>此章</t>
  </si>
  <si>
    <r>
      <t>威士忌; 汽酒;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烈酒; 果酒（含酒精）; 清酒（日本米酒）;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</si>
  <si>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楚</t>
    </r>
    <r>
      <rPr>
        <sz val="11"/>
        <color theme="1"/>
        <rFont val="ＭＳ Ｐゴシック"/>
        <family val="3"/>
        <charset val="134"/>
        <scheme val="minor"/>
      </rPr>
      <t>汉风</t>
    </r>
    <r>
      <rPr>
        <sz val="11"/>
        <color theme="1"/>
        <rFont val="ＭＳ Ｐゴシック"/>
        <family val="3"/>
        <charset val="128"/>
        <scheme val="minor"/>
      </rPr>
      <t xml:space="preserve">云 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盛</t>
    </r>
  </si>
  <si>
    <r>
      <t>烈酒;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高粱酒; 白酒</t>
    </r>
  </si>
  <si>
    <r>
      <t xml:space="preserve">水果汽酒; 白酒; 蜂蜜酒;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麦芽威士忌; 草莓酒;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</si>
  <si>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半</t>
    </r>
    <r>
      <rPr>
        <sz val="11"/>
        <color theme="1"/>
        <rFont val="ＭＳ Ｐゴシック"/>
        <family val="3"/>
        <charset val="134"/>
        <scheme val="minor"/>
      </rPr>
      <t>纸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</si>
  <si>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粮食品有限公司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</si>
  <si>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清酒;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黄酒; 开胃酒; 米酒</t>
    </r>
  </si>
  <si>
    <t>乾麻第</t>
  </si>
  <si>
    <r>
      <t>深圳市中道源生</t>
    </r>
    <r>
      <rPr>
        <sz val="11"/>
        <color theme="1"/>
        <rFont val="ＭＳ Ｐゴシック"/>
        <family val="3"/>
        <charset val="134"/>
        <scheme val="minor"/>
      </rPr>
      <t>态发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</si>
  <si>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甜果酒; 蜂蜜酒; 烈酒; 白酒; 黄酒; 威士忌</t>
    </r>
  </si>
  <si>
    <t>雪域冠羚</t>
  </si>
  <si>
    <t>祁民</t>
  </si>
  <si>
    <r>
      <t xml:space="preserve">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青稞酒;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白干酒（中国白酒）</t>
    </r>
  </si>
  <si>
    <t>十冀</t>
  </si>
  <si>
    <r>
      <t xml:space="preserve">威士忌; 蜂蜜酒;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黄酒;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甜果酒</t>
    </r>
  </si>
  <si>
    <r>
      <t>尽</t>
    </r>
    <r>
      <rPr>
        <sz val="11"/>
        <color theme="1"/>
        <rFont val="ＭＳ Ｐゴシック"/>
        <family val="3"/>
        <charset val="134"/>
        <scheme val="minor"/>
      </rPr>
      <t>盏</t>
    </r>
  </si>
  <si>
    <r>
      <t>威士忌; 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果酒（含酒精）; 烈酒;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</si>
  <si>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赤逸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</si>
  <si>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 xml:space="preserve">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黄酒; 葡萄酒</t>
    </r>
  </si>
  <si>
    <t>景霖</t>
  </si>
  <si>
    <r>
      <t>李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</si>
  <si>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</si>
  <si>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楚</t>
    </r>
    <r>
      <rPr>
        <sz val="11"/>
        <color theme="1"/>
        <rFont val="ＭＳ Ｐゴシック"/>
        <family val="3"/>
        <charset val="134"/>
        <scheme val="minor"/>
      </rPr>
      <t>汉风</t>
    </r>
    <r>
      <rPr>
        <sz val="11"/>
        <color theme="1"/>
        <rFont val="ＭＳ Ｐゴシック"/>
        <family val="3"/>
        <charset val="128"/>
        <scheme val="minor"/>
      </rPr>
      <t>云 悦享</t>
    </r>
  </si>
  <si>
    <r>
      <t>果酒（含酒精）; 高粱酒; 烈酒; 米酒;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</si>
  <si>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此呈</t>
  </si>
  <si>
    <r>
      <t>威士忌; 汽酒; 白酒; 清酒（日本米酒）;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</si>
  <si>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一公健</t>
  </si>
  <si>
    <r>
      <t>孟祥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</si>
  <si>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黄酒; 麦芽威士忌; 草莓酒; 烈酒;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</si>
  <si>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福大礼鼎</t>
  </si>
  <si>
    <r>
      <t>福鼎市天湖生</t>
    </r>
    <r>
      <rPr>
        <sz val="11"/>
        <color theme="1"/>
        <rFont val="ＭＳ Ｐゴシック"/>
        <family val="3"/>
        <charset val="134"/>
        <scheme val="minor"/>
      </rPr>
      <t>态农业专业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</si>
  <si>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</si>
  <si>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r>
      <t>酿</t>
    </r>
    <r>
      <rPr>
        <sz val="11"/>
        <color theme="1"/>
        <rFont val="ＭＳ Ｐゴシック"/>
        <family val="3"/>
        <charset val="128"/>
        <scheme val="minor"/>
      </rPr>
      <t>迹老</t>
    </r>
  </si>
  <si>
    <r>
      <t>成都九鼎酒酒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</si>
  <si>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米酒;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葡萄酒; 梅酒</t>
    </r>
  </si>
  <si>
    <r>
      <t>薏黔</t>
    </r>
    <r>
      <rPr>
        <sz val="11"/>
        <color theme="1"/>
        <rFont val="ＭＳ Ｐゴシック"/>
        <family val="3"/>
        <charset val="134"/>
        <scheme val="minor"/>
      </rPr>
      <t>诚</t>
    </r>
  </si>
  <si>
    <r>
      <t>兴</t>
    </r>
    <r>
      <rPr>
        <sz val="11"/>
        <color theme="1"/>
        <rFont val="ＭＳ Ｐゴシック"/>
        <family val="3"/>
        <charset val="128"/>
        <scheme val="minor"/>
      </rPr>
      <t>仁市薏黔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食品有限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</si>
  <si>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白酒;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果酒（含酒精）;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</si>
  <si>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向中果果</t>
  </si>
  <si>
    <r>
      <t>李向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</si>
  <si>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薄荷酒;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葡萄酒; 柑香酒</t>
    </r>
  </si>
  <si>
    <t>言界</t>
  </si>
  <si>
    <r>
      <t>白酒; 米酒; 清酒（日本米酒）;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烈酒; 葡萄酒; 果酒（含酒精）</t>
    </r>
  </si>
  <si>
    <r>
      <t>威利</t>
    </r>
    <r>
      <rPr>
        <sz val="11"/>
        <color theme="1"/>
        <rFont val="ＭＳ Ｐゴシック"/>
        <family val="3"/>
        <charset val="134"/>
        <scheme val="minor"/>
      </rPr>
      <t>仑</t>
    </r>
  </si>
  <si>
    <r>
      <t>周</t>
    </r>
    <r>
      <rPr>
        <sz val="11"/>
        <color theme="1"/>
        <rFont val="ＭＳ Ｐゴシック"/>
        <family val="3"/>
        <charset val="134"/>
        <scheme val="minor"/>
      </rPr>
      <t>鹏跃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</si>
  <si>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黄酒; 开胃酒; 葡萄酒</t>
    </r>
  </si>
  <si>
    <r>
      <t>梅</t>
    </r>
    <r>
      <rPr>
        <sz val="11"/>
        <color theme="1"/>
        <rFont val="ＭＳ Ｐゴシック"/>
        <family val="3"/>
        <charset val="134"/>
        <scheme val="minor"/>
      </rPr>
      <t>谏</t>
    </r>
  </si>
  <si>
    <r>
      <t>河南春茗堂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保科技有限公司</t>
    </r>
  </si>
  <si>
    <r>
      <t xml:space="preserve">柑香酒; 烈酒; 草莓酒; 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杜松子酒; 果酒; 日本梅子酒; 葡萄酒; 梅酒</t>
    </r>
  </si>
  <si>
    <t>浔话</t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</si>
  <si>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威士忌; 开胃酒; 白酒;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</si>
  <si>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斟哥</t>
    </r>
    <r>
      <rPr>
        <sz val="11"/>
        <color theme="1"/>
        <rFont val="ＭＳ Ｐゴシック"/>
        <family val="3"/>
        <charset val="134"/>
        <scheme val="minor"/>
      </rPr>
      <t>俩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</si>
  <si>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亦</t>
    </r>
    <r>
      <rPr>
        <sz val="11"/>
        <color theme="1"/>
        <rFont val="ＭＳ Ｐゴシック"/>
        <family val="3"/>
        <charset val="134"/>
        <scheme val="minor"/>
      </rPr>
      <t>谦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</si>
  <si>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果酒; 威士忌; 开胃酒;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</si>
  <si>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丰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</si>
  <si>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果酒; 清酒（日本米酒）;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</si>
  <si>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九</t>
    </r>
    <r>
      <rPr>
        <sz val="11"/>
        <color theme="1"/>
        <rFont val="ＭＳ Ｐゴシック"/>
        <family val="3"/>
        <charset val="134"/>
        <scheme val="minor"/>
      </rPr>
      <t>经</t>
    </r>
    <r>
      <rPr>
        <sz val="11"/>
        <color theme="1"/>
        <rFont val="ＭＳ Ｐゴシック"/>
        <family val="3"/>
        <charset val="128"/>
        <scheme val="minor"/>
      </rPr>
      <t>百家</t>
    </r>
  </si>
  <si>
    <r>
      <t>宁夏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九品牌管理有限公司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</si>
  <si>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果酒（含酒精）; 白酒; 葡萄酒; 开胃酒; 黄酒</t>
    </r>
  </si>
  <si>
    <t>余氿舍</t>
  </si>
  <si>
    <r>
      <t>常山</t>
    </r>
    <r>
      <rPr>
        <sz val="11"/>
        <color theme="1"/>
        <rFont val="ＭＳ Ｐゴシック"/>
        <family val="3"/>
        <charset val="134"/>
        <scheme val="minor"/>
      </rPr>
      <t>县问</t>
    </r>
    <r>
      <rPr>
        <sz val="11"/>
        <color theme="1"/>
        <rFont val="ＭＳ Ｐゴシック"/>
        <family val="3"/>
        <charset val="128"/>
        <scheme val="minor"/>
      </rPr>
      <t>山文化旅游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</si>
  <si>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葡萄酒;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青梅酒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</si>
  <si>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馥序</t>
    </r>
  </si>
  <si>
    <r>
      <t>曹洪</t>
    </r>
    <r>
      <rPr>
        <sz val="11"/>
        <color theme="1"/>
        <rFont val="ＭＳ Ｐゴシック"/>
        <family val="3"/>
        <charset val="134"/>
        <scheme val="minor"/>
      </rPr>
      <t>图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</si>
  <si>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</t>
    </r>
  </si>
  <si>
    <t>WAYTOWMA</t>
  </si>
  <si>
    <r>
      <t>深圳稻上</t>
    </r>
    <r>
      <rPr>
        <sz val="11"/>
        <color theme="1"/>
        <rFont val="ＭＳ Ｐゴシック"/>
        <family val="3"/>
        <charset val="134"/>
        <scheme val="minor"/>
      </rPr>
      <t>宽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</si>
  <si>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开胃酒; 白酒; 清酒</t>
    </r>
  </si>
  <si>
    <t>浬渤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</si>
  <si>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柏呈文化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</si>
  <si>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高粱酒;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</si>
  <si>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木焱鑫</t>
  </si>
  <si>
    <t>梁彩媚</t>
  </si>
  <si>
    <r>
      <t>威士忌; 果酒;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</t>
    </r>
  </si>
  <si>
    <r>
      <t>燕</t>
    </r>
    <r>
      <rPr>
        <sz val="11"/>
        <color theme="1"/>
        <rFont val="ＭＳ Ｐゴシック"/>
        <family val="3"/>
        <charset val="134"/>
        <scheme val="minor"/>
      </rPr>
      <t>赵</t>
    </r>
    <r>
      <rPr>
        <sz val="11"/>
        <color theme="1"/>
        <rFont val="ＭＳ Ｐゴシック"/>
        <family val="3"/>
        <charset val="128"/>
        <scheme val="minor"/>
      </rPr>
      <t>君府</t>
    </r>
  </si>
  <si>
    <r>
      <t xml:space="preserve">果酒; 白酒; 白干酒（中国白酒）; 威士忌; 米酒; 高粱酒;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清酒</t>
    </r>
  </si>
  <si>
    <r>
      <t>威</t>
    </r>
    <r>
      <rPr>
        <sz val="11"/>
        <color theme="1"/>
        <rFont val="ＭＳ Ｐゴシック"/>
        <family val="3"/>
        <charset val="134"/>
        <scheme val="minor"/>
      </rPr>
      <t>头马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</si>
  <si>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烈酒;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黄酒; 开胃酒; 果酒; 清酒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</si>
  <si>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啊甘</t>
    </r>
  </si>
  <si>
    <t>童雪松</t>
  </si>
  <si>
    <r>
      <t>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青梅酒;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</si>
  <si>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恭明坊</t>
  </si>
  <si>
    <t>孟佩煜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</si>
  <si>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清酒（日本米酒）; 白酒; 威士忌; 果酒; 黄酒</t>
    </r>
  </si>
  <si>
    <r>
      <t>宫</t>
    </r>
    <r>
      <rPr>
        <sz val="11"/>
        <color theme="1"/>
        <rFont val="ＭＳ Ｐゴシック"/>
        <family val="3"/>
        <charset val="128"/>
        <scheme val="minor"/>
      </rPr>
      <t>老板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</si>
  <si>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知香堂香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</si>
  <si>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伏特加酒; 威士忌; 葡萄酒; 白酒; 果酒;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</si>
  <si>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睿廷</t>
    </r>
    <r>
      <rPr>
        <sz val="11"/>
        <color theme="1"/>
        <rFont val="ＭＳ Ｐゴシック"/>
        <family val="3"/>
        <charset val="134"/>
        <scheme val="minor"/>
      </rPr>
      <t>鲜</t>
    </r>
  </si>
  <si>
    <r>
      <t>四川二方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</si>
  <si>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果酒（含酒精）; 米酒; 青稞酒; 食用酒精;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</si>
  <si>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近潮</t>
  </si>
  <si>
    <t>王永生</t>
  </si>
  <si>
    <r>
      <t>威士忌;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</t>
    </r>
  </si>
  <si>
    <r>
      <t>菊</t>
    </r>
    <r>
      <rPr>
        <sz val="11"/>
        <color theme="1"/>
        <rFont val="ＭＳ Ｐゴシック"/>
        <family val="3"/>
        <charset val="134"/>
        <scheme val="minor"/>
      </rPr>
      <t>乡颂</t>
    </r>
  </si>
  <si>
    <r>
      <t xml:space="preserve">高粱酒;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蜂蜜酒; 白酒; 清酒; 葡萄酒; 黄酒; 米酒;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</t>
    </r>
  </si>
  <si>
    <r>
      <t>汪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方(******************)</t>
    </r>
  </si>
  <si>
    <r>
      <t>亚</t>
    </r>
    <r>
      <rPr>
        <sz val="11"/>
        <color theme="1"/>
        <rFont val="ＭＳ Ｐゴシック"/>
        <family val="3"/>
        <charset val="128"/>
        <scheme val="minor"/>
      </rPr>
      <t xml:space="preserve">力酒; 白酒; 伏特加酒;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</si>
  <si>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雨傲</t>
  </si>
  <si>
    <r>
      <t>宋</t>
    </r>
    <r>
      <rPr>
        <sz val="11"/>
        <color theme="1"/>
        <rFont val="ＭＳ Ｐゴシック"/>
        <family val="3"/>
        <charset val="134"/>
        <scheme val="minor"/>
      </rPr>
      <t>晓飞</t>
    </r>
  </si>
  <si>
    <r>
      <t>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高粱酒; 果酒</t>
    </r>
  </si>
  <si>
    <r>
      <t>超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界</t>
    </r>
  </si>
  <si>
    <r>
      <t>福建超</t>
    </r>
    <r>
      <rPr>
        <sz val="11"/>
        <color theme="1"/>
        <rFont val="ＭＳ Ｐゴシック"/>
        <family val="3"/>
        <charset val="134"/>
        <scheme val="minor"/>
      </rPr>
      <t>为环</t>
    </r>
    <r>
      <rPr>
        <sz val="11"/>
        <color theme="1"/>
        <rFont val="ＭＳ Ｐゴシック"/>
        <family val="3"/>
        <charset val="128"/>
        <scheme val="minor"/>
      </rPr>
      <t>保新材料科技有限公司</t>
    </r>
  </si>
  <si>
    <r>
      <t>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烈酒; 果酒;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</si>
  <si>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史脉</t>
  </si>
  <si>
    <t>王志峰</t>
  </si>
  <si>
    <r>
      <t xml:space="preserve">威士忌; 白酒; 葡萄酒;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黄酒</t>
    </r>
  </si>
  <si>
    <t>庄清花</t>
  </si>
  <si>
    <t>杨权兴</t>
  </si>
  <si>
    <r>
      <t xml:space="preserve">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清酒; 白酒; 威士忌; 果酒; 黄酒</t>
    </r>
  </si>
  <si>
    <t>XXQQNN</t>
  </si>
  <si>
    <r>
      <t>湖南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青年文化</t>
    </r>
    <r>
      <rPr>
        <sz val="11"/>
        <color theme="1"/>
        <rFont val="ＭＳ Ｐゴシック"/>
        <family val="3"/>
        <charset val="134"/>
        <scheme val="minor"/>
      </rPr>
      <t>艺术</t>
    </r>
    <r>
      <rPr>
        <sz val="11"/>
        <color theme="1"/>
        <rFont val="ＭＳ Ｐゴシック"/>
        <family val="3"/>
        <charset val="128"/>
        <scheme val="minor"/>
      </rPr>
      <t>研究院（个人独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</si>
  <si>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 xml:space="preserve">米酒; 白酒;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开胃酒; 葡萄酒; 青稞酒; 清酒（日本米酒）</t>
    </r>
  </si>
  <si>
    <t>朗加姆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</si>
  <si>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东鸥</t>
    </r>
    <r>
      <rPr>
        <sz val="11"/>
        <color theme="1"/>
        <rFont val="ＭＳ Ｐゴシック"/>
        <family val="3"/>
        <charset val="128"/>
        <scheme val="minor"/>
      </rPr>
      <t>酩雅酒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</si>
  <si>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蒸煮提取物（利口酒和烈酒）; 朗姆酒; 伏特加酒; 利口酒</t>
    </r>
  </si>
  <si>
    <r>
      <t>安徽万方商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</si>
  <si>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</si>
  <si>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森守藏</t>
  </si>
  <si>
    <t>廖鑫隆</t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</si>
  <si>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黄酒;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</si>
  <si>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裕祥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</si>
  <si>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驭飞</t>
    </r>
    <r>
      <rPr>
        <sz val="11"/>
        <color theme="1"/>
        <rFont val="ＭＳ Ｐゴシック"/>
        <family val="3"/>
        <charset val="128"/>
        <scheme val="minor"/>
      </rPr>
      <t>金海商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</si>
  <si>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米酒; 苹果酒; 葡萄酒; 白酒</t>
    </r>
  </si>
  <si>
    <r>
      <t>果酒; 苹果酒;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食用酒精; 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</si>
  <si>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t>善峙</t>
  </si>
  <si>
    <r>
      <t>杨</t>
    </r>
    <r>
      <rPr>
        <sz val="11"/>
        <color theme="1"/>
        <rFont val="ＭＳ Ｐゴシック"/>
        <family val="3"/>
        <charset val="128"/>
        <scheme val="minor"/>
      </rPr>
      <t>帆</t>
    </r>
  </si>
  <si>
    <r>
      <t>汽酒; 蒸煮提取物（利口酒和烈酒）; 白酒;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葡萄酒; 米酒;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</si>
  <si>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太菲瑞</t>
  </si>
  <si>
    <t>南京八号地物流有限公司</t>
  </si>
  <si>
    <r>
      <t xml:space="preserve">威士忌; 伏特加酒;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</si>
  <si>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梦芙蓉</t>
  </si>
  <si>
    <t>史桂梅</t>
  </si>
  <si>
    <r>
      <t>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</si>
  <si>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t>叙莫</t>
  </si>
  <si>
    <t>宁波拓木品牌管理有限公司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</si>
  <si>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果酒（含酒精）; 米酒; 葡萄酒; 黄酒; 白酒</t>
    </r>
  </si>
  <si>
    <t>叙莫以酒</t>
  </si>
  <si>
    <r>
      <t xml:space="preserve">果酒（含酒精）; 葡萄酒;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清酒</t>
    </r>
  </si>
  <si>
    <t>聆大拿</t>
  </si>
  <si>
    <r>
      <t>四川唐朝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代文化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</si>
  <si>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白酒</t>
    </r>
  </si>
  <si>
    <t>宋福禧</t>
  </si>
  <si>
    <t>岳乾</t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</si>
  <si>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清酒;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</si>
  <si>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折小</t>
    </r>
    <r>
      <rPr>
        <sz val="11"/>
        <color theme="1"/>
        <rFont val="ＭＳ Ｐゴシック"/>
        <family val="3"/>
        <charset val="134"/>
        <scheme val="minor"/>
      </rPr>
      <t>贝</t>
    </r>
  </si>
  <si>
    <r>
      <t>水母再生(北京)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保科技有限公司</t>
    </r>
  </si>
  <si>
    <r>
      <t>黄酒; 含酒精的气泡水; 米酒;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</si>
  <si>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世界礼</t>
  </si>
  <si>
    <r>
      <t xml:space="preserve">果酒; 高粱酒; 威士忌;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米酒;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</si>
  <si>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福州牛姆山</t>
    </r>
    <r>
      <rPr>
        <sz val="11"/>
        <color theme="1"/>
        <rFont val="ＭＳ Ｐゴシック"/>
        <family val="3"/>
        <charset val="134"/>
        <scheme val="minor"/>
      </rPr>
      <t>矿</t>
    </r>
    <r>
      <rPr>
        <sz val="11"/>
        <color theme="1"/>
        <rFont val="ＭＳ Ｐゴシック"/>
        <family val="3"/>
        <charset val="128"/>
        <scheme val="minor"/>
      </rPr>
      <t>泉水有限公司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</si>
  <si>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清酒（日本米酒）; 威士忌; 米酒; 伏特加酒; 葡萄酒</t>
    </r>
  </si>
  <si>
    <t>百里信</t>
  </si>
  <si>
    <t>吴紫昊</t>
  </si>
  <si>
    <r>
      <t>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果酒; 烈酒;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</si>
  <si>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傣之韵</t>
  </si>
  <si>
    <r>
      <t>孟</t>
    </r>
    <r>
      <rPr>
        <sz val="11"/>
        <color theme="1"/>
        <rFont val="ＭＳ Ｐゴシック"/>
        <family val="3"/>
        <charset val="134"/>
        <scheme val="minor"/>
      </rPr>
      <t>连县</t>
    </r>
    <r>
      <rPr>
        <sz val="11"/>
        <color theme="1"/>
        <rFont val="ＭＳ Ｐゴシック"/>
        <family val="3"/>
        <charset val="128"/>
        <scheme val="minor"/>
      </rPr>
      <t>恒通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酒厂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</si>
  <si>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蜂蜜酒; 清酒（日本米酒）;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</si>
  <si>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七方尺</t>
  </si>
  <si>
    <t>北京百瑞盛广告有限公司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</si>
  <si>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开胃酒; 葡萄酒; 汽酒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</si>
  <si>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农农</t>
    </r>
    <r>
      <rPr>
        <sz val="11"/>
        <color theme="1"/>
        <rFont val="ＭＳ Ｐゴシック"/>
        <family val="3"/>
        <charset val="128"/>
        <scheme val="minor"/>
      </rPr>
      <t>祥</t>
    </r>
  </si>
  <si>
    <t>杨传锋</t>
  </si>
  <si>
    <r>
      <t>开胃酒; 薄荷酒;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果酒（含酒精）;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</si>
  <si>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DIKALEN</t>
  </si>
  <si>
    <r>
      <t>张</t>
    </r>
    <r>
      <rPr>
        <sz val="11"/>
        <color theme="1"/>
        <rFont val="ＭＳ Ｐゴシック"/>
        <family val="3"/>
        <charset val="128"/>
        <scheme val="minor"/>
      </rPr>
      <t>程茗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</si>
  <si>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威士忌; 伏特加酒; 利口酒;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果酒; 蒸煮提取物（利口酒和烈酒）; 朗姆酒</t>
    </r>
  </si>
  <si>
    <r>
      <t>忠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袋鼠</t>
    </r>
  </si>
  <si>
    <r>
      <t>哈</t>
    </r>
    <r>
      <rPr>
        <sz val="11"/>
        <color theme="1"/>
        <rFont val="ＭＳ Ｐゴシック"/>
        <family val="3"/>
        <charset val="134"/>
        <scheme val="minor"/>
      </rPr>
      <t>尔滨</t>
    </r>
    <r>
      <rPr>
        <sz val="11"/>
        <color theme="1"/>
        <rFont val="ＭＳ Ｐゴシック"/>
        <family val="3"/>
        <charset val="128"/>
        <scheme val="minor"/>
      </rPr>
      <t>中</t>
    </r>
    <r>
      <rPr>
        <sz val="11"/>
        <color theme="1"/>
        <rFont val="ＭＳ Ｐゴシック"/>
        <family val="3"/>
        <charset val="134"/>
        <scheme val="minor"/>
      </rPr>
      <t>鸣辉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</si>
  <si>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高粱酒; 果酒;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刺五加酒;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食用酒精</t>
    </r>
  </si>
  <si>
    <r>
      <t>青云干</t>
    </r>
    <r>
      <rPr>
        <sz val="11"/>
        <color theme="1"/>
        <rFont val="ＭＳ Ｐゴシック"/>
        <family val="3"/>
        <charset val="134"/>
        <scheme val="minor"/>
      </rPr>
      <t>吕</t>
    </r>
  </si>
  <si>
    <r>
      <t>山西山水凌云酒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</si>
  <si>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食用酒精;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利口酒; 白酒</t>
    </r>
  </si>
  <si>
    <t>四海鼎沸</t>
  </si>
  <si>
    <r>
      <t>果酒（含酒精）;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开胃酒;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</t>
    </r>
  </si>
  <si>
    <r>
      <t>宜昌开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区金鑫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灯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</si>
  <si>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>烈酒;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</t>
    </r>
  </si>
  <si>
    <t>昊古今</t>
  </si>
  <si>
    <r>
      <t>海口</t>
    </r>
    <r>
      <rPr>
        <sz val="11"/>
        <color theme="1"/>
        <rFont val="ＭＳ Ｐゴシック"/>
        <family val="3"/>
        <charset val="134"/>
        <scheme val="minor"/>
      </rPr>
      <t>龙华</t>
    </r>
    <r>
      <rPr>
        <sz val="11"/>
        <color theme="1"/>
        <rFont val="ＭＳ Ｐゴシック"/>
        <family val="3"/>
        <charset val="128"/>
        <scheme val="minor"/>
      </rPr>
      <t>未榔食品</t>
    </r>
    <r>
      <rPr>
        <sz val="11"/>
        <color theme="1"/>
        <rFont val="ＭＳ Ｐゴシック"/>
        <family val="3"/>
        <charset val="134"/>
        <scheme val="minor"/>
      </rPr>
      <t>经营</t>
    </r>
    <r>
      <rPr>
        <sz val="11"/>
        <color theme="1"/>
        <rFont val="ＭＳ Ｐゴシック"/>
        <family val="3"/>
        <charset val="128"/>
        <scheme val="minor"/>
      </rPr>
      <t>部（个体工商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</si>
  <si>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黄酒;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梅酒; 白酒;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</si>
  <si>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五古今</t>
  </si>
  <si>
    <r>
      <t>宁波和山酒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</si>
  <si>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白酒; 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</si>
  <si>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t>古清流</t>
  </si>
  <si>
    <r>
      <t>滁州市安众</t>
    </r>
    <r>
      <rPr>
        <sz val="11"/>
        <color theme="1"/>
        <rFont val="ＭＳ Ｐゴシック"/>
        <family val="3"/>
        <charset val="134"/>
        <scheme val="minor"/>
      </rPr>
      <t>财务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</si>
  <si>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米酒;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</si>
  <si>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利</t>
    </r>
    <r>
      <rPr>
        <sz val="11"/>
        <color theme="1"/>
        <rFont val="ＭＳ Ｐゴシック"/>
        <family val="3"/>
        <charset val="134"/>
        <scheme val="minor"/>
      </rPr>
      <t>玛</t>
    </r>
    <r>
      <rPr>
        <sz val="11"/>
        <color theme="1"/>
        <rFont val="ＭＳ Ｐゴシック"/>
        <family val="3"/>
        <charset val="128"/>
        <scheme val="minor"/>
      </rPr>
      <t>克</t>
    </r>
  </si>
  <si>
    <r>
      <t>潍</t>
    </r>
    <r>
      <rPr>
        <sz val="11"/>
        <color theme="1"/>
        <rFont val="ＭＳ Ｐゴシック"/>
        <family val="3"/>
        <charset val="128"/>
        <scheme val="minor"/>
      </rPr>
      <t>坊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通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窗科技有限公司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</si>
  <si>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</si>
  <si>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三晋</t>
    </r>
    <r>
      <rPr>
        <sz val="11"/>
        <color theme="1"/>
        <rFont val="ＭＳ Ｐゴシック"/>
        <family val="3"/>
        <charset val="134"/>
        <scheme val="minor"/>
      </rPr>
      <t>丽华</t>
    </r>
    <r>
      <rPr>
        <sz val="11"/>
        <color theme="1"/>
        <rFont val="ＭＳ Ｐゴシック"/>
        <family val="3"/>
        <charset val="128"/>
        <scheme val="minor"/>
      </rPr>
      <t>大酒店</t>
    </r>
  </si>
  <si>
    <r>
      <t>山西</t>
    </r>
    <r>
      <rPr>
        <sz val="11"/>
        <color theme="1"/>
        <rFont val="ＭＳ Ｐゴシック"/>
        <family val="3"/>
        <charset val="134"/>
        <scheme val="minor"/>
      </rPr>
      <t>丽华</t>
    </r>
    <r>
      <rPr>
        <sz val="11"/>
        <color theme="1"/>
        <rFont val="ＭＳ Ｐゴシック"/>
        <family val="3"/>
        <charset val="128"/>
        <scheme val="minor"/>
      </rPr>
      <t>大酒店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</si>
  <si>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</t>
    </r>
  </si>
  <si>
    <r>
      <t>春日</t>
    </r>
    <r>
      <rPr>
        <sz val="11"/>
        <color theme="1"/>
        <rFont val="ＭＳ Ｐゴシック"/>
        <family val="3"/>
        <charset val="134"/>
        <scheme val="minor"/>
      </rPr>
      <t>谣</t>
    </r>
  </si>
  <si>
    <r>
      <t>葡萄酒;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威士忌; 梅酒; 白酒; 米酒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</si>
  <si>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生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</si>
  <si>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米酒; 刺五加酒; 果酒; 白酒; 食用酒精</t>
    </r>
  </si>
  <si>
    <r>
      <t>川</t>
    </r>
    <r>
      <rPr>
        <sz val="11"/>
        <color theme="1"/>
        <rFont val="ＭＳ Ｐゴシック"/>
        <family val="3"/>
        <charset val="134"/>
        <scheme val="minor"/>
      </rPr>
      <t>屿</t>
    </r>
    <r>
      <rPr>
        <sz val="11"/>
        <color theme="1"/>
        <rFont val="ＭＳ Ｐゴシック"/>
        <family val="3"/>
        <charset val="128"/>
        <scheme val="minor"/>
      </rPr>
      <t>棠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</si>
  <si>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果酒; 烈酒; 黄酒;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</si>
  <si>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鸣</t>
    </r>
    <r>
      <rPr>
        <sz val="11"/>
        <color theme="1"/>
        <rFont val="ＭＳ Ｐゴシック"/>
        <family val="3"/>
        <charset val="128"/>
        <scheme val="minor"/>
      </rPr>
      <t>悦墫</t>
    </r>
  </si>
  <si>
    <r>
      <t>牡丹江市</t>
    </r>
    <r>
      <rPr>
        <sz val="11"/>
        <color theme="1"/>
        <rFont val="ＭＳ Ｐゴシック"/>
        <family val="3"/>
        <charset val="134"/>
        <scheme val="minor"/>
      </rPr>
      <t>鸣</t>
    </r>
    <r>
      <rPr>
        <sz val="11"/>
        <color theme="1"/>
        <rFont val="ＭＳ Ｐゴシック"/>
        <family val="3"/>
        <charset val="128"/>
        <scheme val="minor"/>
      </rPr>
      <t>悦商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</si>
  <si>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青稞酒; 米酒; 黄酒;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</si>
  <si>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燕</t>
    </r>
    <r>
      <rPr>
        <sz val="11"/>
        <color theme="1"/>
        <rFont val="ＭＳ Ｐゴシック"/>
        <family val="3"/>
        <charset val="134"/>
        <scheme val="minor"/>
      </rPr>
      <t>赵</t>
    </r>
    <r>
      <rPr>
        <sz val="11"/>
        <color theme="1"/>
        <rFont val="ＭＳ Ｐゴシック"/>
        <family val="3"/>
        <charset val="128"/>
        <scheme val="minor"/>
      </rPr>
      <t>仙</t>
    </r>
    <r>
      <rPr>
        <sz val="11"/>
        <color theme="1"/>
        <rFont val="ＭＳ Ｐゴシック"/>
        <family val="3"/>
        <charset val="134"/>
        <scheme val="minor"/>
      </rPr>
      <t>桥</t>
    </r>
  </si>
  <si>
    <r>
      <t xml:space="preserve">高粱酒; 白干酒（中国白酒）;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伏特加酒; 威士忌; 果酒</t>
    </r>
  </si>
  <si>
    <r>
      <t>宗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十五</t>
    </r>
  </si>
  <si>
    <t>牛杰</t>
  </si>
  <si>
    <r>
      <t>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白干酒（中国白酒）; 开胃酒; 烈性干酒; 利口酒; 白酒; 高粱酒</t>
    </r>
  </si>
  <si>
    <t>草木有本心</t>
  </si>
  <si>
    <r>
      <t>北京本心商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</si>
  <si>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</si>
  <si>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MADDENFORL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</si>
  <si>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朗姆酒;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威士忌; 利口酒; 蒸煮提取物（利口酒和烈酒）; 果酒</t>
    </r>
  </si>
  <si>
    <t>醉湃</t>
  </si>
  <si>
    <r>
      <t>杨</t>
    </r>
    <r>
      <rPr>
        <sz val="11"/>
        <color theme="1"/>
        <rFont val="ＭＳ Ｐゴシック"/>
        <family val="3"/>
        <charset val="128"/>
        <scheme val="minor"/>
      </rPr>
      <t>春兵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</si>
  <si>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葡萄酒</t>
    </r>
  </si>
  <si>
    <t>麦香穗熟</t>
  </si>
  <si>
    <r>
      <t>杭州麦香穗熟餐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</si>
  <si>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</t>
    </r>
  </si>
  <si>
    <r>
      <t>万益福</t>
    </r>
    <r>
      <rPr>
        <sz val="11"/>
        <color theme="1"/>
        <rFont val="ＭＳ Ｐゴシック"/>
        <family val="3"/>
        <charset val="134"/>
        <scheme val="minor"/>
      </rPr>
      <t>创</t>
    </r>
  </si>
  <si>
    <r>
      <t>福州鼓楼万益福</t>
    </r>
    <r>
      <rPr>
        <sz val="11"/>
        <color theme="1"/>
        <rFont val="ＭＳ Ｐゴシック"/>
        <family val="3"/>
        <charset val="134"/>
        <scheme val="minor"/>
      </rPr>
      <t>创审计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</si>
  <si>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</t>
    </r>
  </si>
  <si>
    <t>千氏姨家</t>
  </si>
  <si>
    <r>
      <t>延吉市千氏食品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</si>
  <si>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松叶酒; 果酒; 黄酒;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</si>
  <si>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米酒; 黄酒; 食用酒精;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</t>
    </r>
  </si>
  <si>
    <r>
      <t>余生</t>
    </r>
    <r>
      <rPr>
        <sz val="11"/>
        <color theme="1"/>
        <rFont val="ＭＳ Ｐゴシック"/>
        <family val="3"/>
        <charset val="134"/>
        <scheme val="minor"/>
      </rPr>
      <t>觅</t>
    </r>
  </si>
  <si>
    <r>
      <t>胡友</t>
    </r>
    <r>
      <rPr>
        <sz val="11"/>
        <color theme="1"/>
        <rFont val="ＭＳ Ｐゴシック"/>
        <family val="3"/>
        <charset val="134"/>
        <scheme val="minor"/>
      </rPr>
      <t>贞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</si>
  <si>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米酒; 利口酒;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</si>
  <si>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宗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三十</t>
    </r>
  </si>
  <si>
    <r>
      <t>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白干酒（中国白酒）; 烈性干酒; 开胃酒; 利口酒</t>
    </r>
  </si>
  <si>
    <t>皇菲斯庄园</t>
  </si>
  <si>
    <r>
      <t>周杜</t>
    </r>
    <r>
      <rPr>
        <sz val="11"/>
        <color theme="1"/>
        <rFont val="ＭＳ Ｐゴシック"/>
        <family val="3"/>
        <charset val="134"/>
        <scheme val="minor"/>
      </rPr>
      <t>发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</si>
  <si>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青稞酒; 米酒; 威士忌;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</t>
    </r>
  </si>
  <si>
    <t>坤清花</t>
  </si>
  <si>
    <r>
      <t xml:space="preserve">威士忌; 米酒; 黄酒; 果酒;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白酒; 清酒</t>
    </r>
  </si>
  <si>
    <r>
      <t>南平武夷云谷建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</si>
  <si>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葡萄酒</t>
    </r>
  </si>
  <si>
    <r>
      <t>传</t>
    </r>
    <r>
      <rPr>
        <sz val="11"/>
        <color theme="1"/>
        <rFont val="ＭＳ Ｐゴシック"/>
        <family val="3"/>
        <charset val="128"/>
        <scheme val="minor"/>
      </rPr>
      <t>品基</t>
    </r>
  </si>
  <si>
    <r>
      <t>徐州君</t>
    </r>
    <r>
      <rPr>
        <sz val="11"/>
        <color theme="1"/>
        <rFont val="ＭＳ Ｐゴシック"/>
        <family val="3"/>
        <charset val="134"/>
        <scheme val="minor"/>
      </rPr>
      <t>钻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</si>
  <si>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青稞酒; 白酒; 开胃酒; 黄酒; 梨酒; 威士忌;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</t>
    </r>
  </si>
  <si>
    <t>MCFIDIE</t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</si>
  <si>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利口酒; 伏特加酒;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葡萄酒; 蒸煮提取物（利口酒和烈酒）</t>
    </r>
  </si>
  <si>
    <t>ABCA</t>
  </si>
  <si>
    <r>
      <t>程</t>
    </r>
    <r>
      <rPr>
        <sz val="11"/>
        <color theme="1"/>
        <rFont val="ＭＳ Ｐゴシック"/>
        <family val="3"/>
        <charset val="134"/>
        <scheme val="minor"/>
      </rPr>
      <t>绍</t>
    </r>
    <r>
      <rPr>
        <sz val="11"/>
        <color theme="1"/>
        <rFont val="ＭＳ Ｐゴシック"/>
        <family val="3"/>
        <charset val="128"/>
        <scheme val="minor"/>
      </rPr>
      <t>宇</t>
    </r>
  </si>
  <si>
    <r>
      <t xml:space="preserve">葡萄酒; 果酒（含酒精）;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白酒;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</si>
  <si>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r>
      <t>宿迁市洋河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老窖酒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</si>
  <si>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</si>
  <si>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四季站</t>
  </si>
  <si>
    <r>
      <t>珠海市吉</t>
    </r>
    <r>
      <rPr>
        <sz val="11"/>
        <color theme="1"/>
        <rFont val="ＭＳ Ｐゴシック"/>
        <family val="3"/>
        <charset val="134"/>
        <scheme val="minor"/>
      </rPr>
      <t>时顽乐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</si>
  <si>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白酒; 果酒（含酒精）; 汽酒; 甜酒; 梨酒; 开胃酒; 高粱酒;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</t>
    </r>
  </si>
  <si>
    <r>
      <t>醇花</t>
    </r>
    <r>
      <rPr>
        <sz val="11"/>
        <color theme="1"/>
        <rFont val="ＭＳ Ｐゴシック"/>
        <family val="3"/>
        <charset val="134"/>
        <scheme val="minor"/>
      </rPr>
      <t>语</t>
    </r>
  </si>
  <si>
    <t>福建玫瑰堂食品科技有限公司</t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</si>
  <si>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</si>
  <si>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建</t>
    </r>
    <r>
      <rPr>
        <sz val="11"/>
        <color theme="1"/>
        <rFont val="ＭＳ Ｐゴシック"/>
        <family val="3"/>
        <charset val="134"/>
        <scheme val="minor"/>
      </rPr>
      <t>咛红</t>
    </r>
  </si>
  <si>
    <r>
      <t>福建中</t>
    </r>
    <r>
      <rPr>
        <sz val="11"/>
        <color theme="1"/>
        <rFont val="ＭＳ Ｐゴシック"/>
        <family val="3"/>
        <charset val="134"/>
        <scheme val="minor"/>
      </rPr>
      <t>莲</t>
    </r>
    <r>
      <rPr>
        <sz val="11"/>
        <color theme="1"/>
        <rFont val="ＭＳ Ｐゴシック"/>
        <family val="3"/>
        <charset val="128"/>
        <scheme val="minor"/>
      </rPr>
      <t>兆荷投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</si>
  <si>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果酒;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汽酒</t>
    </r>
  </si>
  <si>
    <t>山水淩云</t>
  </si>
  <si>
    <r>
      <t>白酒; 葡萄酒;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</t>
    </r>
  </si>
  <si>
    <t>MOBAOXO</t>
  </si>
  <si>
    <r>
      <t>南宁市合洋泰商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</si>
  <si>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开胃酒; 汽酒; 米酒; 白酒; 葡萄酒; 利口酒;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</si>
  <si>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麦卡心</t>
    </r>
    <r>
      <rPr>
        <sz val="11"/>
        <color theme="1"/>
        <rFont val="ＭＳ Ｐゴシック"/>
        <family val="3"/>
        <charset val="134"/>
        <scheme val="minor"/>
      </rPr>
      <t>语</t>
    </r>
  </si>
  <si>
    <t>姚森昌</t>
  </si>
  <si>
    <r>
      <t xml:space="preserve">葡萄酒; 蜂蜜酒; 伏特加酒;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</si>
  <si>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万古霸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</si>
  <si>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游小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</si>
  <si>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汽酒; 白酒; 米酒; 清酒（日本米酒）; 葡萄酒;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果酒（含酒精）</t>
    </r>
  </si>
  <si>
    <r>
      <t>烽火昆</t>
    </r>
    <r>
      <rPr>
        <sz val="11"/>
        <color theme="1"/>
        <rFont val="ＭＳ Ｐゴシック"/>
        <family val="3"/>
        <charset val="134"/>
        <scheme val="minor"/>
      </rPr>
      <t>仑</t>
    </r>
  </si>
  <si>
    <t>李有运</t>
  </si>
  <si>
    <r>
      <t>果酒（含酒精）;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露酒; 米酒; 白酒; 梨酒;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</t>
    </r>
  </si>
  <si>
    <t>小微嘉山</t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</si>
  <si>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</si>
  <si>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莓日悠果</t>
  </si>
  <si>
    <r>
      <t>吉林省</t>
    </r>
    <r>
      <rPr>
        <sz val="11"/>
        <color theme="1"/>
        <rFont val="ＭＳ Ｐゴシック"/>
        <family val="3"/>
        <charset val="134"/>
        <scheme val="minor"/>
      </rPr>
      <t>枫</t>
    </r>
    <r>
      <rPr>
        <sz val="11"/>
        <color theme="1"/>
        <rFont val="ＭＳ Ｐゴシック"/>
        <family val="3"/>
        <charset val="128"/>
        <scheme val="minor"/>
      </rPr>
      <t>林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</si>
  <si>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威士忌;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</si>
  <si>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船集</t>
  </si>
  <si>
    <r>
      <t>深圳船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</si>
  <si>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威士忌;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</si>
  <si>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心德酩</t>
  </si>
  <si>
    <r>
      <t>深圳市嘉鑫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煌投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</si>
  <si>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薄荷酒; 果酒（含酒精）; 白酒; 清酒; 食用酒精; 黄酒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</si>
  <si>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麦教育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</si>
  <si>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麦科技有限公司</t>
    </r>
  </si>
  <si>
    <r>
      <t>苦味酒;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薄荷酒; 葡萄酒;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梨酒; 苹果酒</t>
    </r>
  </si>
  <si>
    <t>格瑞山都</t>
  </si>
  <si>
    <r>
      <t>历</t>
    </r>
    <r>
      <rPr>
        <sz val="11"/>
        <color theme="1"/>
        <rFont val="ＭＳ Ｐゴシック"/>
        <family val="3"/>
        <charset val="128"/>
        <scheme val="minor"/>
      </rPr>
      <t>鑫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</si>
  <si>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</si>
  <si>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r>
      <t>古台</t>
    </r>
    <r>
      <rPr>
        <sz val="11"/>
        <color theme="1"/>
        <rFont val="ＭＳ Ｐゴシック"/>
        <family val="3"/>
        <charset val="134"/>
        <scheme val="minor"/>
      </rPr>
      <t>劲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</si>
  <si>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全会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</si>
  <si>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米酒;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</si>
  <si>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九川口</t>
  </si>
  <si>
    <r>
      <t>天津市静海区独流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白酒有限公司</t>
    </r>
  </si>
  <si>
    <r>
      <t xml:space="preserve">开胃酒; 餐后酒（利口酒和烈酒）;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食用酒精; 白酒;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</t>
    </r>
  </si>
  <si>
    <t>微物派</t>
  </si>
  <si>
    <r>
      <t>潍</t>
    </r>
    <r>
      <rPr>
        <sz val="11"/>
        <color theme="1"/>
        <rFont val="ＭＳ Ｐゴシック"/>
        <family val="3"/>
        <charset val="128"/>
        <scheme val="minor"/>
      </rPr>
      <t>坊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管家商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</si>
  <si>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威士忌; 烈酒; 葡萄酒</t>
    </r>
  </si>
  <si>
    <t>凡焰</t>
  </si>
  <si>
    <r>
      <t>张</t>
    </r>
    <r>
      <rPr>
        <sz val="11"/>
        <color theme="1"/>
        <rFont val="ＭＳ Ｐゴシック"/>
        <family val="3"/>
        <charset val="128"/>
        <scheme val="minor"/>
      </rPr>
      <t>建非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</si>
  <si>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黄酒; 高粱酒; 梅酒; 青稞酒; 白酒; 甜酒; 果酒; 烈酒</t>
    </r>
  </si>
  <si>
    <t>ZPIT</t>
  </si>
  <si>
    <t>深圳思派力科技有限公司</t>
  </si>
  <si>
    <r>
      <t xml:space="preserve">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草莓酒; 白葡萄酒;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青稞酒;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</si>
  <si>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森气友</t>
  </si>
  <si>
    <t>李姣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</si>
  <si>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黄酒; 汽酒; 白酒; 葡萄酒; 米酒</t>
    </r>
  </si>
  <si>
    <r>
      <t>龙须</t>
    </r>
    <r>
      <rPr>
        <sz val="11"/>
        <color theme="1"/>
        <rFont val="ＭＳ Ｐゴシック"/>
        <family val="3"/>
        <charset val="128"/>
        <scheme val="minor"/>
      </rPr>
      <t>太</t>
    </r>
  </si>
  <si>
    <r>
      <t>河南弘安酒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</si>
  <si>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</t>
    </r>
  </si>
  <si>
    <t>启明明德</t>
  </si>
  <si>
    <t>启明明德（深圳）文化有限公司</t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</si>
  <si>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</si>
  <si>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宋熠</t>
  </si>
  <si>
    <r>
      <t>深圳市路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行至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</si>
  <si>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柑香酒; 葡萄酒; 米酒; 果酒（含酒精）; 黄酒; 蜂蜜酒;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</si>
  <si>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爵掌柜</t>
  </si>
  <si>
    <r>
      <t>深圳渝邦投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控股有限公司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</si>
  <si>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果酒; 白酒; 黄酒;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</si>
  <si>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光源万</t>
    </r>
    <r>
      <rPr>
        <sz val="11"/>
        <color theme="1"/>
        <rFont val="ＭＳ Ｐゴシック"/>
        <family val="3"/>
        <charset val="134"/>
        <scheme val="minor"/>
      </rPr>
      <t>创</t>
    </r>
  </si>
  <si>
    <r>
      <t>河南省盛源万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信息科技有限公司</t>
    </r>
  </si>
  <si>
    <r>
      <t xml:space="preserve">威士忌;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</si>
  <si>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t>匡王道</t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</si>
  <si>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</t>
    </r>
  </si>
  <si>
    <r>
      <t>畅</t>
    </r>
    <r>
      <rPr>
        <sz val="11"/>
        <color theme="1"/>
        <rFont val="ＭＳ Ｐゴシック"/>
        <family val="3"/>
        <charset val="128"/>
        <scheme val="minor"/>
      </rPr>
      <t>五洲</t>
    </r>
  </si>
  <si>
    <r>
      <t>孙银</t>
    </r>
    <r>
      <rPr>
        <sz val="11"/>
        <color theme="1"/>
        <rFont val="ＭＳ Ｐゴシック"/>
        <family val="3"/>
        <charset val="128"/>
        <scheme val="minor"/>
      </rPr>
      <t>文</t>
    </r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</si>
  <si>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梅酒; 白酒; 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清酒（日本米酒）</t>
    </r>
  </si>
  <si>
    <t>蒙养延</t>
  </si>
  <si>
    <t>江瑞</t>
  </si>
  <si>
    <r>
      <t xml:space="preserve">开胃酒; 米酒; 青稞酒; 蜂蜜酒; 果酒（含酒精）;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</si>
  <si>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FUSISHANQUAN</t>
  </si>
  <si>
    <r>
      <t>富</t>
    </r>
    <r>
      <rPr>
        <sz val="11"/>
        <color theme="1"/>
        <rFont val="ＭＳ Ｐゴシック"/>
        <family val="3"/>
        <charset val="134"/>
        <scheme val="minor"/>
      </rPr>
      <t>锶</t>
    </r>
    <r>
      <rPr>
        <sz val="11"/>
        <color theme="1"/>
        <rFont val="ＭＳ Ｐゴシック"/>
        <family val="3"/>
        <charset val="128"/>
        <scheme val="minor"/>
      </rPr>
      <t>山泉天然水（丹江口）有限公司</t>
    </r>
  </si>
  <si>
    <r>
      <t xml:space="preserve">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甘蔗制烈酒;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</si>
  <si>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斯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力克 SRLEK</t>
    </r>
  </si>
  <si>
    <r>
      <t xml:space="preserve">清酒; 葡萄酒;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</si>
  <si>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欢</t>
    </r>
    <r>
      <rPr>
        <sz val="11"/>
        <color theme="1"/>
        <rFont val="ＭＳ Ｐゴシック"/>
        <family val="3"/>
        <charset val="128"/>
        <scheme val="minor"/>
      </rPr>
      <t>迎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</si>
  <si>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钦钦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</si>
  <si>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白酒; 米酒; 葡萄酒; 果酒（含酒精）</t>
    </r>
  </si>
  <si>
    <r>
      <t>京台</t>
    </r>
    <r>
      <rPr>
        <sz val="11"/>
        <color theme="1"/>
        <rFont val="ＭＳ Ｐゴシック"/>
        <family val="3"/>
        <charset val="134"/>
        <scheme val="minor"/>
      </rPr>
      <t>訸顺</t>
    </r>
  </si>
  <si>
    <r>
      <t>白酒; 果酒（含酒精）; 黄酒;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白干酒（中国白酒）</t>
    </r>
  </si>
  <si>
    <t>百草福</t>
  </si>
  <si>
    <t>姚金在</t>
  </si>
  <si>
    <r>
      <t xml:space="preserve">果酒（含酒精）;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茴香酒（利口酒）; 蜂蜜酒;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</si>
  <si>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古窑聚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</si>
  <si>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白酒; 威士忌; 果酒（含酒精）; 米酒;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</si>
  <si>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英旨</t>
  </si>
  <si>
    <t>孔祥英</t>
  </si>
  <si>
    <r>
      <t xml:space="preserve">葡萄酒; 果酒（含酒精）; 黄酒; 朗姆酒; 白酒;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伏特加酒; 威士忌</t>
    </r>
  </si>
  <si>
    <r>
      <t>泉州方泰投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</si>
  <si>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清酒（日本米酒）; 黄酒;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利口酒; 伏特加酒; 朗姆酒</t>
    </r>
  </si>
  <si>
    <r>
      <t>邓</t>
    </r>
    <r>
      <rPr>
        <sz val="11"/>
        <color theme="1"/>
        <rFont val="ＭＳ Ｐゴシック"/>
        <family val="3"/>
        <charset val="128"/>
        <scheme val="minor"/>
      </rPr>
      <t>府熊猫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</si>
  <si>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邓</t>
    </r>
    <r>
      <rPr>
        <sz val="11"/>
        <color theme="1"/>
        <rFont val="ＭＳ Ｐゴシック"/>
        <family val="3"/>
        <charset val="128"/>
        <scheme val="minor"/>
      </rPr>
      <t>府酒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</si>
  <si>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白干酒（中国白酒）;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果酒; 清酒;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</si>
  <si>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言酩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</si>
  <si>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白酒; 黄酒; 清酒; 薄荷酒; 青稞酒;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</t>
    </r>
  </si>
  <si>
    <r>
      <t>诺</t>
    </r>
    <r>
      <rPr>
        <sz val="11"/>
        <color theme="1"/>
        <rFont val="ＭＳ Ｐゴシック"/>
        <family val="3"/>
        <charset val="128"/>
        <scheme val="minor"/>
      </rPr>
      <t>凌</t>
    </r>
  </si>
  <si>
    <r>
      <t>广州宜京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</si>
  <si>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伏特加酒;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</si>
  <si>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蹄</t>
    </r>
    <r>
      <rPr>
        <sz val="11"/>
        <color theme="1"/>
        <rFont val="ＭＳ Ｐゴシック"/>
        <family val="3"/>
        <charset val="134"/>
        <scheme val="minor"/>
      </rPr>
      <t>鲸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</si>
  <si>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市湖里区</t>
    </r>
    <r>
      <rPr>
        <sz val="11"/>
        <color theme="1"/>
        <rFont val="ＭＳ Ｐゴシック"/>
        <family val="3"/>
        <charset val="134"/>
        <scheme val="minor"/>
      </rPr>
      <t>侨</t>
    </r>
    <r>
      <rPr>
        <sz val="11"/>
        <color theme="1"/>
        <rFont val="ＭＳ Ｐゴシック"/>
        <family val="3"/>
        <charset val="128"/>
        <scheme val="minor"/>
      </rPr>
      <t>天号百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</si>
  <si>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 xml:space="preserve">葡萄酒;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清酒（日本米酒）;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果酒（含酒精）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</si>
  <si>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威雀</t>
    </r>
  </si>
  <si>
    <r>
      <t>南京逸晨</t>
    </r>
    <r>
      <rPr>
        <sz val="11"/>
        <color theme="1"/>
        <rFont val="ＭＳ Ｐゴシック"/>
        <family val="3"/>
        <charset val="134"/>
        <scheme val="minor"/>
      </rPr>
      <t>驹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</si>
  <si>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黄酒;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</si>
  <si>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火良匠</t>
  </si>
  <si>
    <r>
      <t xml:space="preserve">果酒（含酒精）; 威士忌;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食用酒精; 葡萄酒</t>
    </r>
  </si>
  <si>
    <r>
      <t>乌</t>
    </r>
    <r>
      <rPr>
        <sz val="11"/>
        <color theme="1"/>
        <rFont val="ＭＳ Ｐゴシック"/>
        <family val="3"/>
        <charset val="128"/>
        <scheme val="minor"/>
      </rPr>
      <t>伊喀疆</t>
    </r>
  </si>
  <si>
    <r>
      <t>新疆雄疆酒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</si>
  <si>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果酒; 黄酒; 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葡萄酒; 米酒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</si>
  <si>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*****************X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</si>
  <si>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黄酒; 米酒; 白酒</t>
    </r>
  </si>
  <si>
    <t>勐野牛</t>
  </si>
  <si>
    <r>
      <t>罗</t>
    </r>
    <r>
      <rPr>
        <sz val="11"/>
        <color theme="1"/>
        <rFont val="ＭＳ Ｐゴシック"/>
        <family val="3"/>
        <charset val="128"/>
        <scheme val="minor"/>
      </rPr>
      <t>斌</t>
    </r>
  </si>
  <si>
    <r>
      <t>白酒;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甜果酒;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露酒; 青稞酒</t>
    </r>
  </si>
  <si>
    <r>
      <t>百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臻</t>
    </r>
  </si>
  <si>
    <r>
      <t>开封航冠商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</si>
  <si>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伏特加酒; 利口酒;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黄酒</t>
    </r>
  </si>
  <si>
    <t>斜口</t>
  </si>
  <si>
    <r>
      <t>吴学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</si>
  <si>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 xml:space="preserve">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白酒; 葡萄酒</t>
    </r>
  </si>
  <si>
    <t>王家帮</t>
  </si>
  <si>
    <r>
      <t>王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琴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</si>
  <si>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</si>
  <si>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福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人</t>
    </r>
  </si>
  <si>
    <r>
      <t>易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宇</t>
    </r>
  </si>
  <si>
    <r>
      <t xml:space="preserve">开胃酒; 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</si>
  <si>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北京同威志达技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</si>
  <si>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食用酒精; 威士忌; 白酒; 米酒</t>
    </r>
  </si>
  <si>
    <t>格瑞山度</t>
  </si>
  <si>
    <r>
      <t xml:space="preserve">果酒;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</si>
  <si>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颍</t>
    </r>
    <r>
      <rPr>
        <sz val="11"/>
        <color theme="1"/>
        <rFont val="ＭＳ Ｐゴシック"/>
        <family val="3"/>
        <charset val="128"/>
        <scheme val="minor"/>
      </rPr>
      <t>合堂</t>
    </r>
  </si>
  <si>
    <r>
      <t>河南省</t>
    </r>
    <r>
      <rPr>
        <sz val="11"/>
        <color theme="1"/>
        <rFont val="ＭＳ Ｐゴシック"/>
        <family val="3"/>
        <charset val="134"/>
        <scheme val="minor"/>
      </rPr>
      <t>颍</t>
    </r>
    <r>
      <rPr>
        <sz val="11"/>
        <color theme="1"/>
        <rFont val="ＭＳ Ｐゴシック"/>
        <family val="3"/>
        <charset val="128"/>
        <scheme val="minor"/>
      </rPr>
      <t>合医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</si>
  <si>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清酒（日本米酒）;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黄酒; 白酒</t>
    </r>
  </si>
  <si>
    <t>赤石山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</si>
  <si>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曾子故里酒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</si>
  <si>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蜂蜜酒; 米酒; 青稞酒; 白酒; 果酒（含酒精）</t>
    </r>
  </si>
  <si>
    <r>
      <t>贝</t>
    </r>
    <r>
      <rPr>
        <sz val="11"/>
        <color theme="1"/>
        <rFont val="ＭＳ Ｐゴシック"/>
        <family val="3"/>
        <charset val="128"/>
        <scheme val="minor"/>
      </rPr>
      <t>斯林</t>
    </r>
  </si>
  <si>
    <r>
      <t>珲</t>
    </r>
    <r>
      <rPr>
        <sz val="11"/>
        <color theme="1"/>
        <rFont val="ＭＳ Ｐゴシック"/>
        <family val="3"/>
        <charset val="128"/>
        <scheme val="minor"/>
      </rPr>
      <t>春市博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</si>
  <si>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高粱酒; 米酒; 伏特加酒;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</si>
  <si>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笑辣辣</t>
  </si>
  <si>
    <t>湖南省笑笑食品有限公司</t>
  </si>
  <si>
    <r>
      <t xml:space="preserve">伏特加酒; 黄酒;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</si>
  <si>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铂</t>
    </r>
    <r>
      <rPr>
        <sz val="11"/>
        <color theme="1"/>
        <rFont val="ＭＳ Ｐゴシック"/>
        <family val="3"/>
        <charset val="128"/>
        <scheme val="minor"/>
      </rPr>
      <t>琅</t>
    </r>
    <r>
      <rPr>
        <sz val="11"/>
        <color theme="1"/>
        <rFont val="ＭＳ Ｐゴシック"/>
        <family val="3"/>
        <charset val="134"/>
        <scheme val="minor"/>
      </rPr>
      <t>纳</t>
    </r>
  </si>
  <si>
    <r>
      <t>孙</t>
    </r>
    <r>
      <rPr>
        <sz val="11"/>
        <color theme="1"/>
        <rFont val="ＭＳ Ｐゴシック"/>
        <family val="3"/>
        <charset val="129"/>
        <scheme val="minor"/>
      </rPr>
      <t>强</t>
    </r>
  </si>
  <si>
    <t>白酒; 苹果酒; 清酒（日本米酒）; 开胃酒; 薄荷酒; 黄酒</t>
  </si>
  <si>
    <r>
      <t>山</t>
    </r>
    <r>
      <rPr>
        <sz val="11"/>
        <color theme="1"/>
        <rFont val="ＭＳ Ｐゴシック"/>
        <family val="3"/>
        <charset val="134"/>
        <scheme val="minor"/>
      </rPr>
      <t>涧</t>
    </r>
    <r>
      <rPr>
        <sz val="11"/>
        <color theme="1"/>
        <rFont val="ＭＳ Ｐゴシック"/>
        <family val="3"/>
        <charset val="128"/>
        <scheme val="minor"/>
      </rPr>
      <t>起</t>
    </r>
  </si>
  <si>
    <r>
      <t>漳州市山</t>
    </r>
    <r>
      <rPr>
        <sz val="11"/>
        <color theme="1"/>
        <rFont val="ＭＳ Ｐゴシック"/>
        <family val="3"/>
        <charset val="134"/>
        <scheme val="minor"/>
      </rPr>
      <t>涧</t>
    </r>
    <r>
      <rPr>
        <sz val="11"/>
        <color theme="1"/>
        <rFont val="ＭＳ Ｐゴシック"/>
        <family val="3"/>
        <charset val="128"/>
        <scheme val="minor"/>
      </rPr>
      <t>起餐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</si>
  <si>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朗姆酒; 咖啡利口酒; 果酒（含酒精）</t>
    </r>
  </si>
  <si>
    <r>
      <t>日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茨</t>
    </r>
  </si>
  <si>
    <r>
      <t>绥</t>
    </r>
    <r>
      <rPr>
        <sz val="11"/>
        <color theme="1"/>
        <rFont val="ＭＳ Ｐゴシック"/>
        <family val="3"/>
        <charset val="128"/>
        <scheme val="minor"/>
      </rPr>
      <t>芬河市恒佳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</si>
  <si>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露酒;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混合威士忌酒; 利口酒;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烈酒; 葡萄酒; 朗姆酒</t>
    </r>
  </si>
  <si>
    <r>
      <t>勇哥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厨</t>
    </r>
  </si>
  <si>
    <t>向勇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</si>
  <si>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威士忌; 清酒（日本米酒）</t>
    </r>
  </si>
  <si>
    <t>徐民望</t>
  </si>
  <si>
    <r>
      <t>苏</t>
    </r>
    <r>
      <rPr>
        <sz val="11"/>
        <color theme="1"/>
        <rFont val="ＭＳ Ｐゴシック"/>
        <family val="3"/>
        <charset val="128"/>
        <scheme val="minor"/>
      </rPr>
      <t>州沈万三食品科技有限公司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</si>
  <si>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米酒;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</si>
  <si>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不二酒探</t>
  </si>
  <si>
    <r>
      <t>泰安市食分意外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</si>
  <si>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薄荷酒;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烈酒; 果酒（含酒精）; 葡萄酒; 威士忌</t>
    </r>
  </si>
  <si>
    <r>
      <t>瑞菁</t>
    </r>
    <r>
      <rPr>
        <sz val="11"/>
        <color theme="1"/>
        <rFont val="ＭＳ Ｐゴシック"/>
        <family val="3"/>
        <charset val="134"/>
        <scheme val="minor"/>
      </rPr>
      <t>莲</t>
    </r>
    <r>
      <rPr>
        <sz val="11"/>
        <color theme="1"/>
        <rFont val="ＭＳ Ｐゴシック"/>
        <family val="3"/>
        <charset val="128"/>
        <scheme val="minor"/>
      </rPr>
      <t>菲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</si>
  <si>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瑞菁化</t>
    </r>
    <r>
      <rPr>
        <sz val="11"/>
        <color theme="1"/>
        <rFont val="ＭＳ Ｐゴシック"/>
        <family val="3"/>
        <charset val="134"/>
        <scheme val="minor"/>
      </rPr>
      <t>妆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</si>
  <si>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白酒; 食用酒精; 果酒（含酒精）; 米酒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</si>
  <si>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山后的酒</t>
    </r>
    <r>
      <rPr>
        <sz val="11"/>
        <color theme="1"/>
        <rFont val="ＭＳ Ｐゴシック"/>
        <family val="3"/>
        <charset val="134"/>
        <scheme val="minor"/>
      </rPr>
      <t>馆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</si>
  <si>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无</t>
    </r>
    <r>
      <rPr>
        <sz val="11"/>
        <color theme="1"/>
        <rFont val="ＭＳ Ｐゴシック"/>
        <family val="3"/>
        <charset val="134"/>
        <scheme val="minor"/>
      </rPr>
      <t>为产业</t>
    </r>
    <r>
      <rPr>
        <sz val="11"/>
        <color theme="1"/>
        <rFont val="ＭＳ Ｐゴシック"/>
        <family val="3"/>
        <charset val="128"/>
        <scheme val="minor"/>
      </rPr>
      <t>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</si>
  <si>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葡萄酒; 食用酒精</t>
    </r>
  </si>
  <si>
    <r>
      <t>诗</t>
    </r>
    <r>
      <rPr>
        <sz val="11"/>
        <color theme="1"/>
        <rFont val="ＭＳ Ｐゴシック"/>
        <family val="3"/>
        <charset val="128"/>
        <scheme val="minor"/>
      </rPr>
      <t>脉</t>
    </r>
  </si>
  <si>
    <r>
      <t>官世</t>
    </r>
    <r>
      <rPr>
        <sz val="11"/>
        <color theme="1"/>
        <rFont val="ＭＳ Ｐゴシック"/>
        <family val="3"/>
        <charset val="134"/>
        <scheme val="minor"/>
      </rPr>
      <t>团</t>
    </r>
  </si>
  <si>
    <r>
      <t xml:space="preserve">白酒; 葡萄酒; 食用酒精;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</si>
  <si>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t>高矮兄弟</t>
  </si>
  <si>
    <t>王景全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</si>
  <si>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果酒（含酒精）; 米酒;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</si>
  <si>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女君堂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</si>
  <si>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逆生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</si>
  <si>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葡萄汽酒;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酸酒（低等葡萄酒）;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白葡萄酒</t>
    </r>
  </si>
  <si>
    <r>
      <t>美利</t>
    </r>
    <r>
      <rPr>
        <sz val="11"/>
        <color theme="1"/>
        <rFont val="ＭＳ Ｐゴシック"/>
        <family val="3"/>
        <charset val="134"/>
        <scheme val="minor"/>
      </rPr>
      <t>亚丽</t>
    </r>
  </si>
  <si>
    <r>
      <t>河南信德利商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</si>
  <si>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米酒; 葡萄酒;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开胃酒</t>
    </r>
  </si>
  <si>
    <r>
      <t>上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裕</t>
    </r>
  </si>
  <si>
    <t>周德威</t>
  </si>
  <si>
    <r>
      <t>青稞酒; 开胃酒; 苹果酒; 白酒;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白葡萄酒;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青梅酒; 果酒</t>
    </r>
  </si>
  <si>
    <r>
      <t>李昊</t>
    </r>
    <r>
      <rPr>
        <sz val="11"/>
        <color theme="1"/>
        <rFont val="ＭＳ Ｐゴシック"/>
        <family val="3"/>
        <charset val="134"/>
        <scheme val="minor"/>
      </rPr>
      <t>泽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</si>
  <si>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齐</t>
    </r>
    <r>
      <rPr>
        <sz val="11"/>
        <color theme="1"/>
        <rFont val="ＭＳ Ｐゴシック"/>
        <family val="3"/>
        <charset val="128"/>
        <scheme val="minor"/>
      </rPr>
      <t>明</t>
    </r>
  </si>
  <si>
    <r>
      <t>青稞酒; 白酒; 苦味酒; 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</si>
  <si>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豫石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</si>
  <si>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北京鼎越餐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</si>
  <si>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葡萄酒; 酸酒（低等葡萄酒）; 开胃酒;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</si>
  <si>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 xml:space="preserve">含酒精的气泡水; 威士忌;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白酒; 开胃酒; 葡萄酒</t>
    </r>
  </si>
  <si>
    <t>奉千古</t>
  </si>
  <si>
    <t>李安政</t>
  </si>
  <si>
    <r>
      <t>汽酒; 果酒（含酒精）;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白酒; 米酒; 葡萄酒; 烈酒</t>
    </r>
  </si>
  <si>
    <t>酷啦啦</t>
  </si>
  <si>
    <r>
      <t>肇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奇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之仁堂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料食品有限公司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</si>
  <si>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清酒;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</si>
  <si>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鹿至旗</t>
    </r>
    <r>
      <rPr>
        <sz val="11"/>
        <color theme="1"/>
        <rFont val="ＭＳ Ｐゴシック"/>
        <family val="3"/>
        <charset val="134"/>
        <scheme val="minor"/>
      </rPr>
      <t>诚</t>
    </r>
  </si>
  <si>
    <r>
      <t>磐石至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牧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</si>
  <si>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伏特加酒;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</si>
  <si>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丹谷</t>
    </r>
  </si>
  <si>
    <r>
      <t>珠海市和佳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园中医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</si>
  <si>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甜酒; 果酒（含酒精）; 白酒; 葡萄酒;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清酒</t>
    </r>
  </si>
  <si>
    <r>
      <t>锦壶</t>
    </r>
    <r>
      <rPr>
        <sz val="11"/>
        <color theme="1"/>
        <rFont val="ＭＳ Ｐゴシック"/>
        <family val="3"/>
        <charset val="128"/>
        <scheme val="minor"/>
      </rPr>
      <t>川</t>
    </r>
  </si>
  <si>
    <t>哀孟然</t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</si>
  <si>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开胃酒;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蜂蜜酒;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</si>
  <si>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荟</t>
    </r>
    <r>
      <rPr>
        <sz val="11"/>
        <color theme="1"/>
        <rFont val="ＭＳ Ｐゴシック"/>
        <family val="3"/>
        <charset val="128"/>
        <scheme val="minor"/>
      </rPr>
      <t>汝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</si>
  <si>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婷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</si>
  <si>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利口酒; 含酒精的气泡水;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开胃酒; 葡萄酒; 米酒; 白酒</t>
    </r>
  </si>
  <si>
    <r>
      <t>贤</t>
    </r>
    <r>
      <rPr>
        <sz val="11"/>
        <color theme="1"/>
        <rFont val="ＭＳ Ｐゴシック"/>
        <family val="3"/>
        <charset val="128"/>
        <scheme val="minor"/>
      </rPr>
      <t>福川</t>
    </r>
  </si>
  <si>
    <r>
      <t>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清酒（日本米酒）;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</si>
  <si>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拙老</t>
    </r>
    <r>
      <rPr>
        <sz val="11"/>
        <color theme="1"/>
        <rFont val="ＭＳ Ｐゴシック"/>
        <family val="3"/>
        <charset val="134"/>
        <scheme val="minor"/>
      </rPr>
      <t>汉</t>
    </r>
  </si>
  <si>
    <r>
      <t>尚志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</si>
  <si>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威士忌</t>
    </r>
  </si>
  <si>
    <r>
      <t>河北乾隆御酒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</si>
  <si>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苹果酒; 露酒; 米酒;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梨酒</t>
    </r>
  </si>
  <si>
    <r>
      <t>忆</t>
    </r>
    <r>
      <rPr>
        <sz val="11"/>
        <color theme="1"/>
        <rFont val="ＭＳ Ｐゴシック"/>
        <family val="3"/>
        <charset val="128"/>
        <scheme val="minor"/>
      </rPr>
      <t>千</t>
    </r>
    <r>
      <rPr>
        <sz val="11"/>
        <color theme="1"/>
        <rFont val="ＭＳ Ｐゴシック"/>
        <family val="3"/>
        <charset val="134"/>
        <scheme val="minor"/>
      </rPr>
      <t>长</t>
    </r>
  </si>
  <si>
    <r>
      <t>湖南国榜酒</t>
    </r>
    <r>
      <rPr>
        <sz val="11"/>
        <color theme="1"/>
        <rFont val="ＭＳ Ｐゴシック"/>
        <family val="3"/>
        <charset val="134"/>
        <scheme val="minor"/>
      </rPr>
      <t>业贸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</si>
  <si>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青稞酒;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</si>
  <si>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乾耘万</t>
    </r>
    <r>
      <rPr>
        <sz val="11"/>
        <color theme="1"/>
        <rFont val="ＭＳ Ｐゴシック"/>
        <family val="3"/>
        <charset val="134"/>
        <scheme val="minor"/>
      </rPr>
      <t>亩</t>
    </r>
  </si>
  <si>
    <r>
      <t>天津乾云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</si>
  <si>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米酒; 白酒; 葡萄酒; 白葡萄酒;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混合威士忌酒;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</t>
    </r>
  </si>
  <si>
    <r>
      <t>踏山</t>
    </r>
    <r>
      <rPr>
        <sz val="11"/>
        <color theme="1"/>
        <rFont val="ＭＳ Ｐゴシック"/>
        <family val="3"/>
        <charset val="134"/>
        <scheme val="minor"/>
      </rPr>
      <t>巅</t>
    </r>
  </si>
  <si>
    <r>
      <t>宿迁正辰哥商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</si>
  <si>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利口酒;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</si>
  <si>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禄</t>
    </r>
    <r>
      <rPr>
        <sz val="11"/>
        <color theme="1"/>
        <rFont val="ＭＳ Ｐゴシック"/>
        <family val="3"/>
        <charset val="134"/>
        <scheme val="minor"/>
      </rPr>
      <t>华诗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</si>
  <si>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白酒; 威士忌;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蜂蜜酒</t>
    </r>
  </si>
  <si>
    <t>梅德孚</t>
  </si>
  <si>
    <t>梅俊勇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</si>
  <si>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米酒; 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</si>
  <si>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三香林河</t>
  </si>
  <si>
    <r>
      <t>河南慕恩文化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</si>
  <si>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</si>
  <si>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逸溪 STREAMS OF HOPE</t>
  </si>
  <si>
    <r>
      <t>宁波甬上溪旺文化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</si>
  <si>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果酒（含酒精）;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</si>
  <si>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酌大斗</t>
  </si>
  <si>
    <r>
      <t>宁夏醉心醉葡萄酒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</si>
  <si>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加烈葡萄酒;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白葡萄酒; 酸酒（低等葡萄酒）;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</si>
  <si>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龙垦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</si>
  <si>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广州</t>
    </r>
    <r>
      <rPr>
        <sz val="11"/>
        <color theme="1"/>
        <rFont val="ＭＳ Ｐゴシック"/>
        <family val="3"/>
        <charset val="134"/>
        <scheme val="minor"/>
      </rPr>
      <t>农垦</t>
    </r>
    <r>
      <rPr>
        <sz val="11"/>
        <color theme="1"/>
        <rFont val="ＭＳ Ｐゴシック"/>
        <family val="3"/>
        <charset val="128"/>
        <scheme val="minor"/>
      </rPr>
      <t>福生物科技有限公司</t>
    </r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</si>
  <si>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葡萄酒; 米酒; 烈酒; 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</si>
  <si>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视</t>
    </r>
    <r>
      <rPr>
        <sz val="11"/>
        <color theme="1"/>
        <rFont val="ＭＳ Ｐゴシック"/>
        <family val="3"/>
        <charset val="128"/>
        <scheme val="minor"/>
      </rPr>
      <t>达通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</si>
  <si>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正</t>
    </r>
  </si>
  <si>
    <r>
      <t>白酒; 果酒（含酒精）; 青稞酒;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</si>
  <si>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醉知</t>
    </r>
    <r>
      <rPr>
        <sz val="11"/>
        <color theme="1"/>
        <rFont val="ＭＳ Ｐゴシック"/>
        <family val="3"/>
        <charset val="134"/>
        <scheme val="minor"/>
      </rPr>
      <t>见</t>
    </r>
  </si>
  <si>
    <r>
      <t>汽酒; 烈酒; 葡萄酒;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米酒;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</si>
  <si>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五良小川</t>
  </si>
  <si>
    <r>
      <t>四川五良小川酒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</si>
  <si>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果酒（含酒精）; 汽酒; 葡萄酒</t>
    </r>
  </si>
  <si>
    <r>
      <t>豪情尽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</si>
  <si>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清酒（日本米酒）; 白酒; 威士忌;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米酒;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</si>
  <si>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坛</t>
    </r>
    <r>
      <rPr>
        <sz val="11"/>
        <color theme="1"/>
        <rFont val="ＭＳ Ｐゴシック"/>
        <family val="3"/>
        <charset val="128"/>
        <scheme val="minor"/>
      </rPr>
      <t>王道</t>
    </r>
  </si>
  <si>
    <t>王世涛</t>
  </si>
  <si>
    <r>
      <t>食用酒精;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</si>
  <si>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体朋醉</t>
  </si>
  <si>
    <r>
      <t>安徽川系供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</si>
  <si>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清酒; 葡萄酒; 甜酒; 黄酒; 威士忌;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</t>
    </r>
  </si>
  <si>
    <r>
      <t>赢</t>
    </r>
    <r>
      <rPr>
        <sz val="11"/>
        <color theme="1"/>
        <rFont val="ＭＳ Ｐゴシック"/>
        <family val="3"/>
        <charset val="128"/>
        <scheme val="minor"/>
      </rPr>
      <t>嬴嬴</t>
    </r>
    <r>
      <rPr>
        <sz val="11"/>
        <color theme="1"/>
        <rFont val="ＭＳ Ｐゴシック"/>
        <family val="3"/>
        <charset val="134"/>
        <scheme val="minor"/>
      </rPr>
      <t>赢</t>
    </r>
  </si>
  <si>
    <r>
      <t>澳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濠江夜宴酒厂有限公司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</si>
  <si>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青稞酒;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烈酒; 米酒; 威士忌</t>
    </r>
  </si>
  <si>
    <t>爵祁</t>
  </si>
  <si>
    <t>童恩和</t>
  </si>
  <si>
    <r>
      <t>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梨酒;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清酒（日本米酒）; 威士忌; 开胃酒;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酸酒（低等葡萄酒）</t>
    </r>
  </si>
  <si>
    <r>
      <t>坛</t>
    </r>
    <r>
      <rPr>
        <sz val="11"/>
        <color theme="1"/>
        <rFont val="ＭＳ Ｐゴシック"/>
        <family val="3"/>
        <charset val="128"/>
        <scheme val="minor"/>
      </rPr>
      <t>春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</si>
  <si>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>黄酒; 开胃酒;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蜂蜜酒;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</t>
    </r>
  </si>
  <si>
    <r>
      <t>禧</t>
    </r>
    <r>
      <rPr>
        <sz val="11"/>
        <color theme="1"/>
        <rFont val="ＭＳ Ｐゴシック"/>
        <family val="3"/>
        <charset val="134"/>
        <scheme val="minor"/>
      </rPr>
      <t>凤涧</t>
    </r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</si>
  <si>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威士忌; 青稞酒;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</si>
  <si>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言章</t>
  </si>
  <si>
    <r>
      <t>威士忌; 汽酒; 烈酒; 果酒（含酒精）; 米酒;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清酒（日本米酒）</t>
    </r>
  </si>
  <si>
    <t>金窖辰</t>
  </si>
  <si>
    <r>
      <t>耿立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</si>
  <si>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清酒; 伏特加酒; 果酒（含酒精）</t>
    </r>
  </si>
  <si>
    <t>津老几</t>
  </si>
  <si>
    <r>
      <t>百味千禾（重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）食品有限公司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</si>
  <si>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高粱酒; 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白干酒（中国白酒）;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蒸煮提取物（利口酒和烈酒）</t>
    </r>
  </si>
  <si>
    <t>小麂泰泰</t>
  </si>
  <si>
    <t>深圳聚捷效科技有限公司</t>
  </si>
  <si>
    <r>
      <t xml:space="preserve">米酒;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威士忌;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</si>
  <si>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榕曦府</t>
  </si>
  <si>
    <r>
      <t>玺赞</t>
    </r>
    <r>
      <rPr>
        <sz val="11"/>
        <color theme="1"/>
        <rFont val="ＭＳ Ｐゴシック"/>
        <family val="3"/>
        <charset val="128"/>
        <scheme val="minor"/>
      </rPr>
      <t>（上海）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</si>
  <si>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苦味酒</t>
    </r>
  </si>
  <si>
    <r>
      <t>往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郡</t>
    </r>
  </si>
  <si>
    <r>
      <t>王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俊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</si>
  <si>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</si>
  <si>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赫臻宝</t>
  </si>
  <si>
    <t>王渺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</si>
  <si>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黄酒; 米酒; 食用酒精;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</si>
  <si>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</si>
  <si>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麂太太</t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</si>
  <si>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</si>
  <si>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鹦</t>
    </r>
    <r>
      <rPr>
        <sz val="11"/>
        <color theme="1"/>
        <rFont val="ＭＳ Ｐゴシック"/>
        <family val="3"/>
        <charset val="128"/>
        <scheme val="minor"/>
      </rPr>
      <t>多多</t>
    </r>
  </si>
  <si>
    <r>
      <t>翟静</t>
    </r>
    <r>
      <rPr>
        <sz val="11"/>
        <color theme="1"/>
        <rFont val="ＭＳ Ｐゴシック"/>
        <family val="3"/>
        <charset val="134"/>
        <scheme val="minor"/>
      </rPr>
      <t>峥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</si>
  <si>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</si>
  <si>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方知集</t>
  </si>
  <si>
    <r>
      <t>白酒; 米酒; 葡萄酒;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烈酒; 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</si>
  <si>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t>何以烟火</t>
  </si>
  <si>
    <r>
      <t>泉州</t>
    </r>
    <r>
      <rPr>
        <sz val="11"/>
        <color theme="1"/>
        <rFont val="ＭＳ Ｐゴシック"/>
        <family val="3"/>
        <charset val="134"/>
        <scheme val="minor"/>
      </rPr>
      <t>华选传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</si>
  <si>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米酒; 威士忌;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</si>
  <si>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t>章呈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</si>
  <si>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白酒; 葡萄酒; 清酒（日本米酒）; 烈酒; 威士忌; 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</si>
  <si>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麂女士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</si>
  <si>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</si>
  <si>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>畅</t>
    </r>
    <r>
      <rPr>
        <sz val="11"/>
        <color theme="1"/>
        <rFont val="ＭＳ Ｐゴシック"/>
        <family val="3"/>
        <charset val="128"/>
        <scheme val="minor"/>
      </rPr>
      <t>夜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</si>
  <si>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书</t>
    </r>
    <r>
      <rPr>
        <sz val="11"/>
        <color theme="1"/>
        <rFont val="ＭＳ Ｐゴシック"/>
        <family val="3"/>
        <charset val="128"/>
        <scheme val="minor"/>
      </rPr>
      <t>斌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</si>
  <si>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利口酒; 含酒精的气泡水;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威士忌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</si>
  <si>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公主</t>
    </r>
  </si>
  <si>
    <t>甘奇</t>
  </si>
  <si>
    <r>
      <t xml:space="preserve">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果酒（含酒精）; 白葡萄酒;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汽酒</t>
    </r>
  </si>
  <si>
    <r>
      <t>知遇</t>
    </r>
    <r>
      <rPr>
        <sz val="11"/>
        <color theme="1"/>
        <rFont val="ＭＳ Ｐゴシック"/>
        <family val="3"/>
        <charset val="134"/>
        <scheme val="minor"/>
      </rPr>
      <t>见</t>
    </r>
  </si>
  <si>
    <r>
      <t>广州市浙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</si>
  <si>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柑香酒; 蒸煮提取物（利口酒和烈酒）; 果酒（含酒精）; 清酒;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</si>
  <si>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逢</t>
    </r>
    <r>
      <rPr>
        <sz val="11"/>
        <color theme="1"/>
        <rFont val="ＭＳ Ｐゴシック"/>
        <family val="3"/>
        <charset val="134"/>
        <scheme val="minor"/>
      </rPr>
      <t>识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</si>
  <si>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威士忌; 汽酒; 烈酒; 果酒（含酒精）</t>
    </r>
  </si>
  <si>
    <t>牧星谷</t>
  </si>
  <si>
    <r>
      <t>新疆盛合牧星谷文旅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</si>
  <si>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米酒;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</si>
  <si>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曜晟</t>
  </si>
  <si>
    <r>
      <t>广州曜晟科技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</si>
  <si>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含酒精的潘趣酒;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佐餐酒; 苦味酒;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汽酒; 果酒（含酒精）</t>
    </r>
  </si>
  <si>
    <t>落乾池</t>
  </si>
  <si>
    <r>
      <t>沧</t>
    </r>
    <r>
      <rPr>
        <sz val="11"/>
        <color theme="1"/>
        <rFont val="ＭＳ Ｐゴシック"/>
        <family val="3"/>
        <charset val="128"/>
        <scheme val="minor"/>
      </rPr>
      <t>州御醇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</si>
  <si>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</si>
  <si>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承</t>
    </r>
    <r>
      <rPr>
        <sz val="11"/>
        <color theme="1"/>
        <rFont val="ＭＳ Ｐゴシック"/>
        <family val="3"/>
        <charset val="134"/>
        <scheme val="minor"/>
      </rPr>
      <t>满欢</t>
    </r>
  </si>
  <si>
    <r>
      <t>汽酒; 葡萄酒; 威士忌;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清酒（日本米酒）</t>
    </r>
  </si>
  <si>
    <t>那拉提牧星谷星空</t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</si>
  <si>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威士忌;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</si>
  <si>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r>
      <t>辽</t>
    </r>
    <r>
      <rPr>
        <sz val="11"/>
        <color theme="1"/>
        <rFont val="ＭＳ Ｐゴシック"/>
        <family val="3"/>
        <charset val="128"/>
        <scheme val="minor"/>
      </rPr>
      <t>客泉</t>
    </r>
  </si>
  <si>
    <r>
      <t>曹雪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</si>
  <si>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>果酒（含酒精）; 食用酒精;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</si>
  <si>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超意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</si>
  <si>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>济</t>
    </r>
    <r>
      <rPr>
        <sz val="11"/>
        <color theme="1"/>
        <rFont val="ＭＳ Ｐゴシック"/>
        <family val="3"/>
        <charset val="128"/>
        <scheme val="minor"/>
      </rPr>
      <t>南超意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</si>
  <si>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</si>
  <si>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永昶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</si>
  <si>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>深圳市礼域文化科技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</si>
  <si>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白酒;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朗姆酒; 果酒（含酒精）</t>
    </r>
  </si>
  <si>
    <r>
      <t>坛</t>
    </r>
    <r>
      <rPr>
        <sz val="11"/>
        <color theme="1"/>
        <rFont val="ＭＳ Ｐゴシック"/>
        <family val="3"/>
        <charset val="128"/>
        <scheme val="minor"/>
      </rPr>
      <t>迎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</si>
  <si>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青稞酒; 开胃酒; 清酒（日本米酒）;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</si>
  <si>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t>逢森</t>
  </si>
  <si>
    <r>
      <t>杜海</t>
    </r>
    <r>
      <rPr>
        <sz val="11"/>
        <color theme="1"/>
        <rFont val="ＭＳ Ｐゴシック"/>
        <family val="3"/>
        <charset val="134"/>
        <scheme val="minor"/>
      </rPr>
      <t>杨</t>
    </r>
  </si>
  <si>
    <r>
      <t>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果酒（含酒精）</t>
    </r>
  </si>
  <si>
    <r>
      <t>潘美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</si>
  <si>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开胃酒; 葡萄酒</t>
    </r>
  </si>
  <si>
    <r>
      <t>水坤</t>
    </r>
    <r>
      <rPr>
        <sz val="11"/>
        <color theme="1"/>
        <rFont val="ＭＳ Ｐゴシック"/>
        <family val="3"/>
        <charset val="134"/>
        <scheme val="minor"/>
      </rPr>
      <t>仑</t>
    </r>
  </si>
  <si>
    <t>福州竹福宝管理有限公司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</si>
  <si>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葡萄酒; 果酒（含酒精）</t>
    </r>
  </si>
  <si>
    <t>悦惠品悦 YUEYOLIFE</t>
  </si>
  <si>
    <r>
      <t>湖南悦惠品悦商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</si>
  <si>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开胃酒</t>
    </r>
  </si>
  <si>
    <t>越医生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</si>
  <si>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国越医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</si>
  <si>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清酒;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白酒; 汽酒; 葡萄酒</t>
    </r>
  </si>
  <si>
    <t>青天老包</t>
  </si>
  <si>
    <r>
      <t>安徽宇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</si>
  <si>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清酒; 食用酒精; 果酒;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苹果酒; 葡萄酒; 青稞酒; 白酒</t>
    </r>
  </si>
  <si>
    <t>VSOPMT</t>
  </si>
  <si>
    <r>
      <t>王雅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</si>
  <si>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</si>
  <si>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t>宴百卿</t>
  </si>
  <si>
    <r>
      <t xml:space="preserve">果酒（含酒精）; 利口酒; 米酒;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白酒; 果酒; 茴香酒; 葡萄酒</t>
    </r>
  </si>
  <si>
    <t>百卿宴</t>
  </si>
  <si>
    <r>
      <t xml:space="preserve">米酒; 高粱酒;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白酒; 果酒; 茴香酒; 果酒（含酒精）; 葡萄酒</t>
    </r>
  </si>
  <si>
    <r>
      <t>童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雪</t>
    </r>
  </si>
  <si>
    <r>
      <t>师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</si>
  <si>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>果酒（含酒精）; 茴香酒（利口酒）; 苹果酒; 高粱酒; 烈性干酒;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</si>
  <si>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t>禹王大禹</t>
  </si>
  <si>
    <t>王梅</t>
  </si>
  <si>
    <r>
      <t>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</si>
  <si>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绿</t>
    </r>
    <r>
      <rPr>
        <sz val="11"/>
        <color theme="1"/>
        <rFont val="ＭＳ Ｐゴシック"/>
        <family val="3"/>
        <charset val="128"/>
        <scheme val="minor"/>
      </rPr>
      <t>野稼</t>
    </r>
  </si>
  <si>
    <r>
      <t xml:space="preserve">混合威士忌酒; 米酒; 白酒;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白葡萄酒; 烈酒</t>
    </r>
  </si>
  <si>
    <t>米小垚</t>
  </si>
  <si>
    <r>
      <t>太原木易醋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</si>
  <si>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威士忌;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</si>
  <si>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哈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索菲</t>
    </r>
  </si>
  <si>
    <r>
      <t>哈</t>
    </r>
    <r>
      <rPr>
        <sz val="11"/>
        <color theme="1"/>
        <rFont val="ＭＳ Ｐゴシック"/>
        <family val="3"/>
        <charset val="134"/>
        <scheme val="minor"/>
      </rPr>
      <t>尔滨头头鲜</t>
    </r>
    <r>
      <rPr>
        <sz val="11"/>
        <color theme="1"/>
        <rFont val="ＭＳ Ｐゴシック"/>
        <family val="3"/>
        <charset val="128"/>
        <scheme val="minor"/>
      </rPr>
      <t>冷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肉</t>
    </r>
    <r>
      <rPr>
        <sz val="11"/>
        <color theme="1"/>
        <rFont val="ＭＳ Ｐゴシック"/>
        <family val="3"/>
        <charset val="134"/>
        <scheme val="minor"/>
      </rPr>
      <t>经销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</si>
  <si>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梨酒;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</si>
  <si>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罗进</t>
    </r>
    <r>
      <rPr>
        <sz val="11"/>
        <color theme="1"/>
        <rFont val="ＭＳ Ｐゴシック"/>
        <family val="3"/>
        <charset val="128"/>
        <scheme val="minor"/>
      </rPr>
      <t>生甄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</si>
  <si>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罗进</t>
    </r>
    <r>
      <rPr>
        <sz val="11"/>
        <color theme="1"/>
        <rFont val="ＭＳ Ｐゴシック"/>
        <family val="3"/>
        <charset val="128"/>
        <scheme val="minor"/>
      </rPr>
      <t>生</t>
    </r>
  </si>
  <si>
    <r>
      <t>葡萄酒; 蜂蜜酒; 威士忌; 黄酒; 白酒; 伏特加酒; 露酒;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</t>
    </r>
  </si>
  <si>
    <t>肤韵妍</t>
  </si>
  <si>
    <r>
      <t>河北乾昊文化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</si>
  <si>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松叶酒; 青稞酒;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</si>
  <si>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祥云启宸</t>
  </si>
  <si>
    <r>
      <t>湖南</t>
    </r>
    <r>
      <rPr>
        <sz val="11"/>
        <color theme="1"/>
        <rFont val="ＭＳ Ｐゴシック"/>
        <family val="3"/>
        <charset val="134"/>
        <scheme val="minor"/>
      </rPr>
      <t>铭</t>
    </r>
    <r>
      <rPr>
        <sz val="11"/>
        <color theme="1"/>
        <rFont val="ＭＳ Ｐゴシック"/>
        <family val="3"/>
        <charset val="128"/>
        <scheme val="minor"/>
      </rPr>
      <t>姚商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</si>
  <si>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白酒; 清酒（日本米酒）; 米酒; 黄酒; 茴芹酒（利口酒）;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</si>
  <si>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虔酉坊</t>
  </si>
  <si>
    <r>
      <t>唐志</t>
    </r>
    <r>
      <rPr>
        <sz val="11"/>
        <color theme="1"/>
        <rFont val="ＭＳ Ｐゴシック"/>
        <family val="3"/>
        <charset val="134"/>
        <scheme val="minor"/>
      </rPr>
      <t>鸿</t>
    </r>
  </si>
  <si>
    <r>
      <t>白酒; 高粱酒; 甜酒; 米酒; 苦味酒;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威士忌; 果酒（含酒精）; 食用酒精; 黄酒</t>
    </r>
  </si>
  <si>
    <r>
      <t>云游</t>
    </r>
    <r>
      <rPr>
        <sz val="11"/>
        <color theme="1"/>
        <rFont val="ＭＳ Ｐゴシック"/>
        <family val="3"/>
        <charset val="134"/>
        <scheme val="minor"/>
      </rPr>
      <t>颐</t>
    </r>
    <r>
      <rPr>
        <sz val="11"/>
        <color theme="1"/>
        <rFont val="ＭＳ Ｐゴシック"/>
        <family val="3"/>
        <charset val="128"/>
        <scheme val="minor"/>
      </rPr>
      <t>和</t>
    </r>
  </si>
  <si>
    <r>
      <t>北京牧心</t>
    </r>
    <r>
      <rPr>
        <sz val="11"/>
        <color theme="1"/>
        <rFont val="ＭＳ Ｐゴシック"/>
        <family val="3"/>
        <charset val="134"/>
        <scheme val="minor"/>
      </rPr>
      <t>阁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艺术发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</si>
  <si>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</si>
  <si>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唐忠</t>
    </r>
    <r>
      <rPr>
        <sz val="11"/>
        <color theme="1"/>
        <rFont val="ＭＳ Ｐゴシック"/>
        <family val="3"/>
        <charset val="134"/>
        <scheme val="minor"/>
      </rPr>
      <t>汉</t>
    </r>
  </si>
  <si>
    <r>
      <t>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</si>
  <si>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归</t>
    </r>
    <r>
      <rPr>
        <sz val="11"/>
        <color theme="1"/>
        <rFont val="ＭＳ Ｐゴシック"/>
        <family val="3"/>
        <charset val="128"/>
        <scheme val="minor"/>
      </rPr>
      <t>雅</t>
    </r>
  </si>
  <si>
    <r>
      <t>宋云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</si>
  <si>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高粱酒; 葡萄酒</t>
    </r>
  </si>
  <si>
    <r>
      <t>拾</t>
    </r>
    <r>
      <rPr>
        <sz val="11"/>
        <color theme="1"/>
        <rFont val="ＭＳ Ｐゴシック"/>
        <family val="3"/>
        <charset val="134"/>
        <scheme val="minor"/>
      </rPr>
      <t>亿库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</si>
  <si>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拾</t>
    </r>
    <r>
      <rPr>
        <sz val="11"/>
        <color theme="1"/>
        <rFont val="ＭＳ Ｐゴシック"/>
        <family val="3"/>
        <charset val="134"/>
        <scheme val="minor"/>
      </rPr>
      <t>亿库电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</si>
  <si>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蜂蜜酒;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薄荷酒; 果酒（含酒精）; 苹果酒; 米酒</t>
    </r>
  </si>
  <si>
    <r>
      <t>昔来</t>
    </r>
    <r>
      <rPr>
        <sz val="11"/>
        <color theme="1"/>
        <rFont val="ＭＳ Ｐゴシック"/>
        <family val="3"/>
        <charset val="134"/>
        <scheme val="minor"/>
      </rPr>
      <t>归饮</t>
    </r>
  </si>
  <si>
    <r>
      <t>罗兴</t>
    </r>
    <r>
      <rPr>
        <sz val="11"/>
        <color theme="1"/>
        <rFont val="ＭＳ Ｐゴシック"/>
        <family val="3"/>
        <charset val="128"/>
        <scheme val="minor"/>
      </rPr>
      <t>海</t>
    </r>
  </si>
  <si>
    <r>
      <t>果酒（含酒精）; 白酒; 米酒;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薄荷酒;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</si>
  <si>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鹊</t>
    </r>
    <r>
      <rPr>
        <sz val="11"/>
        <color theme="1"/>
        <rFont val="ＭＳ Ｐゴシック"/>
        <family val="3"/>
        <charset val="128"/>
        <scheme val="minor"/>
      </rPr>
      <t>妙春</t>
    </r>
  </si>
  <si>
    <t>翁旭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</si>
  <si>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黄酒</t>
    </r>
  </si>
  <si>
    <t>疆欲食品（上海）有限公司</t>
  </si>
  <si>
    <r>
      <t xml:space="preserve">果酒（含酒精）; 梨酒; 开胃酒;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</si>
  <si>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正妙坊</t>
  </si>
  <si>
    <t>周淑先</t>
  </si>
  <si>
    <r>
      <t xml:space="preserve">威士忌; 烈酒;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高粱酒;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清酒; 白酒</t>
    </r>
  </si>
  <si>
    <r>
      <t>霁</t>
    </r>
    <r>
      <rPr>
        <sz val="11"/>
        <color theme="1"/>
        <rFont val="ＭＳ Ｐゴシック"/>
        <family val="3"/>
        <charset val="128"/>
        <scheme val="minor"/>
      </rPr>
      <t>花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</si>
  <si>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白酒;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</si>
  <si>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云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紫宸</t>
    </r>
  </si>
  <si>
    <r>
      <t xml:space="preserve">清酒（日本米酒）; 威士忌; 果酒（含酒精）; 葡萄酒;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茴芹酒（利口酒）;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</si>
  <si>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梁</t>
    </r>
    <r>
      <rPr>
        <sz val="11"/>
        <color theme="1"/>
        <rFont val="ＭＳ Ｐゴシック"/>
        <family val="3"/>
        <charset val="134"/>
        <scheme val="minor"/>
      </rPr>
      <t>泷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</si>
  <si>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清酒（日本米酒）; 蜂蜜酒; 黄酒</t>
    </r>
  </si>
  <si>
    <t>金酥藏</t>
  </si>
  <si>
    <r>
      <t>泗洪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双沟酥酒厂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</si>
  <si>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米酒; 威士忌;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</si>
  <si>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翠酥藏</t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</si>
  <si>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白酒; 果酒（含酒精）; 威士忌</t>
    </r>
  </si>
  <si>
    <t>天彩棋香</t>
  </si>
  <si>
    <r>
      <t>海南天彩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</si>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</sst>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34"/>
      <scheme val="minor"/>
    </font>
    <font>
      <sz val="11"/>
      <color theme="1"/>
      <name val="ＭＳ Ｐゴシック"/>
      <family val="3"/>
      <charset val="129"/>
      <scheme val="minor"/>
    </font>
    <font>
      <u/>
      <sz val="11"/>
      <color theme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1" xfId="0" applyFill="1" applyBorder="1" applyAlignment="1">
      <alignment horizontal="center" vertical="top" wrapText="1"/>
    </xf>
    <xf numFmtId="49" fontId="0" fillId="2" borderId="1" xfId="0" applyNumberFormat="1" applyFill="1" applyBorder="1" applyAlignment="1">
      <alignment horizontal="center" vertical="top" wrapText="1"/>
    </xf>
    <xf numFmtId="177" fontId="0" fillId="2" borderId="1" xfId="0" applyNumberFormat="1" applyFill="1" applyBorder="1" applyAlignment="1">
      <alignment horizontal="center" vertical="top" wrapText="1"/>
    </xf>
    <xf numFmtId="176" fontId="0" fillId="2" borderId="1" xfId="0" applyNumberForma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vertical="top" wrapText="1"/>
    </xf>
    <xf numFmtId="177" fontId="0" fillId="0" borderId="0" xfId="0" applyNumberFormat="1" applyAlignment="1">
      <alignment vertical="top" wrapText="1"/>
    </xf>
    <xf numFmtId="176" fontId="0" fillId="0" borderId="0" xfId="0" applyNumberFormat="1" applyAlignment="1">
      <alignment vertical="top" wrapText="1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0" fontId="4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5" fillId="0" borderId="1" xfId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FB343-47C0-4CE0-8FAB-E7608847F386}">
  <dimension ref="A1:I1962"/>
  <sheetViews>
    <sheetView tabSelected="1" workbookViewId="0"/>
  </sheetViews>
  <sheetFormatPr defaultRowHeight="13.5" x14ac:dyDescent="0.15"/>
  <cols>
    <col min="1" max="1" width="9" style="5"/>
    <col min="2" max="2" width="9" style="6"/>
    <col min="3" max="3" width="9" style="7"/>
    <col min="4" max="4" width="11.625" style="8" customWidth="1"/>
    <col min="5" max="5" width="10.625" style="7" bestFit="1" customWidth="1"/>
    <col min="6" max="6" width="28.375" style="6" customWidth="1"/>
    <col min="7" max="7" width="31.375" style="6" customWidth="1"/>
    <col min="8" max="8" width="30.625" style="6" customWidth="1"/>
    <col min="9" max="9" width="11.625" style="8" bestFit="1" customWidth="1"/>
  </cols>
  <sheetData>
    <row r="1" spans="1:9" x14ac:dyDescent="0.15">
      <c r="A1" s="1" t="s">
        <v>8</v>
      </c>
      <c r="B1" s="2" t="s">
        <v>0</v>
      </c>
      <c r="C1" s="3" t="s">
        <v>1</v>
      </c>
      <c r="D1" s="4" t="s">
        <v>2</v>
      </c>
      <c r="E1" s="3" t="s">
        <v>3</v>
      </c>
      <c r="F1" s="2" t="s">
        <v>4</v>
      </c>
      <c r="G1" s="2" t="s">
        <v>5</v>
      </c>
      <c r="H1" s="2" t="s">
        <v>6</v>
      </c>
      <c r="I1" s="4" t="s">
        <v>7</v>
      </c>
    </row>
    <row r="2" spans="1:9" x14ac:dyDescent="0.15">
      <c r="A2" s="9">
        <v>1</v>
      </c>
      <c r="B2" s="9" t="s">
        <v>9</v>
      </c>
      <c r="C2" s="9">
        <v>1920</v>
      </c>
      <c r="D2" s="10">
        <v>45677</v>
      </c>
      <c r="E2" s="13" t="str">
        <f>+HYPERLINK("http://trademark.i-assist.jp/data/china/image_1920th/38833163.pdf","38833163")</f>
        <v>38833163</v>
      </c>
      <c r="F2" s="9" t="s">
        <v>164</v>
      </c>
      <c r="G2" s="9" t="s">
        <v>165</v>
      </c>
      <c r="H2" s="9" t="s">
        <v>166</v>
      </c>
      <c r="I2" s="10">
        <v>43629</v>
      </c>
    </row>
    <row r="3" spans="1:9" x14ac:dyDescent="0.15">
      <c r="A3" s="9">
        <v>2</v>
      </c>
      <c r="B3" s="9" t="s">
        <v>9</v>
      </c>
      <c r="C3" s="9">
        <v>1920</v>
      </c>
      <c r="D3" s="10">
        <v>45677</v>
      </c>
      <c r="E3" s="13" t="str">
        <f>+HYPERLINK("http://trademark.i-assist.jp/data/china/image_1920th/59573182.pdf","59573182")</f>
        <v>59573182</v>
      </c>
      <c r="F3" s="9" t="s">
        <v>167</v>
      </c>
      <c r="G3" s="9" t="s">
        <v>168</v>
      </c>
      <c r="H3" s="9" t="s">
        <v>169</v>
      </c>
      <c r="I3" s="10">
        <v>44468</v>
      </c>
    </row>
    <row r="4" spans="1:9" x14ac:dyDescent="0.15">
      <c r="A4" s="9">
        <v>3</v>
      </c>
      <c r="B4" s="9" t="s">
        <v>9</v>
      </c>
      <c r="C4" s="9">
        <v>1920</v>
      </c>
      <c r="D4" s="10">
        <v>45677</v>
      </c>
      <c r="E4" s="13" t="str">
        <f>+HYPERLINK("http://trademark.i-assist.jp/data/china/image_1920th/62570672.pdf","62570672")</f>
        <v>62570672</v>
      </c>
      <c r="F4" s="9" t="s">
        <v>170</v>
      </c>
      <c r="G4" s="9" t="s">
        <v>171</v>
      </c>
      <c r="H4" s="9" t="s">
        <v>172</v>
      </c>
      <c r="I4" s="10">
        <v>44604</v>
      </c>
    </row>
    <row r="5" spans="1:9" x14ac:dyDescent="0.15">
      <c r="A5" s="9">
        <v>4</v>
      </c>
      <c r="B5" s="9" t="s">
        <v>9</v>
      </c>
      <c r="C5" s="9">
        <v>1920</v>
      </c>
      <c r="D5" s="10">
        <v>45677</v>
      </c>
      <c r="E5" s="13" t="str">
        <f>+HYPERLINK("http://trademark.i-assist.jp/data/china/image_1920th/63362891.pdf","63362891")</f>
        <v>63362891</v>
      </c>
      <c r="F5" s="9" t="s">
        <v>173</v>
      </c>
      <c r="G5" s="9" t="s">
        <v>174</v>
      </c>
      <c r="H5" s="9" t="s">
        <v>175</v>
      </c>
      <c r="I5" s="10">
        <v>44638</v>
      </c>
    </row>
    <row r="6" spans="1:9" x14ac:dyDescent="0.15">
      <c r="A6" s="9">
        <v>5</v>
      </c>
      <c r="B6" s="9" t="s">
        <v>9</v>
      </c>
      <c r="C6" s="9">
        <v>1920</v>
      </c>
      <c r="D6" s="10">
        <v>45677</v>
      </c>
      <c r="E6" s="13" t="str">
        <f>+HYPERLINK("http://trademark.i-assist.jp/data/china/image_1920th/63412030.pdf","63412030")</f>
        <v>63412030</v>
      </c>
      <c r="F6" s="9" t="s">
        <v>176</v>
      </c>
      <c r="G6" s="9" t="s">
        <v>177</v>
      </c>
      <c r="H6" s="9" t="s">
        <v>178</v>
      </c>
      <c r="I6" s="10">
        <v>44641</v>
      </c>
    </row>
    <row r="7" spans="1:9" x14ac:dyDescent="0.15">
      <c r="A7" s="9">
        <v>6</v>
      </c>
      <c r="B7" s="9" t="s">
        <v>9</v>
      </c>
      <c r="C7" s="9">
        <v>1920</v>
      </c>
      <c r="D7" s="10">
        <v>45677</v>
      </c>
      <c r="E7" s="13" t="str">
        <f>+HYPERLINK("http://trademark.i-assist.jp/data/china/image_1920th/65835349.pdf","65835349")</f>
        <v>65835349</v>
      </c>
      <c r="F7" s="9" t="s">
        <v>179</v>
      </c>
      <c r="G7" s="9" t="s">
        <v>180</v>
      </c>
      <c r="H7" s="9" t="s">
        <v>181</v>
      </c>
      <c r="I7" s="10">
        <v>44750</v>
      </c>
    </row>
    <row r="8" spans="1:9" x14ac:dyDescent="0.15">
      <c r="A8" s="9">
        <v>7</v>
      </c>
      <c r="B8" s="9" t="s">
        <v>9</v>
      </c>
      <c r="C8" s="9">
        <v>1920</v>
      </c>
      <c r="D8" s="10">
        <v>45677</v>
      </c>
      <c r="E8" s="13" t="str">
        <f>+HYPERLINK("http://trademark.i-assist.jp/data/china/image_1920th/68262813.pdf","68262813")</f>
        <v>68262813</v>
      </c>
      <c r="F8" s="9" t="s">
        <v>182</v>
      </c>
      <c r="G8" s="12" t="s">
        <v>28</v>
      </c>
      <c r="H8" s="9" t="s">
        <v>29</v>
      </c>
      <c r="I8" s="10">
        <v>44875</v>
      </c>
    </row>
    <row r="9" spans="1:9" x14ac:dyDescent="0.15">
      <c r="A9" s="9">
        <v>8</v>
      </c>
      <c r="B9" s="9" t="s">
        <v>9</v>
      </c>
      <c r="C9" s="9">
        <v>1920</v>
      </c>
      <c r="D9" s="10">
        <v>45677</v>
      </c>
      <c r="E9" s="13" t="str">
        <f>+HYPERLINK("http://trademark.i-assist.jp/data/china/image_1920th/68471904.pdf","68471904")</f>
        <v>68471904</v>
      </c>
      <c r="F9" s="9" t="s">
        <v>183</v>
      </c>
      <c r="G9" s="9" t="s">
        <v>184</v>
      </c>
      <c r="H9" s="9" t="s">
        <v>29</v>
      </c>
      <c r="I9" s="10">
        <v>44886</v>
      </c>
    </row>
    <row r="10" spans="1:9" x14ac:dyDescent="0.15">
      <c r="A10" s="9">
        <v>9</v>
      </c>
      <c r="B10" s="9" t="s">
        <v>9</v>
      </c>
      <c r="C10" s="9">
        <v>1920</v>
      </c>
      <c r="D10" s="10">
        <v>45677</v>
      </c>
      <c r="E10" s="13" t="str">
        <f>+HYPERLINK("http://trademark.i-assist.jp/data/china/image_1920th/68548247.pdf","68548247")</f>
        <v>68548247</v>
      </c>
      <c r="F10" s="9" t="s">
        <v>185</v>
      </c>
      <c r="G10" s="9" t="s">
        <v>186</v>
      </c>
      <c r="H10" s="9" t="s">
        <v>187</v>
      </c>
      <c r="I10" s="10">
        <v>44890</v>
      </c>
    </row>
    <row r="11" spans="1:9" x14ac:dyDescent="0.15">
      <c r="A11" s="9">
        <v>10</v>
      </c>
      <c r="B11" s="9" t="s">
        <v>9</v>
      </c>
      <c r="C11" s="9">
        <v>1920</v>
      </c>
      <c r="D11" s="10">
        <v>45677</v>
      </c>
      <c r="E11" s="13" t="str">
        <f>+HYPERLINK("http://trademark.i-assist.jp/data/china/image_1920th/69119480.pdf","69119480")</f>
        <v>69119480</v>
      </c>
      <c r="F11" s="9" t="s">
        <v>188</v>
      </c>
      <c r="G11" s="9" t="s">
        <v>189</v>
      </c>
      <c r="H11" s="9" t="s">
        <v>190</v>
      </c>
      <c r="I11" s="10">
        <v>44931</v>
      </c>
    </row>
    <row r="12" spans="1:9" x14ac:dyDescent="0.15">
      <c r="A12" s="9">
        <v>11</v>
      </c>
      <c r="B12" s="9" t="s">
        <v>9</v>
      </c>
      <c r="C12" s="9">
        <v>1920</v>
      </c>
      <c r="D12" s="10">
        <v>45677</v>
      </c>
      <c r="E12" s="13" t="str">
        <f>+HYPERLINK("http://trademark.i-assist.jp/data/china/image_1920th/69196586.pdf","69196586")</f>
        <v>69196586</v>
      </c>
      <c r="F12" s="9" t="s">
        <v>191</v>
      </c>
      <c r="G12" s="9" t="s">
        <v>192</v>
      </c>
      <c r="H12" s="9" t="s">
        <v>193</v>
      </c>
      <c r="I12" s="10">
        <v>44938</v>
      </c>
    </row>
    <row r="13" spans="1:9" x14ac:dyDescent="0.15">
      <c r="A13" s="9">
        <v>12</v>
      </c>
      <c r="B13" s="9" t="s">
        <v>9</v>
      </c>
      <c r="C13" s="9">
        <v>1920</v>
      </c>
      <c r="D13" s="10">
        <v>45677</v>
      </c>
      <c r="E13" s="13" t="str">
        <f>+HYPERLINK("http://trademark.i-assist.jp/data/china/image_1920th/69203670.pdf","69203670")</f>
        <v>69203670</v>
      </c>
      <c r="F13" s="9" t="s">
        <v>194</v>
      </c>
      <c r="G13" s="9" t="s">
        <v>195</v>
      </c>
      <c r="H13" s="9" t="s">
        <v>196</v>
      </c>
      <c r="I13" s="10">
        <v>44938</v>
      </c>
    </row>
    <row r="14" spans="1:9" x14ac:dyDescent="0.15">
      <c r="A14" s="9">
        <v>13</v>
      </c>
      <c r="B14" s="9" t="s">
        <v>9</v>
      </c>
      <c r="C14" s="9">
        <v>1920</v>
      </c>
      <c r="D14" s="10">
        <v>45677</v>
      </c>
      <c r="E14" s="13" t="str">
        <f>+HYPERLINK("http://trademark.i-assist.jp/data/china/image_1920th/69466729.pdf","69466729")</f>
        <v>69466729</v>
      </c>
      <c r="F14" s="12" t="s">
        <v>197</v>
      </c>
      <c r="G14" s="9" t="s">
        <v>198</v>
      </c>
      <c r="H14" s="9" t="s">
        <v>199</v>
      </c>
      <c r="I14" s="10">
        <v>44966</v>
      </c>
    </row>
    <row r="15" spans="1:9" x14ac:dyDescent="0.15">
      <c r="A15" s="9">
        <v>14</v>
      </c>
      <c r="B15" s="9" t="s">
        <v>9</v>
      </c>
      <c r="C15" s="9">
        <v>1920</v>
      </c>
      <c r="D15" s="10">
        <v>45677</v>
      </c>
      <c r="E15" s="13" t="str">
        <f>+HYPERLINK("http://trademark.i-assist.jp/data/china/image_1920th/69632975.pdf","69632975")</f>
        <v>69632975</v>
      </c>
      <c r="F15" s="11" t="s">
        <v>200</v>
      </c>
      <c r="G15" s="9" t="s">
        <v>201</v>
      </c>
      <c r="H15" s="9" t="s">
        <v>202</v>
      </c>
      <c r="I15" s="10">
        <v>44974</v>
      </c>
    </row>
    <row r="16" spans="1:9" x14ac:dyDescent="0.15">
      <c r="A16" s="9">
        <v>15</v>
      </c>
      <c r="B16" s="9" t="s">
        <v>9</v>
      </c>
      <c r="C16" s="9">
        <v>1920</v>
      </c>
      <c r="D16" s="10">
        <v>45677</v>
      </c>
      <c r="E16" s="13" t="str">
        <f>+HYPERLINK("http://trademark.i-assist.jp/data/china/image_1920th/70752308.pdf","70752308")</f>
        <v>70752308</v>
      </c>
      <c r="F16" s="9" t="s">
        <v>203</v>
      </c>
      <c r="G16" s="12" t="s">
        <v>28</v>
      </c>
      <c r="H16" s="9" t="s">
        <v>204</v>
      </c>
      <c r="I16" s="10">
        <v>45023</v>
      </c>
    </row>
    <row r="17" spans="1:9" x14ac:dyDescent="0.15">
      <c r="A17" s="9">
        <v>16</v>
      </c>
      <c r="B17" s="9" t="s">
        <v>9</v>
      </c>
      <c r="C17" s="9">
        <v>1920</v>
      </c>
      <c r="D17" s="10">
        <v>45677</v>
      </c>
      <c r="E17" s="13" t="str">
        <f>+HYPERLINK("http://trademark.i-assist.jp/data/china/image_1920th/72026841.pdf","72026841")</f>
        <v>72026841</v>
      </c>
      <c r="F17" s="9" t="s">
        <v>205</v>
      </c>
      <c r="G17" s="9" t="s">
        <v>206</v>
      </c>
      <c r="H17" s="9" t="s">
        <v>207</v>
      </c>
      <c r="I17" s="10">
        <v>45082</v>
      </c>
    </row>
    <row r="18" spans="1:9" x14ac:dyDescent="0.15">
      <c r="A18" s="9">
        <v>17</v>
      </c>
      <c r="B18" s="9" t="s">
        <v>9</v>
      </c>
      <c r="C18" s="9">
        <v>1920</v>
      </c>
      <c r="D18" s="10">
        <v>45677</v>
      </c>
      <c r="E18" s="13" t="str">
        <f>+HYPERLINK("http://trademark.i-assist.jp/data/china/image_1920th/72046556.pdf","72046556")</f>
        <v>72046556</v>
      </c>
      <c r="F18" s="9" t="s">
        <v>208</v>
      </c>
      <c r="G18" s="9" t="s">
        <v>209</v>
      </c>
      <c r="H18" s="9" t="s">
        <v>210</v>
      </c>
      <c r="I18" s="10">
        <v>45083</v>
      </c>
    </row>
    <row r="19" spans="1:9" x14ac:dyDescent="0.15">
      <c r="A19" s="9">
        <v>18</v>
      </c>
      <c r="B19" s="9" t="s">
        <v>9</v>
      </c>
      <c r="C19" s="9">
        <v>1920</v>
      </c>
      <c r="D19" s="10">
        <v>45677</v>
      </c>
      <c r="E19" s="13" t="str">
        <f>+HYPERLINK("http://trademark.i-assist.jp/data/china/image_1920th/72454474.pdf","72454474")</f>
        <v>72454474</v>
      </c>
      <c r="F19" s="9" t="s">
        <v>211</v>
      </c>
      <c r="G19" s="9" t="s">
        <v>212</v>
      </c>
      <c r="H19" s="9" t="s">
        <v>213</v>
      </c>
      <c r="I19" s="10">
        <v>45103</v>
      </c>
    </row>
    <row r="20" spans="1:9" x14ac:dyDescent="0.15">
      <c r="A20" s="9">
        <v>19</v>
      </c>
      <c r="B20" s="9" t="s">
        <v>9</v>
      </c>
      <c r="C20" s="9">
        <v>1920</v>
      </c>
      <c r="D20" s="10">
        <v>45677</v>
      </c>
      <c r="E20" s="13" t="str">
        <f>+HYPERLINK("http://trademark.i-assist.jp/data/china/image_1920th/73125380.pdf","73125380")</f>
        <v>73125380</v>
      </c>
      <c r="F20" s="9" t="s">
        <v>214</v>
      </c>
      <c r="G20" s="9" t="s">
        <v>215</v>
      </c>
      <c r="H20" s="9" t="s">
        <v>216</v>
      </c>
      <c r="I20" s="10">
        <v>45134</v>
      </c>
    </row>
    <row r="21" spans="1:9" x14ac:dyDescent="0.15">
      <c r="A21" s="9">
        <v>20</v>
      </c>
      <c r="B21" s="9" t="s">
        <v>9</v>
      </c>
      <c r="C21" s="9">
        <v>1920</v>
      </c>
      <c r="D21" s="10">
        <v>45677</v>
      </c>
      <c r="E21" s="13" t="str">
        <f>+HYPERLINK("http://trademark.i-assist.jp/data/china/image_1920th/73515837.pdf","73515837")</f>
        <v>73515837</v>
      </c>
      <c r="F21" s="9" t="s">
        <v>217</v>
      </c>
      <c r="G21" s="9" t="s">
        <v>218</v>
      </c>
      <c r="H21" s="9" t="s">
        <v>219</v>
      </c>
      <c r="I21" s="10">
        <v>45154</v>
      </c>
    </row>
    <row r="22" spans="1:9" x14ac:dyDescent="0.15">
      <c r="A22" s="9">
        <v>21</v>
      </c>
      <c r="B22" s="9" t="s">
        <v>9</v>
      </c>
      <c r="C22" s="9">
        <v>1920</v>
      </c>
      <c r="D22" s="10">
        <v>45677</v>
      </c>
      <c r="E22" s="13" t="str">
        <f>+HYPERLINK("http://trademark.i-assist.jp/data/china/image_1920th/73633387.pdf","73633387")</f>
        <v>73633387</v>
      </c>
      <c r="F22" s="9" t="s">
        <v>220</v>
      </c>
      <c r="G22" s="9" t="s">
        <v>221</v>
      </c>
      <c r="H22" s="9" t="s">
        <v>222</v>
      </c>
      <c r="I22" s="10">
        <v>45160</v>
      </c>
    </row>
    <row r="23" spans="1:9" x14ac:dyDescent="0.15">
      <c r="A23" s="9">
        <v>22</v>
      </c>
      <c r="B23" s="9" t="s">
        <v>9</v>
      </c>
      <c r="C23" s="9">
        <v>1920</v>
      </c>
      <c r="D23" s="10">
        <v>45677</v>
      </c>
      <c r="E23" s="13" t="str">
        <f>+HYPERLINK("http://trademark.i-assist.jp/data/china/image_1920th/73852426.pdf","73852426")</f>
        <v>73852426</v>
      </c>
      <c r="F23" s="12" t="s">
        <v>223</v>
      </c>
      <c r="G23" s="9" t="s">
        <v>224</v>
      </c>
      <c r="H23" s="9" t="s">
        <v>225</v>
      </c>
      <c r="I23" s="10">
        <v>45171</v>
      </c>
    </row>
    <row r="24" spans="1:9" x14ac:dyDescent="0.15">
      <c r="A24" s="9">
        <v>23</v>
      </c>
      <c r="B24" s="9" t="s">
        <v>9</v>
      </c>
      <c r="C24" s="9">
        <v>1920</v>
      </c>
      <c r="D24" s="10">
        <v>45677</v>
      </c>
      <c r="E24" s="13" t="str">
        <f>+HYPERLINK("http://trademark.i-assist.jp/data/china/image_1920th/74423705.pdf","74423705")</f>
        <v>74423705</v>
      </c>
      <c r="F24" s="9" t="s">
        <v>226</v>
      </c>
      <c r="G24" s="12" t="s">
        <v>227</v>
      </c>
      <c r="H24" s="9" t="s">
        <v>15</v>
      </c>
      <c r="I24" s="10">
        <v>45207</v>
      </c>
    </row>
    <row r="25" spans="1:9" x14ac:dyDescent="0.15">
      <c r="A25" s="9">
        <v>24</v>
      </c>
      <c r="B25" s="9" t="s">
        <v>9</v>
      </c>
      <c r="C25" s="9">
        <v>1920</v>
      </c>
      <c r="D25" s="10">
        <v>45677</v>
      </c>
      <c r="E25" s="13" t="str">
        <f>+HYPERLINK("http://trademark.i-assist.jp/data/china/image_1920th/74454442.pdf","74454442")</f>
        <v>74454442</v>
      </c>
      <c r="F25" s="9" t="s">
        <v>228</v>
      </c>
      <c r="G25" s="9" t="s">
        <v>17</v>
      </c>
      <c r="H25" s="9" t="s">
        <v>229</v>
      </c>
      <c r="I25" s="10">
        <v>45208</v>
      </c>
    </row>
    <row r="26" spans="1:9" x14ac:dyDescent="0.15">
      <c r="A26" s="9">
        <v>25</v>
      </c>
      <c r="B26" s="9" t="s">
        <v>9</v>
      </c>
      <c r="C26" s="9">
        <v>1920</v>
      </c>
      <c r="D26" s="10">
        <v>45677</v>
      </c>
      <c r="E26" s="13" t="str">
        <f>+HYPERLINK("http://trademark.i-assist.jp/data/china/image_1920th/74547534.pdf","74547534")</f>
        <v>74547534</v>
      </c>
      <c r="F26" s="9" t="s">
        <v>230</v>
      </c>
      <c r="G26" s="12" t="s">
        <v>28</v>
      </c>
      <c r="H26" s="9" t="s">
        <v>231</v>
      </c>
      <c r="I26" s="10">
        <v>45212</v>
      </c>
    </row>
    <row r="27" spans="1:9" x14ac:dyDescent="0.15">
      <c r="A27" s="9">
        <v>26</v>
      </c>
      <c r="B27" s="9" t="s">
        <v>9</v>
      </c>
      <c r="C27" s="9">
        <v>1920</v>
      </c>
      <c r="D27" s="10">
        <v>45677</v>
      </c>
      <c r="E27" s="13" t="str">
        <f>+HYPERLINK("http://trademark.i-assist.jp/data/china/image_1920th/74605321.pdf","74605321")</f>
        <v>74605321</v>
      </c>
      <c r="F27" s="9" t="s">
        <v>232</v>
      </c>
      <c r="G27" s="9" t="s">
        <v>233</v>
      </c>
      <c r="H27" s="9" t="s">
        <v>234</v>
      </c>
      <c r="I27" s="10">
        <v>45216</v>
      </c>
    </row>
    <row r="28" spans="1:9" x14ac:dyDescent="0.15">
      <c r="A28" s="9">
        <v>27</v>
      </c>
      <c r="B28" s="9" t="s">
        <v>9</v>
      </c>
      <c r="C28" s="9">
        <v>1920</v>
      </c>
      <c r="D28" s="10">
        <v>45677</v>
      </c>
      <c r="E28" s="13" t="str">
        <f>+HYPERLINK("http://trademark.i-assist.jp/data/china/image_1920th/74686958.pdf","74686958")</f>
        <v>74686958</v>
      </c>
      <c r="F28" s="9" t="s">
        <v>235</v>
      </c>
      <c r="G28" s="9" t="s">
        <v>236</v>
      </c>
      <c r="H28" s="9" t="s">
        <v>237</v>
      </c>
      <c r="I28" s="10">
        <v>45219</v>
      </c>
    </row>
    <row r="29" spans="1:9" x14ac:dyDescent="0.15">
      <c r="A29" s="9">
        <v>28</v>
      </c>
      <c r="B29" s="9" t="s">
        <v>9</v>
      </c>
      <c r="C29" s="9">
        <v>1920</v>
      </c>
      <c r="D29" s="10">
        <v>45677</v>
      </c>
      <c r="E29" s="13" t="str">
        <f>+HYPERLINK("http://trademark.i-assist.jp/data/china/image_1920th/74768082.pdf","74768082")</f>
        <v>74768082</v>
      </c>
      <c r="F29" s="12" t="s">
        <v>238</v>
      </c>
      <c r="G29" s="12" t="s">
        <v>239</v>
      </c>
      <c r="H29" s="9" t="s">
        <v>240</v>
      </c>
      <c r="I29" s="10">
        <v>45224</v>
      </c>
    </row>
    <row r="30" spans="1:9" x14ac:dyDescent="0.15">
      <c r="A30" s="9">
        <v>29</v>
      </c>
      <c r="B30" s="9" t="s">
        <v>9</v>
      </c>
      <c r="C30" s="9">
        <v>1920</v>
      </c>
      <c r="D30" s="10">
        <v>45677</v>
      </c>
      <c r="E30" s="13" t="str">
        <f>+HYPERLINK("http://trademark.i-assist.jp/data/china/image_1920th/74908717.pdf","74908717")</f>
        <v>74908717</v>
      </c>
      <c r="F30" s="9" t="s">
        <v>241</v>
      </c>
      <c r="G30" s="12" t="s">
        <v>242</v>
      </c>
      <c r="H30" s="9" t="s">
        <v>243</v>
      </c>
      <c r="I30" s="10">
        <v>45231</v>
      </c>
    </row>
    <row r="31" spans="1:9" x14ac:dyDescent="0.15">
      <c r="A31" s="9">
        <v>30</v>
      </c>
      <c r="B31" s="9" t="s">
        <v>9</v>
      </c>
      <c r="C31" s="9">
        <v>1920</v>
      </c>
      <c r="D31" s="10">
        <v>45677</v>
      </c>
      <c r="E31" s="13" t="str">
        <f>+HYPERLINK("http://trademark.i-assist.jp/data/china/image_1920th/74912751.pdf","74912751")</f>
        <v>74912751</v>
      </c>
      <c r="F31" s="9" t="s">
        <v>244</v>
      </c>
      <c r="G31" s="9" t="s">
        <v>245</v>
      </c>
      <c r="H31" s="9" t="s">
        <v>246</v>
      </c>
      <c r="I31" s="10">
        <v>45231</v>
      </c>
    </row>
    <row r="32" spans="1:9" x14ac:dyDescent="0.15">
      <c r="A32" s="9">
        <v>31</v>
      </c>
      <c r="B32" s="9" t="s">
        <v>9</v>
      </c>
      <c r="C32" s="9">
        <v>1920</v>
      </c>
      <c r="D32" s="10">
        <v>45677</v>
      </c>
      <c r="E32" s="13" t="str">
        <f>+HYPERLINK("http://trademark.i-assist.jp/data/china/image_1920th/75064782.pdf","75064782")</f>
        <v>75064782</v>
      </c>
      <c r="F32" s="9" t="s">
        <v>247</v>
      </c>
      <c r="G32" s="9" t="s">
        <v>248</v>
      </c>
      <c r="H32" s="9" t="s">
        <v>249</v>
      </c>
      <c r="I32" s="10">
        <v>45239</v>
      </c>
    </row>
    <row r="33" spans="1:9" x14ac:dyDescent="0.15">
      <c r="A33" s="9">
        <v>32</v>
      </c>
      <c r="B33" s="9" t="s">
        <v>9</v>
      </c>
      <c r="C33" s="9">
        <v>1920</v>
      </c>
      <c r="D33" s="10">
        <v>45677</v>
      </c>
      <c r="E33" s="13" t="str">
        <f>+HYPERLINK("http://trademark.i-assist.jp/data/china/image_1920th/75403575.pdf","75403575")</f>
        <v>75403575</v>
      </c>
      <c r="F33" s="12" t="s">
        <v>250</v>
      </c>
      <c r="G33" s="12" t="s">
        <v>251</v>
      </c>
      <c r="H33" s="9" t="s">
        <v>252</v>
      </c>
      <c r="I33" s="10">
        <v>45254</v>
      </c>
    </row>
    <row r="34" spans="1:9" x14ac:dyDescent="0.15">
      <c r="A34" s="9">
        <v>33</v>
      </c>
      <c r="B34" s="9" t="s">
        <v>9</v>
      </c>
      <c r="C34" s="9">
        <v>1920</v>
      </c>
      <c r="D34" s="10">
        <v>45677</v>
      </c>
      <c r="E34" s="13" t="str">
        <f>+HYPERLINK("http://trademark.i-assist.jp/data/china/image_1920th/75590760.pdf","75590760")</f>
        <v>75590760</v>
      </c>
      <c r="F34" s="12" t="s">
        <v>253</v>
      </c>
      <c r="G34" s="9" t="s">
        <v>254</v>
      </c>
      <c r="H34" s="9" t="s">
        <v>255</v>
      </c>
      <c r="I34" s="10">
        <v>45265</v>
      </c>
    </row>
    <row r="35" spans="1:9" x14ac:dyDescent="0.15">
      <c r="A35" s="9">
        <v>34</v>
      </c>
      <c r="B35" s="9" t="s">
        <v>9</v>
      </c>
      <c r="C35" s="9">
        <v>1920</v>
      </c>
      <c r="D35" s="10">
        <v>45677</v>
      </c>
      <c r="E35" s="13" t="str">
        <f>+HYPERLINK("http://trademark.i-assist.jp/data/china/image_1920th/75835582.pdf","75835582")</f>
        <v>75835582</v>
      </c>
      <c r="F35" s="9" t="s">
        <v>256</v>
      </c>
      <c r="G35" s="12" t="s">
        <v>257</v>
      </c>
      <c r="H35" s="9" t="s">
        <v>258</v>
      </c>
      <c r="I35" s="10">
        <v>45276</v>
      </c>
    </row>
    <row r="36" spans="1:9" x14ac:dyDescent="0.15">
      <c r="A36" s="9">
        <v>35</v>
      </c>
      <c r="B36" s="9" t="s">
        <v>9</v>
      </c>
      <c r="C36" s="9">
        <v>1920</v>
      </c>
      <c r="D36" s="10">
        <v>45677</v>
      </c>
      <c r="E36" s="13" t="str">
        <f>+HYPERLINK("http://trademark.i-assist.jp/data/china/image_1920th/76030594.pdf","76030594")</f>
        <v>76030594</v>
      </c>
      <c r="F36" s="12" t="s">
        <v>259</v>
      </c>
      <c r="G36" s="12" t="s">
        <v>260</v>
      </c>
      <c r="H36" s="9" t="s">
        <v>261</v>
      </c>
      <c r="I36" s="10">
        <v>45286</v>
      </c>
    </row>
    <row r="37" spans="1:9" x14ac:dyDescent="0.15">
      <c r="A37" s="9">
        <v>36</v>
      </c>
      <c r="B37" s="9" t="s">
        <v>9</v>
      </c>
      <c r="C37" s="9">
        <v>1920</v>
      </c>
      <c r="D37" s="10">
        <v>45677</v>
      </c>
      <c r="E37" s="13" t="str">
        <f>+HYPERLINK("http://trademark.i-assist.jp/data/china/image_1920th/76388693.pdf","76388693")</f>
        <v>76388693</v>
      </c>
      <c r="F37" s="9" t="s">
        <v>262</v>
      </c>
      <c r="G37" s="12" t="s">
        <v>263</v>
      </c>
      <c r="H37" s="9" t="s">
        <v>264</v>
      </c>
      <c r="I37" s="10">
        <v>45306</v>
      </c>
    </row>
    <row r="38" spans="1:9" x14ac:dyDescent="0.15">
      <c r="A38" s="9">
        <v>37</v>
      </c>
      <c r="B38" s="9" t="s">
        <v>9</v>
      </c>
      <c r="C38" s="9">
        <v>1920</v>
      </c>
      <c r="D38" s="10">
        <v>45677</v>
      </c>
      <c r="E38" s="13" t="str">
        <f>+HYPERLINK("http://trademark.i-assist.jp/data/china/image_1920th/76526582.pdf","76526582")</f>
        <v>76526582</v>
      </c>
      <c r="F38" s="9" t="s">
        <v>265</v>
      </c>
      <c r="G38" s="9" t="s">
        <v>266</v>
      </c>
      <c r="H38" s="9" t="s">
        <v>267</v>
      </c>
      <c r="I38" s="10">
        <v>45313</v>
      </c>
    </row>
    <row r="39" spans="1:9" x14ac:dyDescent="0.15">
      <c r="A39" s="9">
        <v>38</v>
      </c>
      <c r="B39" s="9" t="s">
        <v>9</v>
      </c>
      <c r="C39" s="9">
        <v>1920</v>
      </c>
      <c r="D39" s="10">
        <v>45677</v>
      </c>
      <c r="E39" s="13" t="str">
        <f>+HYPERLINK("http://trademark.i-assist.jp/data/china/image_1920th/76835570.pdf","76835570")</f>
        <v>76835570</v>
      </c>
      <c r="F39" s="9" t="s">
        <v>268</v>
      </c>
      <c r="G39" s="12" t="s">
        <v>269</v>
      </c>
      <c r="H39" s="9" t="s">
        <v>270</v>
      </c>
      <c r="I39" s="10">
        <v>45340</v>
      </c>
    </row>
    <row r="40" spans="1:9" x14ac:dyDescent="0.15">
      <c r="A40" s="9">
        <v>39</v>
      </c>
      <c r="B40" s="9" t="s">
        <v>9</v>
      </c>
      <c r="C40" s="9">
        <v>1920</v>
      </c>
      <c r="D40" s="10">
        <v>45677</v>
      </c>
      <c r="E40" s="13" t="str">
        <f>+HYPERLINK("http://trademark.i-assist.jp/data/china/image_1920th/76851849.pdf","76851849")</f>
        <v>76851849</v>
      </c>
      <c r="F40" s="9" t="s">
        <v>271</v>
      </c>
      <c r="G40" s="9" t="s">
        <v>272</v>
      </c>
      <c r="H40" s="9" t="s">
        <v>273</v>
      </c>
      <c r="I40" s="10">
        <v>45341</v>
      </c>
    </row>
    <row r="41" spans="1:9" x14ac:dyDescent="0.15">
      <c r="A41" s="9">
        <v>40</v>
      </c>
      <c r="B41" s="9" t="s">
        <v>9</v>
      </c>
      <c r="C41" s="9">
        <v>1920</v>
      </c>
      <c r="D41" s="10">
        <v>45677</v>
      </c>
      <c r="E41" s="13" t="str">
        <f>+HYPERLINK("http://trademark.i-assist.jp/data/china/image_1920th/76891694.pdf","76891694")</f>
        <v>76891694</v>
      </c>
      <c r="F41" s="9" t="s">
        <v>274</v>
      </c>
      <c r="G41" s="9" t="s">
        <v>275</v>
      </c>
      <c r="H41" s="9" t="s">
        <v>276</v>
      </c>
      <c r="I41" s="10">
        <v>45343</v>
      </c>
    </row>
    <row r="42" spans="1:9" x14ac:dyDescent="0.15">
      <c r="A42" s="9">
        <v>41</v>
      </c>
      <c r="B42" s="9" t="s">
        <v>9</v>
      </c>
      <c r="C42" s="9">
        <v>1920</v>
      </c>
      <c r="D42" s="10">
        <v>45677</v>
      </c>
      <c r="E42" s="13" t="str">
        <f>+HYPERLINK("http://trademark.i-assist.jp/data/china/image_1920th/77039494.pdf","77039494")</f>
        <v>77039494</v>
      </c>
      <c r="F42" s="12" t="s">
        <v>12</v>
      </c>
      <c r="G42" s="9" t="s">
        <v>277</v>
      </c>
      <c r="H42" s="9" t="s">
        <v>278</v>
      </c>
      <c r="I42" s="10">
        <v>45352</v>
      </c>
    </row>
    <row r="43" spans="1:9" x14ac:dyDescent="0.15">
      <c r="A43" s="9">
        <v>42</v>
      </c>
      <c r="B43" s="9" t="s">
        <v>9</v>
      </c>
      <c r="C43" s="9">
        <v>1920</v>
      </c>
      <c r="D43" s="10">
        <v>45677</v>
      </c>
      <c r="E43" s="13" t="str">
        <f>+HYPERLINK("http://trademark.i-assist.jp/data/china/image_1920th/77218947.pdf","77218947")</f>
        <v>77218947</v>
      </c>
      <c r="F43" s="9" t="s">
        <v>279</v>
      </c>
      <c r="G43" s="9" t="s">
        <v>280</v>
      </c>
      <c r="H43" s="9" t="s">
        <v>281</v>
      </c>
      <c r="I43" s="10">
        <v>45362</v>
      </c>
    </row>
    <row r="44" spans="1:9" x14ac:dyDescent="0.15">
      <c r="A44" s="9">
        <v>43</v>
      </c>
      <c r="B44" s="9" t="s">
        <v>9</v>
      </c>
      <c r="C44" s="9">
        <v>1920</v>
      </c>
      <c r="D44" s="10">
        <v>45677</v>
      </c>
      <c r="E44" s="13" t="str">
        <f>+HYPERLINK("http://trademark.i-assist.jp/data/china/image_1920th/77390925.pdf","77390925")</f>
        <v>77390925</v>
      </c>
      <c r="F44" s="12" t="s">
        <v>12</v>
      </c>
      <c r="G44" s="9" t="s">
        <v>282</v>
      </c>
      <c r="H44" s="9" t="s">
        <v>283</v>
      </c>
      <c r="I44" s="10">
        <v>45370</v>
      </c>
    </row>
    <row r="45" spans="1:9" x14ac:dyDescent="0.15">
      <c r="A45" s="9">
        <v>44</v>
      </c>
      <c r="B45" s="9" t="s">
        <v>9</v>
      </c>
      <c r="C45" s="9">
        <v>1920</v>
      </c>
      <c r="D45" s="10">
        <v>45677</v>
      </c>
      <c r="E45" s="13" t="str">
        <f>+HYPERLINK("http://trademark.i-assist.jp/data/china/image_1920th/77454748.pdf","77454748")</f>
        <v>77454748</v>
      </c>
      <c r="F45" s="9" t="s">
        <v>284</v>
      </c>
      <c r="G45" s="9" t="s">
        <v>285</v>
      </c>
      <c r="H45" s="12" t="s">
        <v>286</v>
      </c>
      <c r="I45" s="10">
        <v>45372</v>
      </c>
    </row>
    <row r="46" spans="1:9" x14ac:dyDescent="0.15">
      <c r="A46" s="9">
        <v>45</v>
      </c>
      <c r="B46" s="9" t="s">
        <v>9</v>
      </c>
      <c r="C46" s="9">
        <v>1920</v>
      </c>
      <c r="D46" s="10">
        <v>45677</v>
      </c>
      <c r="E46" s="13" t="str">
        <f>+HYPERLINK("http://trademark.i-assist.jp/data/china/image_1920th/77458572.pdf","77458572")</f>
        <v>77458572</v>
      </c>
      <c r="F46" s="9" t="s">
        <v>287</v>
      </c>
      <c r="G46" s="12" t="s">
        <v>288</v>
      </c>
      <c r="H46" s="9" t="s">
        <v>289</v>
      </c>
      <c r="I46" s="10">
        <v>45372</v>
      </c>
    </row>
    <row r="47" spans="1:9" x14ac:dyDescent="0.15">
      <c r="A47" s="9">
        <v>46</v>
      </c>
      <c r="B47" s="9" t="s">
        <v>9</v>
      </c>
      <c r="C47" s="9">
        <v>1920</v>
      </c>
      <c r="D47" s="10">
        <v>45677</v>
      </c>
      <c r="E47" s="13" t="str">
        <f>+HYPERLINK("http://trademark.i-assist.jp/data/china/image_1920th/77481723.pdf","77481723")</f>
        <v>77481723</v>
      </c>
      <c r="F47" s="9" t="s">
        <v>290</v>
      </c>
      <c r="G47" s="12" t="s">
        <v>291</v>
      </c>
      <c r="H47" s="12" t="s">
        <v>292</v>
      </c>
      <c r="I47" s="10">
        <v>45375</v>
      </c>
    </row>
    <row r="48" spans="1:9" x14ac:dyDescent="0.15">
      <c r="A48" s="9">
        <v>47</v>
      </c>
      <c r="B48" s="9" t="s">
        <v>9</v>
      </c>
      <c r="C48" s="9">
        <v>1920</v>
      </c>
      <c r="D48" s="10">
        <v>45677</v>
      </c>
      <c r="E48" s="13" t="str">
        <f>+HYPERLINK("http://trademark.i-assist.jp/data/china/image_1920th/77511608.pdf","77511608")</f>
        <v>77511608</v>
      </c>
      <c r="F48" s="9" t="s">
        <v>293</v>
      </c>
      <c r="G48" s="9" t="s">
        <v>294</v>
      </c>
      <c r="H48" s="9" t="s">
        <v>295</v>
      </c>
      <c r="I48" s="10">
        <v>45376</v>
      </c>
    </row>
    <row r="49" spans="1:9" x14ac:dyDescent="0.15">
      <c r="A49" s="9">
        <v>48</v>
      </c>
      <c r="B49" s="9" t="s">
        <v>9</v>
      </c>
      <c r="C49" s="9">
        <v>1920</v>
      </c>
      <c r="D49" s="10">
        <v>45677</v>
      </c>
      <c r="E49" s="13" t="str">
        <f>+HYPERLINK("http://trademark.i-assist.jp/data/china/image_1920th/77724851.pdf","77724851")</f>
        <v>77724851</v>
      </c>
      <c r="F49" s="12" t="s">
        <v>296</v>
      </c>
      <c r="G49" s="12" t="s">
        <v>297</v>
      </c>
      <c r="H49" s="9" t="s">
        <v>298</v>
      </c>
      <c r="I49" s="10">
        <v>45384</v>
      </c>
    </row>
    <row r="50" spans="1:9" x14ac:dyDescent="0.15">
      <c r="A50" s="9">
        <v>49</v>
      </c>
      <c r="B50" s="9" t="s">
        <v>9</v>
      </c>
      <c r="C50" s="9">
        <v>1920</v>
      </c>
      <c r="D50" s="10">
        <v>45677</v>
      </c>
      <c r="E50" s="13" t="str">
        <f>+HYPERLINK("http://trademark.i-assist.jp/data/china/image_1920th/77734743.pdf","77734743")</f>
        <v>77734743</v>
      </c>
      <c r="F50" s="9" t="s">
        <v>299</v>
      </c>
      <c r="G50" s="12" t="s">
        <v>300</v>
      </c>
      <c r="H50" s="9" t="s">
        <v>301</v>
      </c>
      <c r="I50" s="10">
        <v>45385</v>
      </c>
    </row>
    <row r="51" spans="1:9" x14ac:dyDescent="0.15">
      <c r="A51" s="9">
        <v>50</v>
      </c>
      <c r="B51" s="9" t="s">
        <v>9</v>
      </c>
      <c r="C51" s="9">
        <v>1920</v>
      </c>
      <c r="D51" s="10">
        <v>45677</v>
      </c>
      <c r="E51" s="13" t="str">
        <f>+HYPERLINK("http://trademark.i-assist.jp/data/china/image_1920th/77745167.pdf","77745167")</f>
        <v>77745167</v>
      </c>
      <c r="F51" s="12" t="s">
        <v>302</v>
      </c>
      <c r="G51" s="12" t="s">
        <v>300</v>
      </c>
      <c r="H51" s="9" t="s">
        <v>303</v>
      </c>
      <c r="I51" s="10">
        <v>45385</v>
      </c>
    </row>
    <row r="52" spans="1:9" x14ac:dyDescent="0.15">
      <c r="A52" s="9">
        <v>51</v>
      </c>
      <c r="B52" s="9" t="s">
        <v>9</v>
      </c>
      <c r="C52" s="9">
        <v>1920</v>
      </c>
      <c r="D52" s="10">
        <v>45677</v>
      </c>
      <c r="E52" s="13" t="str">
        <f>+HYPERLINK("http://trademark.i-assist.jp/data/china/image_1920th/77760102.pdf","77760102")</f>
        <v>77760102</v>
      </c>
      <c r="F52" s="9" t="s">
        <v>304</v>
      </c>
      <c r="G52" s="9" t="s">
        <v>305</v>
      </c>
      <c r="H52" s="9" t="s">
        <v>306</v>
      </c>
      <c r="I52" s="10">
        <v>45385</v>
      </c>
    </row>
    <row r="53" spans="1:9" x14ac:dyDescent="0.15">
      <c r="A53" s="9">
        <v>52</v>
      </c>
      <c r="B53" s="9" t="s">
        <v>9</v>
      </c>
      <c r="C53" s="9">
        <v>1920</v>
      </c>
      <c r="D53" s="10">
        <v>45677</v>
      </c>
      <c r="E53" s="13" t="str">
        <f>+HYPERLINK("http://trademark.i-assist.jp/data/china/image_1920th/77832899.pdf","77832899")</f>
        <v>77832899</v>
      </c>
      <c r="F53" s="12" t="s">
        <v>307</v>
      </c>
      <c r="G53" s="12" t="s">
        <v>308</v>
      </c>
      <c r="H53" s="9" t="s">
        <v>309</v>
      </c>
      <c r="I53" s="10">
        <v>45391</v>
      </c>
    </row>
    <row r="54" spans="1:9" x14ac:dyDescent="0.15">
      <c r="A54" s="9">
        <v>53</v>
      </c>
      <c r="B54" s="9" t="s">
        <v>9</v>
      </c>
      <c r="C54" s="9">
        <v>1920</v>
      </c>
      <c r="D54" s="10">
        <v>45677</v>
      </c>
      <c r="E54" s="13" t="str">
        <f>+HYPERLINK("http://trademark.i-assist.jp/data/china/image_1920th/77842652.pdf","77842652")</f>
        <v>77842652</v>
      </c>
      <c r="F54" s="9" t="s">
        <v>310</v>
      </c>
      <c r="G54" s="12" t="s">
        <v>300</v>
      </c>
      <c r="H54" s="9" t="s">
        <v>311</v>
      </c>
      <c r="I54" s="10">
        <v>45391</v>
      </c>
    </row>
    <row r="55" spans="1:9" x14ac:dyDescent="0.15">
      <c r="A55" s="9">
        <v>54</v>
      </c>
      <c r="B55" s="9" t="s">
        <v>9</v>
      </c>
      <c r="C55" s="9">
        <v>1920</v>
      </c>
      <c r="D55" s="10">
        <v>45677</v>
      </c>
      <c r="E55" s="13" t="str">
        <f>+HYPERLINK("http://trademark.i-assist.jp/data/china/image_1920th/77856786.pdf","77856786")</f>
        <v>77856786</v>
      </c>
      <c r="F55" s="9" t="s">
        <v>312</v>
      </c>
      <c r="G55" s="12" t="s">
        <v>300</v>
      </c>
      <c r="H55" s="9" t="s">
        <v>313</v>
      </c>
      <c r="I55" s="10">
        <v>45391</v>
      </c>
    </row>
    <row r="56" spans="1:9" x14ac:dyDescent="0.15">
      <c r="A56" s="9">
        <v>55</v>
      </c>
      <c r="B56" s="9" t="s">
        <v>9</v>
      </c>
      <c r="C56" s="9">
        <v>1920</v>
      </c>
      <c r="D56" s="10">
        <v>45677</v>
      </c>
      <c r="E56" s="13" t="str">
        <f>+HYPERLINK("http://trademark.i-assist.jp/data/china/image_1920th/77859491.pdf","77859491")</f>
        <v>77859491</v>
      </c>
      <c r="F56" s="9" t="s">
        <v>314</v>
      </c>
      <c r="G56" s="12" t="s">
        <v>300</v>
      </c>
      <c r="H56" s="12" t="s">
        <v>315</v>
      </c>
      <c r="I56" s="10">
        <v>45391</v>
      </c>
    </row>
    <row r="57" spans="1:9" x14ac:dyDescent="0.15">
      <c r="A57" s="9">
        <v>56</v>
      </c>
      <c r="B57" s="9" t="s">
        <v>9</v>
      </c>
      <c r="C57" s="9">
        <v>1920</v>
      </c>
      <c r="D57" s="10">
        <v>45677</v>
      </c>
      <c r="E57" s="13" t="str">
        <f>+HYPERLINK("http://trademark.i-assist.jp/data/china/image_1920th/78127301.pdf","78127301")</f>
        <v>78127301</v>
      </c>
      <c r="F57" s="9" t="s">
        <v>316</v>
      </c>
      <c r="G57" s="9" t="s">
        <v>317</v>
      </c>
      <c r="H57" s="12" t="s">
        <v>318</v>
      </c>
      <c r="I57" s="10">
        <v>45404</v>
      </c>
    </row>
    <row r="58" spans="1:9" x14ac:dyDescent="0.15">
      <c r="A58" s="9">
        <v>57</v>
      </c>
      <c r="B58" s="9" t="s">
        <v>9</v>
      </c>
      <c r="C58" s="9">
        <v>1920</v>
      </c>
      <c r="D58" s="10">
        <v>45677</v>
      </c>
      <c r="E58" s="13" t="str">
        <f>+HYPERLINK("http://trademark.i-assist.jp/data/china/image_1920th/78607585.pdf","78607585")</f>
        <v>78607585</v>
      </c>
      <c r="F58" s="9" t="s">
        <v>319</v>
      </c>
      <c r="G58" s="9" t="s">
        <v>320</v>
      </c>
      <c r="H58" s="9" t="s">
        <v>321</v>
      </c>
      <c r="I58" s="10">
        <v>45427</v>
      </c>
    </row>
    <row r="59" spans="1:9" x14ac:dyDescent="0.15">
      <c r="A59" s="9">
        <v>58</v>
      </c>
      <c r="B59" s="9" t="s">
        <v>9</v>
      </c>
      <c r="C59" s="9">
        <v>1920</v>
      </c>
      <c r="D59" s="10">
        <v>45677</v>
      </c>
      <c r="E59" s="13" t="str">
        <f>+HYPERLINK("http://trademark.i-assist.jp/data/china/image_1920th/78617125.pdf","78617125")</f>
        <v>78617125</v>
      </c>
      <c r="F59" s="9" t="s">
        <v>322</v>
      </c>
      <c r="G59" s="9" t="s">
        <v>323</v>
      </c>
      <c r="H59" s="9" t="s">
        <v>324</v>
      </c>
      <c r="I59" s="10">
        <v>45427</v>
      </c>
    </row>
    <row r="60" spans="1:9" x14ac:dyDescent="0.15">
      <c r="A60" s="9">
        <v>59</v>
      </c>
      <c r="B60" s="9" t="s">
        <v>9</v>
      </c>
      <c r="C60" s="9">
        <v>1920</v>
      </c>
      <c r="D60" s="10">
        <v>45677</v>
      </c>
      <c r="E60" s="13" t="str">
        <f>+HYPERLINK("http://trademark.i-assist.jp/data/china/image_1920th/78793487.pdf","78793487")</f>
        <v>78793487</v>
      </c>
      <c r="F60" s="12" t="s">
        <v>12</v>
      </c>
      <c r="G60" s="9" t="s">
        <v>323</v>
      </c>
      <c r="H60" s="9" t="s">
        <v>325</v>
      </c>
      <c r="I60" s="10">
        <v>45435</v>
      </c>
    </row>
    <row r="61" spans="1:9" x14ac:dyDescent="0.15">
      <c r="A61" s="9">
        <v>60</v>
      </c>
      <c r="B61" s="9" t="s">
        <v>9</v>
      </c>
      <c r="C61" s="9">
        <v>1920</v>
      </c>
      <c r="D61" s="10">
        <v>45677</v>
      </c>
      <c r="E61" s="13" t="str">
        <f>+HYPERLINK("http://trademark.i-assist.jp/data/china/image_1920th/79016399.pdf","79016399")</f>
        <v>79016399</v>
      </c>
      <c r="F61" s="9" t="s">
        <v>326</v>
      </c>
      <c r="G61" s="12" t="s">
        <v>327</v>
      </c>
      <c r="H61" s="9" t="s">
        <v>328</v>
      </c>
      <c r="I61" s="10">
        <v>45447</v>
      </c>
    </row>
    <row r="62" spans="1:9" x14ac:dyDescent="0.15">
      <c r="A62" s="9">
        <v>61</v>
      </c>
      <c r="B62" s="9" t="s">
        <v>9</v>
      </c>
      <c r="C62" s="9">
        <v>1920</v>
      </c>
      <c r="D62" s="10">
        <v>45677</v>
      </c>
      <c r="E62" s="13" t="str">
        <f>+HYPERLINK("http://trademark.i-assist.jp/data/china/image_1920th/79124734.pdf","79124734")</f>
        <v>79124734</v>
      </c>
      <c r="F62" s="9" t="s">
        <v>329</v>
      </c>
      <c r="G62" s="9" t="s">
        <v>330</v>
      </c>
      <c r="H62" s="9" t="s">
        <v>331</v>
      </c>
      <c r="I62" s="10">
        <v>45453</v>
      </c>
    </row>
    <row r="63" spans="1:9" x14ac:dyDescent="0.15">
      <c r="A63" s="9">
        <v>62</v>
      </c>
      <c r="B63" s="9" t="s">
        <v>9</v>
      </c>
      <c r="C63" s="9">
        <v>1920</v>
      </c>
      <c r="D63" s="10">
        <v>45677</v>
      </c>
      <c r="E63" s="13" t="str">
        <f>+HYPERLINK("http://trademark.i-assist.jp/data/china/image_1920th/79180330A.pdf","79180330A")</f>
        <v>79180330A</v>
      </c>
      <c r="F63" s="9" t="s">
        <v>332</v>
      </c>
      <c r="G63" s="9" t="s">
        <v>333</v>
      </c>
      <c r="H63" s="9" t="s">
        <v>334</v>
      </c>
      <c r="I63" s="10">
        <v>45455</v>
      </c>
    </row>
    <row r="64" spans="1:9" x14ac:dyDescent="0.15">
      <c r="A64" s="9">
        <v>63</v>
      </c>
      <c r="B64" s="9" t="s">
        <v>9</v>
      </c>
      <c r="C64" s="9">
        <v>1920</v>
      </c>
      <c r="D64" s="10">
        <v>45677</v>
      </c>
      <c r="E64" s="13" t="str">
        <f>+HYPERLINK("http://trademark.i-assist.jp/data/china/image_1920th/79705765.pdf","79705765")</f>
        <v>79705765</v>
      </c>
      <c r="F64" s="9" t="s">
        <v>335</v>
      </c>
      <c r="G64" s="9" t="s">
        <v>31</v>
      </c>
      <c r="H64" s="9" t="s">
        <v>336</v>
      </c>
      <c r="I64" s="10">
        <v>45483</v>
      </c>
    </row>
    <row r="65" spans="1:9" x14ac:dyDescent="0.15">
      <c r="A65" s="9">
        <v>64</v>
      </c>
      <c r="B65" s="9" t="s">
        <v>9</v>
      </c>
      <c r="C65" s="9">
        <v>1920</v>
      </c>
      <c r="D65" s="10">
        <v>45677</v>
      </c>
      <c r="E65" s="13" t="str">
        <f>+HYPERLINK("http://trademark.i-assist.jp/data/china/image_1920th/79712970.pdf","79712970")</f>
        <v>79712970</v>
      </c>
      <c r="F65" s="9" t="s">
        <v>337</v>
      </c>
      <c r="G65" s="9" t="s">
        <v>323</v>
      </c>
      <c r="H65" s="9" t="s">
        <v>338</v>
      </c>
      <c r="I65" s="10">
        <v>45483</v>
      </c>
    </row>
    <row r="66" spans="1:9" x14ac:dyDescent="0.15">
      <c r="A66" s="9">
        <v>65</v>
      </c>
      <c r="B66" s="9" t="s">
        <v>9</v>
      </c>
      <c r="C66" s="9">
        <v>1920</v>
      </c>
      <c r="D66" s="10">
        <v>45677</v>
      </c>
      <c r="E66" s="13" t="str">
        <f>+HYPERLINK("http://trademark.i-assist.jp/data/china/image_1920th/79719293.pdf","79719293")</f>
        <v>79719293</v>
      </c>
      <c r="F66" s="9" t="s">
        <v>339</v>
      </c>
      <c r="G66" s="9" t="s">
        <v>340</v>
      </c>
      <c r="H66" s="9" t="s">
        <v>341</v>
      </c>
      <c r="I66" s="10">
        <v>45483</v>
      </c>
    </row>
    <row r="67" spans="1:9" x14ac:dyDescent="0.15">
      <c r="A67" s="9">
        <v>66</v>
      </c>
      <c r="B67" s="9" t="s">
        <v>9</v>
      </c>
      <c r="C67" s="9">
        <v>1920</v>
      </c>
      <c r="D67" s="10">
        <v>45677</v>
      </c>
      <c r="E67" s="13" t="str">
        <f>+HYPERLINK("http://trademark.i-assist.jp/data/china/image_1920th/79722412.pdf","79722412")</f>
        <v>79722412</v>
      </c>
      <c r="F67" s="9" t="s">
        <v>337</v>
      </c>
      <c r="G67" s="9" t="s">
        <v>323</v>
      </c>
      <c r="H67" s="9" t="s">
        <v>342</v>
      </c>
      <c r="I67" s="10">
        <v>45483</v>
      </c>
    </row>
    <row r="68" spans="1:9" x14ac:dyDescent="0.15">
      <c r="A68" s="9">
        <v>67</v>
      </c>
      <c r="B68" s="9" t="s">
        <v>9</v>
      </c>
      <c r="C68" s="9">
        <v>1920</v>
      </c>
      <c r="D68" s="10">
        <v>45677</v>
      </c>
      <c r="E68" s="13" t="str">
        <f>+HYPERLINK("http://trademark.i-assist.jp/data/china/image_1920th/79745174.pdf","79745174")</f>
        <v>79745174</v>
      </c>
      <c r="F68" s="9" t="s">
        <v>343</v>
      </c>
      <c r="G68" s="9" t="s">
        <v>344</v>
      </c>
      <c r="H68" s="9" t="s">
        <v>345</v>
      </c>
      <c r="I68" s="10">
        <v>45484</v>
      </c>
    </row>
    <row r="69" spans="1:9" x14ac:dyDescent="0.15">
      <c r="A69" s="9">
        <v>68</v>
      </c>
      <c r="B69" s="9" t="s">
        <v>9</v>
      </c>
      <c r="C69" s="9">
        <v>1920</v>
      </c>
      <c r="D69" s="10">
        <v>45677</v>
      </c>
      <c r="E69" s="13" t="str">
        <f>+HYPERLINK("http://trademark.i-assist.jp/data/china/image_1920th/79850995.pdf","79850995")</f>
        <v>79850995</v>
      </c>
      <c r="F69" s="9" t="s">
        <v>346</v>
      </c>
      <c r="G69" s="9" t="s">
        <v>347</v>
      </c>
      <c r="H69" s="9" t="s">
        <v>348</v>
      </c>
      <c r="I69" s="10">
        <v>45490</v>
      </c>
    </row>
    <row r="70" spans="1:9" x14ac:dyDescent="0.15">
      <c r="A70" s="9">
        <v>69</v>
      </c>
      <c r="B70" s="9" t="s">
        <v>9</v>
      </c>
      <c r="C70" s="9">
        <v>1920</v>
      </c>
      <c r="D70" s="10">
        <v>45677</v>
      </c>
      <c r="E70" s="13" t="str">
        <f>+HYPERLINK("http://trademark.i-assist.jp/data/china/image_1920th/79882358.pdf","79882358")</f>
        <v>79882358</v>
      </c>
      <c r="F70" s="12" t="s">
        <v>349</v>
      </c>
      <c r="G70" s="12" t="s">
        <v>350</v>
      </c>
      <c r="H70" s="9" t="s">
        <v>351</v>
      </c>
      <c r="I70" s="10">
        <v>45492</v>
      </c>
    </row>
    <row r="71" spans="1:9" x14ac:dyDescent="0.15">
      <c r="A71" s="9">
        <v>70</v>
      </c>
      <c r="B71" s="9" t="s">
        <v>9</v>
      </c>
      <c r="C71" s="9">
        <v>1920</v>
      </c>
      <c r="D71" s="10">
        <v>45677</v>
      </c>
      <c r="E71" s="13" t="str">
        <f>+HYPERLINK("http://trademark.i-assist.jp/data/china/image_1920th/79885343.pdf","79885343")</f>
        <v>79885343</v>
      </c>
      <c r="F71" s="12" t="s">
        <v>352</v>
      </c>
      <c r="G71" s="9" t="s">
        <v>353</v>
      </c>
      <c r="H71" s="9" t="s">
        <v>354</v>
      </c>
      <c r="I71" s="10">
        <v>45492</v>
      </c>
    </row>
    <row r="72" spans="1:9" x14ac:dyDescent="0.15">
      <c r="A72" s="9">
        <v>71</v>
      </c>
      <c r="B72" s="9" t="s">
        <v>9</v>
      </c>
      <c r="C72" s="9">
        <v>1920</v>
      </c>
      <c r="D72" s="10">
        <v>45677</v>
      </c>
      <c r="E72" s="13" t="str">
        <f>+HYPERLINK("http://trademark.i-assist.jp/data/china/image_1920th/79901968.pdf","79901968")</f>
        <v>79901968</v>
      </c>
      <c r="F72" s="9" t="s">
        <v>355</v>
      </c>
      <c r="G72" s="9" t="s">
        <v>356</v>
      </c>
      <c r="H72" s="12" t="s">
        <v>357</v>
      </c>
      <c r="I72" s="10">
        <v>45492</v>
      </c>
    </row>
    <row r="73" spans="1:9" x14ac:dyDescent="0.15">
      <c r="A73" s="9">
        <v>72</v>
      </c>
      <c r="B73" s="9" t="s">
        <v>9</v>
      </c>
      <c r="C73" s="9">
        <v>1920</v>
      </c>
      <c r="D73" s="10">
        <v>45677</v>
      </c>
      <c r="E73" s="13" t="str">
        <f>+HYPERLINK("http://trademark.i-assist.jp/data/china/image_1920th/79959540.pdf","79959540")</f>
        <v>79959540</v>
      </c>
      <c r="F73" s="9" t="s">
        <v>358</v>
      </c>
      <c r="G73" s="12" t="s">
        <v>359</v>
      </c>
      <c r="H73" s="9" t="s">
        <v>360</v>
      </c>
      <c r="I73" s="10">
        <v>45496</v>
      </c>
    </row>
    <row r="74" spans="1:9" x14ac:dyDescent="0.15">
      <c r="A74" s="9">
        <v>73</v>
      </c>
      <c r="B74" s="9" t="s">
        <v>9</v>
      </c>
      <c r="C74" s="9">
        <v>1920</v>
      </c>
      <c r="D74" s="10">
        <v>45677</v>
      </c>
      <c r="E74" s="13" t="str">
        <f>+HYPERLINK("http://trademark.i-assist.jp/data/china/image_1920th/79962652.pdf","79962652")</f>
        <v>79962652</v>
      </c>
      <c r="F74" s="9" t="s">
        <v>361</v>
      </c>
      <c r="G74" s="9" t="s">
        <v>362</v>
      </c>
      <c r="H74" s="12" t="s">
        <v>363</v>
      </c>
      <c r="I74" s="10">
        <v>45497</v>
      </c>
    </row>
    <row r="75" spans="1:9" x14ac:dyDescent="0.15">
      <c r="A75" s="9">
        <v>74</v>
      </c>
      <c r="B75" s="9" t="s">
        <v>9</v>
      </c>
      <c r="C75" s="9">
        <v>1920</v>
      </c>
      <c r="D75" s="10">
        <v>45677</v>
      </c>
      <c r="E75" s="13" t="str">
        <f>+HYPERLINK("http://trademark.i-assist.jp/data/china/image_1920th/79962653.pdf","79962653")</f>
        <v>79962653</v>
      </c>
      <c r="F75" s="9" t="s">
        <v>364</v>
      </c>
      <c r="G75" s="9" t="s">
        <v>362</v>
      </c>
      <c r="H75" s="9" t="s">
        <v>365</v>
      </c>
      <c r="I75" s="10">
        <v>45497</v>
      </c>
    </row>
    <row r="76" spans="1:9" x14ac:dyDescent="0.15">
      <c r="A76" s="9">
        <v>75</v>
      </c>
      <c r="B76" s="9" t="s">
        <v>9</v>
      </c>
      <c r="C76" s="9">
        <v>1920</v>
      </c>
      <c r="D76" s="10">
        <v>45677</v>
      </c>
      <c r="E76" s="13" t="str">
        <f>+HYPERLINK("http://trademark.i-assist.jp/data/china/image_1920th/79967187.pdf","79967187")</f>
        <v>79967187</v>
      </c>
      <c r="F76" s="9" t="s">
        <v>366</v>
      </c>
      <c r="G76" s="9" t="s">
        <v>367</v>
      </c>
      <c r="H76" s="9" t="s">
        <v>368</v>
      </c>
      <c r="I76" s="10">
        <v>45497</v>
      </c>
    </row>
    <row r="77" spans="1:9" x14ac:dyDescent="0.15">
      <c r="A77" s="9">
        <v>76</v>
      </c>
      <c r="B77" s="9" t="s">
        <v>9</v>
      </c>
      <c r="C77" s="9">
        <v>1920</v>
      </c>
      <c r="D77" s="10">
        <v>45677</v>
      </c>
      <c r="E77" s="13" t="str">
        <f>+HYPERLINK("http://trademark.i-assist.jp/data/china/image_1920th/79968780.pdf","79968780")</f>
        <v>79968780</v>
      </c>
      <c r="F77" s="9" t="s">
        <v>369</v>
      </c>
      <c r="G77" s="9" t="s">
        <v>367</v>
      </c>
      <c r="H77" s="9" t="s">
        <v>370</v>
      </c>
      <c r="I77" s="10">
        <v>45497</v>
      </c>
    </row>
    <row r="78" spans="1:9" x14ac:dyDescent="0.15">
      <c r="A78" s="9">
        <v>77</v>
      </c>
      <c r="B78" s="9" t="s">
        <v>9</v>
      </c>
      <c r="C78" s="9">
        <v>1920</v>
      </c>
      <c r="D78" s="10">
        <v>45677</v>
      </c>
      <c r="E78" s="13" t="str">
        <f>+HYPERLINK("http://trademark.i-assist.jp/data/china/image_1920th/79978139.pdf","79978139")</f>
        <v>79978139</v>
      </c>
      <c r="F78" s="9" t="s">
        <v>371</v>
      </c>
      <c r="G78" s="9" t="s">
        <v>372</v>
      </c>
      <c r="H78" s="9" t="s">
        <v>373</v>
      </c>
      <c r="I78" s="10">
        <v>45497</v>
      </c>
    </row>
    <row r="79" spans="1:9" x14ac:dyDescent="0.15">
      <c r="A79" s="9">
        <v>78</v>
      </c>
      <c r="B79" s="9" t="s">
        <v>9</v>
      </c>
      <c r="C79" s="9">
        <v>1920</v>
      </c>
      <c r="D79" s="10">
        <v>45677</v>
      </c>
      <c r="E79" s="13" t="str">
        <f>+HYPERLINK("http://trademark.i-assist.jp/data/china/image_1920th/79984795.pdf","79984795")</f>
        <v>79984795</v>
      </c>
      <c r="F79" s="9" t="s">
        <v>374</v>
      </c>
      <c r="G79" s="9" t="s">
        <v>375</v>
      </c>
      <c r="H79" s="9" t="s">
        <v>376</v>
      </c>
      <c r="I79" s="10">
        <v>45497</v>
      </c>
    </row>
    <row r="80" spans="1:9" x14ac:dyDescent="0.15">
      <c r="A80" s="9">
        <v>79</v>
      </c>
      <c r="B80" s="9" t="s">
        <v>9</v>
      </c>
      <c r="C80" s="9">
        <v>1920</v>
      </c>
      <c r="D80" s="10">
        <v>45677</v>
      </c>
      <c r="E80" s="13" t="str">
        <f>+HYPERLINK("http://trademark.i-assist.jp/data/china/image_1920th/80006955.pdf","80006955")</f>
        <v>80006955</v>
      </c>
      <c r="F80" s="9" t="s">
        <v>377</v>
      </c>
      <c r="G80" s="9" t="s">
        <v>378</v>
      </c>
      <c r="H80" s="9" t="s">
        <v>379</v>
      </c>
      <c r="I80" s="10">
        <v>45498</v>
      </c>
    </row>
    <row r="81" spans="1:9" x14ac:dyDescent="0.15">
      <c r="A81" s="9">
        <v>80</v>
      </c>
      <c r="B81" s="9" t="s">
        <v>9</v>
      </c>
      <c r="C81" s="9">
        <v>1920</v>
      </c>
      <c r="D81" s="10">
        <v>45677</v>
      </c>
      <c r="E81" s="13" t="str">
        <f>+HYPERLINK("http://trademark.i-assist.jp/data/china/image_1920th/80021641.pdf","80021641")</f>
        <v>80021641</v>
      </c>
      <c r="F81" s="9" t="s">
        <v>380</v>
      </c>
      <c r="G81" s="9" t="s">
        <v>381</v>
      </c>
      <c r="H81" s="9" t="s">
        <v>382</v>
      </c>
      <c r="I81" s="10">
        <v>45499</v>
      </c>
    </row>
    <row r="82" spans="1:9" x14ac:dyDescent="0.15">
      <c r="A82" s="9">
        <v>81</v>
      </c>
      <c r="B82" s="9" t="s">
        <v>9</v>
      </c>
      <c r="C82" s="9">
        <v>1920</v>
      </c>
      <c r="D82" s="10">
        <v>45677</v>
      </c>
      <c r="E82" s="13" t="str">
        <f>+HYPERLINK("http://trademark.i-assist.jp/data/china/image_1920th/80029024.pdf","80029024")</f>
        <v>80029024</v>
      </c>
      <c r="F82" s="9" t="s">
        <v>383</v>
      </c>
      <c r="G82" s="9" t="s">
        <v>381</v>
      </c>
      <c r="H82" s="9" t="s">
        <v>384</v>
      </c>
      <c r="I82" s="10">
        <v>45499</v>
      </c>
    </row>
    <row r="83" spans="1:9" x14ac:dyDescent="0.15">
      <c r="A83" s="9">
        <v>82</v>
      </c>
      <c r="B83" s="9" t="s">
        <v>9</v>
      </c>
      <c r="C83" s="9">
        <v>1920</v>
      </c>
      <c r="D83" s="10">
        <v>45677</v>
      </c>
      <c r="E83" s="13" t="str">
        <f>+HYPERLINK("http://trademark.i-assist.jp/data/china/image_1920th/80033786.pdf","80033786")</f>
        <v>80033786</v>
      </c>
      <c r="F83" s="9" t="s">
        <v>385</v>
      </c>
      <c r="G83" s="9" t="s">
        <v>381</v>
      </c>
      <c r="H83" s="9" t="s">
        <v>386</v>
      </c>
      <c r="I83" s="10">
        <v>45499</v>
      </c>
    </row>
    <row r="84" spans="1:9" x14ac:dyDescent="0.15">
      <c r="A84" s="9">
        <v>83</v>
      </c>
      <c r="B84" s="9" t="s">
        <v>9</v>
      </c>
      <c r="C84" s="9">
        <v>1920</v>
      </c>
      <c r="D84" s="10">
        <v>45677</v>
      </c>
      <c r="E84" s="13" t="str">
        <f>+HYPERLINK("http://trademark.i-assist.jp/data/china/image_1920th/80053973.pdf","80053973")</f>
        <v>80053973</v>
      </c>
      <c r="F84" s="9" t="s">
        <v>155</v>
      </c>
      <c r="G84" s="9" t="s">
        <v>154</v>
      </c>
      <c r="H84" s="9" t="s">
        <v>387</v>
      </c>
      <c r="I84" s="10">
        <v>45502</v>
      </c>
    </row>
    <row r="85" spans="1:9" x14ac:dyDescent="0.15">
      <c r="A85" s="9">
        <v>84</v>
      </c>
      <c r="B85" s="9" t="s">
        <v>9</v>
      </c>
      <c r="C85" s="9">
        <v>1920</v>
      </c>
      <c r="D85" s="10">
        <v>45677</v>
      </c>
      <c r="E85" s="13" t="str">
        <f>+HYPERLINK("http://trademark.i-assist.jp/data/china/image_1920th/80054626A.pdf","80054626A")</f>
        <v>80054626A</v>
      </c>
      <c r="F85" s="9" t="s">
        <v>388</v>
      </c>
      <c r="G85" s="9" t="s">
        <v>389</v>
      </c>
      <c r="H85" s="9" t="s">
        <v>390</v>
      </c>
      <c r="I85" s="10">
        <v>45502</v>
      </c>
    </row>
    <row r="86" spans="1:9" x14ac:dyDescent="0.15">
      <c r="A86" s="9">
        <v>85</v>
      </c>
      <c r="B86" s="9" t="s">
        <v>9</v>
      </c>
      <c r="C86" s="9">
        <v>1920</v>
      </c>
      <c r="D86" s="10">
        <v>45677</v>
      </c>
      <c r="E86" s="13" t="str">
        <f>+HYPERLINK("http://trademark.i-assist.jp/data/china/image_1920th/80056922.pdf","80056922")</f>
        <v>80056922</v>
      </c>
      <c r="F86" s="9" t="s">
        <v>391</v>
      </c>
      <c r="G86" s="12" t="s">
        <v>392</v>
      </c>
      <c r="H86" s="9" t="s">
        <v>393</v>
      </c>
      <c r="I86" s="10">
        <v>45502</v>
      </c>
    </row>
    <row r="87" spans="1:9" x14ac:dyDescent="0.15">
      <c r="A87" s="9">
        <v>86</v>
      </c>
      <c r="B87" s="9" t="s">
        <v>9</v>
      </c>
      <c r="C87" s="9">
        <v>1920</v>
      </c>
      <c r="D87" s="10">
        <v>45677</v>
      </c>
      <c r="E87" s="13" t="str">
        <f>+HYPERLINK("http://trademark.i-assist.jp/data/china/image_1920th/80059447.pdf","80059447")</f>
        <v>80059447</v>
      </c>
      <c r="F87" s="9" t="s">
        <v>394</v>
      </c>
      <c r="G87" s="9" t="s">
        <v>395</v>
      </c>
      <c r="H87" s="9" t="s">
        <v>396</v>
      </c>
      <c r="I87" s="10">
        <v>45502</v>
      </c>
    </row>
    <row r="88" spans="1:9" x14ac:dyDescent="0.15">
      <c r="A88" s="9">
        <v>87</v>
      </c>
      <c r="B88" s="9" t="s">
        <v>9</v>
      </c>
      <c r="C88" s="9">
        <v>1920</v>
      </c>
      <c r="D88" s="10">
        <v>45677</v>
      </c>
      <c r="E88" s="13" t="str">
        <f>+HYPERLINK("http://trademark.i-assist.jp/data/china/image_1920th/80068498.pdf","80068498")</f>
        <v>80068498</v>
      </c>
      <c r="F88" s="9" t="s">
        <v>397</v>
      </c>
      <c r="G88" s="9" t="s">
        <v>398</v>
      </c>
      <c r="H88" s="9" t="s">
        <v>399</v>
      </c>
      <c r="I88" s="10">
        <v>45502</v>
      </c>
    </row>
    <row r="89" spans="1:9" x14ac:dyDescent="0.15">
      <c r="A89" s="9">
        <v>88</v>
      </c>
      <c r="B89" s="9" t="s">
        <v>9</v>
      </c>
      <c r="C89" s="9">
        <v>1920</v>
      </c>
      <c r="D89" s="10">
        <v>45677</v>
      </c>
      <c r="E89" s="13" t="str">
        <f>+HYPERLINK("http://trademark.i-assist.jp/data/china/image_1920th/80085642.pdf","80085642")</f>
        <v>80085642</v>
      </c>
      <c r="F89" s="9" t="s">
        <v>400</v>
      </c>
      <c r="G89" s="12" t="s">
        <v>401</v>
      </c>
      <c r="H89" s="9" t="s">
        <v>402</v>
      </c>
      <c r="I89" s="10">
        <v>45503</v>
      </c>
    </row>
    <row r="90" spans="1:9" x14ac:dyDescent="0.15">
      <c r="A90" s="9">
        <v>89</v>
      </c>
      <c r="B90" s="9" t="s">
        <v>9</v>
      </c>
      <c r="C90" s="9">
        <v>1920</v>
      </c>
      <c r="D90" s="10">
        <v>45677</v>
      </c>
      <c r="E90" s="13" t="str">
        <f>+HYPERLINK("http://trademark.i-assist.jp/data/china/image_1920th/80088715.pdf","80088715")</f>
        <v>80088715</v>
      </c>
      <c r="F90" s="12" t="s">
        <v>12</v>
      </c>
      <c r="G90" s="9" t="s">
        <v>403</v>
      </c>
      <c r="H90" s="9" t="s">
        <v>404</v>
      </c>
      <c r="I90" s="10">
        <v>45503</v>
      </c>
    </row>
    <row r="91" spans="1:9" x14ac:dyDescent="0.15">
      <c r="A91" s="9">
        <v>90</v>
      </c>
      <c r="B91" s="9" t="s">
        <v>9</v>
      </c>
      <c r="C91" s="9">
        <v>1920</v>
      </c>
      <c r="D91" s="10">
        <v>45677</v>
      </c>
      <c r="E91" s="13" t="str">
        <f>+HYPERLINK("http://trademark.i-assist.jp/data/china/image_1920th/80135558.pdf","80135558")</f>
        <v>80135558</v>
      </c>
      <c r="F91" s="9" t="s">
        <v>405</v>
      </c>
      <c r="G91" s="9" t="s">
        <v>406</v>
      </c>
      <c r="H91" s="9" t="s">
        <v>407</v>
      </c>
      <c r="I91" s="10">
        <v>45505</v>
      </c>
    </row>
    <row r="92" spans="1:9" x14ac:dyDescent="0.15">
      <c r="A92" s="9">
        <v>91</v>
      </c>
      <c r="B92" s="9" t="s">
        <v>9</v>
      </c>
      <c r="C92" s="9">
        <v>1920</v>
      </c>
      <c r="D92" s="10">
        <v>45677</v>
      </c>
      <c r="E92" s="13" t="str">
        <f>+HYPERLINK("http://trademark.i-assist.jp/data/china/image_1920th/80176149.pdf","80176149")</f>
        <v>80176149</v>
      </c>
      <c r="F92" s="9" t="s">
        <v>408</v>
      </c>
      <c r="G92" s="9" t="s">
        <v>409</v>
      </c>
      <c r="H92" s="9" t="s">
        <v>410</v>
      </c>
      <c r="I92" s="10">
        <v>45509</v>
      </c>
    </row>
    <row r="93" spans="1:9" x14ac:dyDescent="0.15">
      <c r="A93" s="9">
        <v>92</v>
      </c>
      <c r="B93" s="9" t="s">
        <v>9</v>
      </c>
      <c r="C93" s="9">
        <v>1920</v>
      </c>
      <c r="D93" s="10">
        <v>45677</v>
      </c>
      <c r="E93" s="13" t="str">
        <f>+HYPERLINK("http://trademark.i-assist.jp/data/china/image_1920th/80209945.pdf","80209945")</f>
        <v>80209945</v>
      </c>
      <c r="F93" s="12" t="s">
        <v>411</v>
      </c>
      <c r="G93" s="9" t="s">
        <v>412</v>
      </c>
      <c r="H93" s="9" t="s">
        <v>413</v>
      </c>
      <c r="I93" s="10">
        <v>45510</v>
      </c>
    </row>
    <row r="94" spans="1:9" x14ac:dyDescent="0.15">
      <c r="A94" s="9">
        <v>93</v>
      </c>
      <c r="B94" s="9" t="s">
        <v>9</v>
      </c>
      <c r="C94" s="9">
        <v>1920</v>
      </c>
      <c r="D94" s="10">
        <v>45677</v>
      </c>
      <c r="E94" s="13" t="str">
        <f>+HYPERLINK("http://trademark.i-assist.jp/data/china/image_1920th/80212515.pdf","80212515")</f>
        <v>80212515</v>
      </c>
      <c r="F94" s="9" t="s">
        <v>414</v>
      </c>
      <c r="G94" s="9" t="s">
        <v>415</v>
      </c>
      <c r="H94" s="9" t="s">
        <v>416</v>
      </c>
      <c r="I94" s="10">
        <v>45510</v>
      </c>
    </row>
    <row r="95" spans="1:9" x14ac:dyDescent="0.15">
      <c r="A95" s="9">
        <v>94</v>
      </c>
      <c r="B95" s="9" t="s">
        <v>9</v>
      </c>
      <c r="C95" s="9">
        <v>1920</v>
      </c>
      <c r="D95" s="10">
        <v>45677</v>
      </c>
      <c r="E95" s="13" t="str">
        <f>+HYPERLINK("http://trademark.i-assist.jp/data/china/image_1920th/80216459.pdf","80216459")</f>
        <v>80216459</v>
      </c>
      <c r="F95" s="9" t="s">
        <v>417</v>
      </c>
      <c r="G95" s="9" t="s">
        <v>418</v>
      </c>
      <c r="H95" s="9" t="s">
        <v>419</v>
      </c>
      <c r="I95" s="10">
        <v>45510</v>
      </c>
    </row>
    <row r="96" spans="1:9" x14ac:dyDescent="0.15">
      <c r="A96" s="9">
        <v>95</v>
      </c>
      <c r="B96" s="9" t="s">
        <v>9</v>
      </c>
      <c r="C96" s="9">
        <v>1920</v>
      </c>
      <c r="D96" s="10">
        <v>45677</v>
      </c>
      <c r="E96" s="13" t="str">
        <f>+HYPERLINK("http://trademark.i-assist.jp/data/china/image_1920th/80259676.pdf","80259676")</f>
        <v>80259676</v>
      </c>
      <c r="F96" s="9" t="s">
        <v>420</v>
      </c>
      <c r="G96" s="9" t="s">
        <v>421</v>
      </c>
      <c r="H96" s="12" t="s">
        <v>422</v>
      </c>
      <c r="I96" s="10">
        <v>45512</v>
      </c>
    </row>
    <row r="97" spans="1:9" x14ac:dyDescent="0.15">
      <c r="A97" s="9">
        <v>96</v>
      </c>
      <c r="B97" s="9" t="s">
        <v>9</v>
      </c>
      <c r="C97" s="9">
        <v>1920</v>
      </c>
      <c r="D97" s="10">
        <v>45677</v>
      </c>
      <c r="E97" s="13" t="str">
        <f>+HYPERLINK("http://trademark.i-assist.jp/data/china/image_1920th/80271902.pdf","80271902")</f>
        <v>80271902</v>
      </c>
      <c r="F97" s="9" t="s">
        <v>423</v>
      </c>
      <c r="G97" s="9" t="s">
        <v>424</v>
      </c>
      <c r="H97" s="9" t="s">
        <v>425</v>
      </c>
      <c r="I97" s="10">
        <v>45513</v>
      </c>
    </row>
    <row r="98" spans="1:9" x14ac:dyDescent="0.15">
      <c r="A98" s="9">
        <v>97</v>
      </c>
      <c r="B98" s="9" t="s">
        <v>9</v>
      </c>
      <c r="C98" s="9">
        <v>1920</v>
      </c>
      <c r="D98" s="10">
        <v>45677</v>
      </c>
      <c r="E98" s="13" t="str">
        <f>+HYPERLINK("http://trademark.i-assist.jp/data/china/image_1920th/80273856.pdf","80273856")</f>
        <v>80273856</v>
      </c>
      <c r="F98" s="9" t="s">
        <v>426</v>
      </c>
      <c r="G98" s="9" t="s">
        <v>427</v>
      </c>
      <c r="H98" s="9" t="s">
        <v>428</v>
      </c>
      <c r="I98" s="10">
        <v>45513</v>
      </c>
    </row>
    <row r="99" spans="1:9" x14ac:dyDescent="0.15">
      <c r="A99" s="9">
        <v>98</v>
      </c>
      <c r="B99" s="9" t="s">
        <v>9</v>
      </c>
      <c r="C99" s="9">
        <v>1920</v>
      </c>
      <c r="D99" s="10">
        <v>45677</v>
      </c>
      <c r="E99" s="13" t="str">
        <f>+HYPERLINK("http://trademark.i-assist.jp/data/china/image_1920th/80299925.pdf","80299925")</f>
        <v>80299925</v>
      </c>
      <c r="F99" s="9" t="s">
        <v>429</v>
      </c>
      <c r="G99" s="9" t="s">
        <v>430</v>
      </c>
      <c r="H99" s="9" t="s">
        <v>431</v>
      </c>
      <c r="I99" s="10">
        <v>45516</v>
      </c>
    </row>
    <row r="100" spans="1:9" x14ac:dyDescent="0.15">
      <c r="A100" s="9">
        <v>99</v>
      </c>
      <c r="B100" s="9" t="s">
        <v>9</v>
      </c>
      <c r="C100" s="9">
        <v>1920</v>
      </c>
      <c r="D100" s="10">
        <v>45677</v>
      </c>
      <c r="E100" s="13" t="str">
        <f>+HYPERLINK("http://trademark.i-assist.jp/data/china/image_1920th/80316858.pdf","80316858")</f>
        <v>80316858</v>
      </c>
      <c r="F100" s="9" t="s">
        <v>432</v>
      </c>
      <c r="G100" s="9" t="s">
        <v>433</v>
      </c>
      <c r="H100" s="9" t="s">
        <v>434</v>
      </c>
      <c r="I100" s="10">
        <v>45516</v>
      </c>
    </row>
    <row r="101" spans="1:9" x14ac:dyDescent="0.15">
      <c r="A101" s="9">
        <v>100</v>
      </c>
      <c r="B101" s="9" t="s">
        <v>9</v>
      </c>
      <c r="C101" s="9">
        <v>1920</v>
      </c>
      <c r="D101" s="10">
        <v>45677</v>
      </c>
      <c r="E101" s="13" t="str">
        <f>+HYPERLINK("http://trademark.i-assist.jp/data/china/image_1920th/80328459.pdf","80328459")</f>
        <v>80328459</v>
      </c>
      <c r="F101" s="12" t="s">
        <v>435</v>
      </c>
      <c r="G101" s="9" t="s">
        <v>436</v>
      </c>
      <c r="H101" s="9" t="s">
        <v>437</v>
      </c>
      <c r="I101" s="10">
        <v>45517</v>
      </c>
    </row>
    <row r="102" spans="1:9" x14ac:dyDescent="0.15">
      <c r="A102" s="9">
        <v>101</v>
      </c>
      <c r="B102" s="9" t="s">
        <v>9</v>
      </c>
      <c r="C102" s="9">
        <v>1920</v>
      </c>
      <c r="D102" s="10">
        <v>45677</v>
      </c>
      <c r="E102" s="13" t="str">
        <f>+HYPERLINK("http://trademark.i-assist.jp/data/china/image_1920th/80334020.pdf","80334020")</f>
        <v>80334020</v>
      </c>
      <c r="F102" s="12" t="s">
        <v>438</v>
      </c>
      <c r="G102" s="9" t="s">
        <v>436</v>
      </c>
      <c r="H102" s="12" t="s">
        <v>439</v>
      </c>
      <c r="I102" s="10">
        <v>45517</v>
      </c>
    </row>
    <row r="103" spans="1:9" x14ac:dyDescent="0.15">
      <c r="A103" s="9">
        <v>102</v>
      </c>
      <c r="B103" s="9" t="s">
        <v>9</v>
      </c>
      <c r="C103" s="9">
        <v>1920</v>
      </c>
      <c r="D103" s="10">
        <v>45677</v>
      </c>
      <c r="E103" s="13" t="str">
        <f>+HYPERLINK("http://trademark.i-assist.jp/data/china/image_1920th/80347256.pdf","80347256")</f>
        <v>80347256</v>
      </c>
      <c r="F103" s="9" t="s">
        <v>440</v>
      </c>
      <c r="G103" s="9" t="s">
        <v>441</v>
      </c>
      <c r="H103" s="12" t="s">
        <v>442</v>
      </c>
      <c r="I103" s="10">
        <v>45518</v>
      </c>
    </row>
    <row r="104" spans="1:9" x14ac:dyDescent="0.15">
      <c r="A104" s="9">
        <v>103</v>
      </c>
      <c r="B104" s="9" t="s">
        <v>9</v>
      </c>
      <c r="C104" s="9">
        <v>1920</v>
      </c>
      <c r="D104" s="10">
        <v>45677</v>
      </c>
      <c r="E104" s="13" t="str">
        <f>+HYPERLINK("http://trademark.i-assist.jp/data/china/image_1920th/80353749.pdf","80353749")</f>
        <v>80353749</v>
      </c>
      <c r="F104" s="9" t="s">
        <v>443</v>
      </c>
      <c r="G104" s="9" t="s">
        <v>415</v>
      </c>
      <c r="H104" s="9" t="s">
        <v>444</v>
      </c>
      <c r="I104" s="10">
        <v>45518</v>
      </c>
    </row>
    <row r="105" spans="1:9" x14ac:dyDescent="0.15">
      <c r="A105" s="9">
        <v>104</v>
      </c>
      <c r="B105" s="9" t="s">
        <v>9</v>
      </c>
      <c r="C105" s="9">
        <v>1920</v>
      </c>
      <c r="D105" s="10">
        <v>45677</v>
      </c>
      <c r="E105" s="13" t="str">
        <f>+HYPERLINK("http://trademark.i-assist.jp/data/china/image_1920th/80357317.pdf","80357317")</f>
        <v>80357317</v>
      </c>
      <c r="F105" s="9" t="s">
        <v>445</v>
      </c>
      <c r="G105" s="9" t="s">
        <v>446</v>
      </c>
      <c r="H105" s="9" t="s">
        <v>447</v>
      </c>
      <c r="I105" s="10">
        <v>45518</v>
      </c>
    </row>
    <row r="106" spans="1:9" x14ac:dyDescent="0.15">
      <c r="A106" s="9">
        <v>105</v>
      </c>
      <c r="B106" s="9" t="s">
        <v>9</v>
      </c>
      <c r="C106" s="9">
        <v>1920</v>
      </c>
      <c r="D106" s="10">
        <v>45677</v>
      </c>
      <c r="E106" s="13" t="str">
        <f>+HYPERLINK("http://trademark.i-assist.jp/data/china/image_1920th/80374388.pdf","80374388")</f>
        <v>80374388</v>
      </c>
      <c r="F106" s="12" t="s">
        <v>12</v>
      </c>
      <c r="G106" s="9" t="s">
        <v>30</v>
      </c>
      <c r="H106" s="9" t="s">
        <v>448</v>
      </c>
      <c r="I106" s="10">
        <v>45519</v>
      </c>
    </row>
    <row r="107" spans="1:9" x14ac:dyDescent="0.15">
      <c r="A107" s="9">
        <v>106</v>
      </c>
      <c r="B107" s="9" t="s">
        <v>9</v>
      </c>
      <c r="C107" s="9">
        <v>1920</v>
      </c>
      <c r="D107" s="10">
        <v>45677</v>
      </c>
      <c r="E107" s="13" t="str">
        <f>+HYPERLINK("http://trademark.i-assist.jp/data/china/image_1920th/80389936.pdf","80389936")</f>
        <v>80389936</v>
      </c>
      <c r="F107" s="9" t="s">
        <v>449</v>
      </c>
      <c r="G107" s="9" t="s">
        <v>450</v>
      </c>
      <c r="H107" s="9" t="s">
        <v>451</v>
      </c>
      <c r="I107" s="10">
        <v>45519</v>
      </c>
    </row>
    <row r="108" spans="1:9" x14ac:dyDescent="0.15">
      <c r="A108" s="9">
        <v>107</v>
      </c>
      <c r="B108" s="9" t="s">
        <v>9</v>
      </c>
      <c r="C108" s="9">
        <v>1920</v>
      </c>
      <c r="D108" s="10">
        <v>45677</v>
      </c>
      <c r="E108" s="13" t="str">
        <f>+HYPERLINK("http://trademark.i-assist.jp/data/china/image_1920th/80408250.pdf","80408250")</f>
        <v>80408250</v>
      </c>
      <c r="F108" s="9" t="s">
        <v>452</v>
      </c>
      <c r="G108" s="9" t="s">
        <v>453</v>
      </c>
      <c r="H108" s="9" t="s">
        <v>454</v>
      </c>
      <c r="I108" s="10">
        <v>45520</v>
      </c>
    </row>
    <row r="109" spans="1:9" x14ac:dyDescent="0.15">
      <c r="A109" s="9">
        <v>108</v>
      </c>
      <c r="B109" s="9" t="s">
        <v>9</v>
      </c>
      <c r="C109" s="9">
        <v>1920</v>
      </c>
      <c r="D109" s="10">
        <v>45677</v>
      </c>
      <c r="E109" s="13" t="str">
        <f>+HYPERLINK("http://trademark.i-assist.jp/data/china/image_1920th/80424641.pdf","80424641")</f>
        <v>80424641</v>
      </c>
      <c r="F109" s="9" t="s">
        <v>455</v>
      </c>
      <c r="G109" s="9" t="s">
        <v>456</v>
      </c>
      <c r="H109" s="9" t="s">
        <v>457</v>
      </c>
      <c r="I109" s="10">
        <v>45522</v>
      </c>
    </row>
    <row r="110" spans="1:9" x14ac:dyDescent="0.15">
      <c r="A110" s="9">
        <v>109</v>
      </c>
      <c r="B110" s="9" t="s">
        <v>9</v>
      </c>
      <c r="C110" s="9">
        <v>1920</v>
      </c>
      <c r="D110" s="10">
        <v>45677</v>
      </c>
      <c r="E110" s="13" t="str">
        <f>+HYPERLINK("http://trademark.i-assist.jp/data/china/image_1920th/80425055.pdf","80425055")</f>
        <v>80425055</v>
      </c>
      <c r="F110" s="9" t="s">
        <v>458</v>
      </c>
      <c r="G110" s="9" t="s">
        <v>459</v>
      </c>
      <c r="H110" s="9" t="s">
        <v>460</v>
      </c>
      <c r="I110" s="10">
        <v>45522</v>
      </c>
    </row>
    <row r="111" spans="1:9" x14ac:dyDescent="0.15">
      <c r="A111" s="9">
        <v>110</v>
      </c>
      <c r="B111" s="9" t="s">
        <v>9</v>
      </c>
      <c r="C111" s="9">
        <v>1920</v>
      </c>
      <c r="D111" s="10">
        <v>45677</v>
      </c>
      <c r="E111" s="13" t="str">
        <f>+HYPERLINK("http://trademark.i-assist.jp/data/china/image_1920th/80433202.pdf","80433202")</f>
        <v>80433202</v>
      </c>
      <c r="F111" s="9" t="s">
        <v>461</v>
      </c>
      <c r="G111" s="12" t="s">
        <v>462</v>
      </c>
      <c r="H111" s="9" t="s">
        <v>463</v>
      </c>
      <c r="I111" s="10">
        <v>45523</v>
      </c>
    </row>
    <row r="112" spans="1:9" x14ac:dyDescent="0.15">
      <c r="A112" s="9">
        <v>111</v>
      </c>
      <c r="B112" s="9" t="s">
        <v>9</v>
      </c>
      <c r="C112" s="9">
        <v>1920</v>
      </c>
      <c r="D112" s="10">
        <v>45677</v>
      </c>
      <c r="E112" s="13" t="str">
        <f>+HYPERLINK("http://trademark.i-assist.jp/data/china/image_1920th/80473062.pdf","80473062")</f>
        <v>80473062</v>
      </c>
      <c r="F112" s="9" t="s">
        <v>464</v>
      </c>
      <c r="G112" s="9" t="s">
        <v>465</v>
      </c>
      <c r="H112" s="9" t="s">
        <v>466</v>
      </c>
      <c r="I112" s="10">
        <v>45524</v>
      </c>
    </row>
    <row r="113" spans="1:9" x14ac:dyDescent="0.15">
      <c r="A113" s="9">
        <v>112</v>
      </c>
      <c r="B113" s="9" t="s">
        <v>9</v>
      </c>
      <c r="C113" s="9">
        <v>1920</v>
      </c>
      <c r="D113" s="10">
        <v>45677</v>
      </c>
      <c r="E113" s="13" t="str">
        <f>+HYPERLINK("http://trademark.i-assist.jp/data/china/image_1920th/80473806.pdf","80473806")</f>
        <v>80473806</v>
      </c>
      <c r="F113" s="9" t="s">
        <v>467</v>
      </c>
      <c r="G113" s="9" t="s">
        <v>468</v>
      </c>
      <c r="H113" s="9" t="s">
        <v>469</v>
      </c>
      <c r="I113" s="10">
        <v>45524</v>
      </c>
    </row>
    <row r="114" spans="1:9" x14ac:dyDescent="0.15">
      <c r="A114" s="9">
        <v>113</v>
      </c>
      <c r="B114" s="9" t="s">
        <v>9</v>
      </c>
      <c r="C114" s="9">
        <v>1920</v>
      </c>
      <c r="D114" s="10">
        <v>45677</v>
      </c>
      <c r="E114" s="13" t="str">
        <f>+HYPERLINK("http://trademark.i-assist.jp/data/china/image_1920th/80503212.pdf","80503212")</f>
        <v>80503212</v>
      </c>
      <c r="F114" s="9" t="s">
        <v>470</v>
      </c>
      <c r="G114" s="9" t="s">
        <v>471</v>
      </c>
      <c r="H114" s="9" t="s">
        <v>10</v>
      </c>
      <c r="I114" s="10">
        <v>45526</v>
      </c>
    </row>
    <row r="115" spans="1:9" x14ac:dyDescent="0.15">
      <c r="A115" s="9">
        <v>114</v>
      </c>
      <c r="B115" s="9" t="s">
        <v>9</v>
      </c>
      <c r="C115" s="9">
        <v>1920</v>
      </c>
      <c r="D115" s="10">
        <v>45677</v>
      </c>
      <c r="E115" s="13" t="str">
        <f>+HYPERLINK("http://trademark.i-assist.jp/data/china/image_1920th/80508080.pdf","80508080")</f>
        <v>80508080</v>
      </c>
      <c r="F115" s="9" t="s">
        <v>472</v>
      </c>
      <c r="G115" s="9" t="s">
        <v>473</v>
      </c>
      <c r="H115" s="9" t="s">
        <v>474</v>
      </c>
      <c r="I115" s="10">
        <v>45526</v>
      </c>
    </row>
    <row r="116" spans="1:9" x14ac:dyDescent="0.15">
      <c r="A116" s="9">
        <v>115</v>
      </c>
      <c r="B116" s="9" t="s">
        <v>9</v>
      </c>
      <c r="C116" s="9">
        <v>1920</v>
      </c>
      <c r="D116" s="10">
        <v>45677</v>
      </c>
      <c r="E116" s="13" t="str">
        <f>+HYPERLINK("http://trademark.i-assist.jp/data/china/image_1920th/80510570.pdf","80510570")</f>
        <v>80510570</v>
      </c>
      <c r="F116" s="12" t="s">
        <v>475</v>
      </c>
      <c r="G116" s="9" t="s">
        <v>473</v>
      </c>
      <c r="H116" s="9" t="s">
        <v>476</v>
      </c>
      <c r="I116" s="10">
        <v>45526</v>
      </c>
    </row>
    <row r="117" spans="1:9" x14ac:dyDescent="0.15">
      <c r="A117" s="9">
        <v>116</v>
      </c>
      <c r="B117" s="9" t="s">
        <v>9</v>
      </c>
      <c r="C117" s="9">
        <v>1920</v>
      </c>
      <c r="D117" s="10">
        <v>45677</v>
      </c>
      <c r="E117" s="13" t="str">
        <f>+HYPERLINK("http://trademark.i-assist.jp/data/china/image_1920th/80512406.pdf","80512406")</f>
        <v>80512406</v>
      </c>
      <c r="F117" s="9" t="s">
        <v>477</v>
      </c>
      <c r="G117" s="9" t="s">
        <v>473</v>
      </c>
      <c r="H117" s="9" t="s">
        <v>478</v>
      </c>
      <c r="I117" s="10">
        <v>45526</v>
      </c>
    </row>
    <row r="118" spans="1:9" x14ac:dyDescent="0.15">
      <c r="A118" s="9">
        <v>117</v>
      </c>
      <c r="B118" s="9" t="s">
        <v>9</v>
      </c>
      <c r="C118" s="9">
        <v>1920</v>
      </c>
      <c r="D118" s="10">
        <v>45677</v>
      </c>
      <c r="E118" s="13" t="str">
        <f>+HYPERLINK("http://trademark.i-assist.jp/data/china/image_1920th/80527508.pdf","80527508")</f>
        <v>80527508</v>
      </c>
      <c r="F118" s="12" t="s">
        <v>479</v>
      </c>
      <c r="G118" s="12" t="s">
        <v>480</v>
      </c>
      <c r="H118" s="9" t="s">
        <v>481</v>
      </c>
      <c r="I118" s="10">
        <v>45527</v>
      </c>
    </row>
    <row r="119" spans="1:9" x14ac:dyDescent="0.15">
      <c r="A119" s="9">
        <v>118</v>
      </c>
      <c r="B119" s="9" t="s">
        <v>9</v>
      </c>
      <c r="C119" s="9">
        <v>1920</v>
      </c>
      <c r="D119" s="10">
        <v>45677</v>
      </c>
      <c r="E119" s="13" t="str">
        <f>+HYPERLINK("http://trademark.i-assist.jp/data/china/image_1920th/80531211.pdf","80531211")</f>
        <v>80531211</v>
      </c>
      <c r="F119" s="9" t="s">
        <v>482</v>
      </c>
      <c r="G119" s="9" t="s">
        <v>483</v>
      </c>
      <c r="H119" s="9" t="s">
        <v>484</v>
      </c>
      <c r="I119" s="10">
        <v>45527</v>
      </c>
    </row>
    <row r="120" spans="1:9" x14ac:dyDescent="0.15">
      <c r="A120" s="9">
        <v>119</v>
      </c>
      <c r="B120" s="9" t="s">
        <v>9</v>
      </c>
      <c r="C120" s="9">
        <v>1920</v>
      </c>
      <c r="D120" s="10">
        <v>45677</v>
      </c>
      <c r="E120" s="13" t="str">
        <f>+HYPERLINK("http://trademark.i-assist.jp/data/china/image_1920th/80534025.pdf","80534025")</f>
        <v>80534025</v>
      </c>
      <c r="F120" s="12" t="s">
        <v>485</v>
      </c>
      <c r="G120" s="9" t="s">
        <v>486</v>
      </c>
      <c r="H120" s="9" t="s">
        <v>487</v>
      </c>
      <c r="I120" s="10">
        <v>45527</v>
      </c>
    </row>
    <row r="121" spans="1:9" x14ac:dyDescent="0.15">
      <c r="A121" s="9">
        <v>120</v>
      </c>
      <c r="B121" s="9" t="s">
        <v>9</v>
      </c>
      <c r="C121" s="9">
        <v>1920</v>
      </c>
      <c r="D121" s="10">
        <v>45677</v>
      </c>
      <c r="E121" s="13" t="str">
        <f>+HYPERLINK("http://trademark.i-assist.jp/data/china/image_1920th/80534843.pdf","80534843")</f>
        <v>80534843</v>
      </c>
      <c r="F121" s="9" t="s">
        <v>488</v>
      </c>
      <c r="G121" s="9" t="s">
        <v>489</v>
      </c>
      <c r="H121" s="9" t="s">
        <v>490</v>
      </c>
      <c r="I121" s="10">
        <v>45527</v>
      </c>
    </row>
    <row r="122" spans="1:9" x14ac:dyDescent="0.15">
      <c r="A122" s="9">
        <v>121</v>
      </c>
      <c r="B122" s="9" t="s">
        <v>9</v>
      </c>
      <c r="C122" s="9">
        <v>1920</v>
      </c>
      <c r="D122" s="10">
        <v>45677</v>
      </c>
      <c r="E122" s="13" t="str">
        <f>+HYPERLINK("http://trademark.i-assist.jp/data/china/image_1920th/80535176.pdf","80535176")</f>
        <v>80535176</v>
      </c>
      <c r="F122" s="9" t="s">
        <v>491</v>
      </c>
      <c r="G122" s="9" t="s">
        <v>492</v>
      </c>
      <c r="H122" s="9" t="s">
        <v>493</v>
      </c>
      <c r="I122" s="10">
        <v>45527</v>
      </c>
    </row>
    <row r="123" spans="1:9" x14ac:dyDescent="0.15">
      <c r="A123" s="9">
        <v>122</v>
      </c>
      <c r="B123" s="9" t="s">
        <v>9</v>
      </c>
      <c r="C123" s="9">
        <v>1920</v>
      </c>
      <c r="D123" s="10">
        <v>45677</v>
      </c>
      <c r="E123" s="13" t="str">
        <f>+HYPERLINK("http://trademark.i-assist.jp/data/china/image_1920th/80574234.pdf","80574234")</f>
        <v>80574234</v>
      </c>
      <c r="F123" s="12" t="s">
        <v>494</v>
      </c>
      <c r="G123" s="9" t="s">
        <v>495</v>
      </c>
      <c r="H123" s="9" t="s">
        <v>496</v>
      </c>
      <c r="I123" s="10">
        <v>45530</v>
      </c>
    </row>
    <row r="124" spans="1:9" x14ac:dyDescent="0.15">
      <c r="A124" s="9">
        <v>123</v>
      </c>
      <c r="B124" s="9" t="s">
        <v>9</v>
      </c>
      <c r="C124" s="9">
        <v>1920</v>
      </c>
      <c r="D124" s="10">
        <v>45677</v>
      </c>
      <c r="E124" s="13" t="str">
        <f>+HYPERLINK("http://trademark.i-assist.jp/data/china/image_1920th/80576260.pdf","80576260")</f>
        <v>80576260</v>
      </c>
      <c r="F124" s="9" t="s">
        <v>497</v>
      </c>
      <c r="G124" s="9" t="s">
        <v>498</v>
      </c>
      <c r="H124" s="9" t="s">
        <v>499</v>
      </c>
      <c r="I124" s="10">
        <v>45530</v>
      </c>
    </row>
    <row r="125" spans="1:9" x14ac:dyDescent="0.15">
      <c r="A125" s="9">
        <v>124</v>
      </c>
      <c r="B125" s="9" t="s">
        <v>9</v>
      </c>
      <c r="C125" s="9">
        <v>1920</v>
      </c>
      <c r="D125" s="10">
        <v>45677</v>
      </c>
      <c r="E125" s="13" t="str">
        <f>+HYPERLINK("http://trademark.i-assist.jp/data/china/image_1920th/80578143.pdf","80578143")</f>
        <v>80578143</v>
      </c>
      <c r="F125" s="9" t="s">
        <v>500</v>
      </c>
      <c r="G125" s="9" t="s">
        <v>33</v>
      </c>
      <c r="H125" s="9" t="s">
        <v>501</v>
      </c>
      <c r="I125" s="10">
        <v>45531</v>
      </c>
    </row>
    <row r="126" spans="1:9" x14ac:dyDescent="0.15">
      <c r="A126" s="9">
        <v>125</v>
      </c>
      <c r="B126" s="9" t="s">
        <v>9</v>
      </c>
      <c r="C126" s="9">
        <v>1920</v>
      </c>
      <c r="D126" s="10">
        <v>45677</v>
      </c>
      <c r="E126" s="13" t="str">
        <f>+HYPERLINK("http://trademark.i-assist.jp/data/china/image_1920th/80604978.pdf","80604978")</f>
        <v>80604978</v>
      </c>
      <c r="F126" s="9" t="s">
        <v>502</v>
      </c>
      <c r="G126" s="9" t="s">
        <v>503</v>
      </c>
      <c r="H126" s="9" t="s">
        <v>504</v>
      </c>
      <c r="I126" s="10">
        <v>45532</v>
      </c>
    </row>
    <row r="127" spans="1:9" x14ac:dyDescent="0.15">
      <c r="A127" s="9">
        <v>126</v>
      </c>
      <c r="B127" s="9" t="s">
        <v>9</v>
      </c>
      <c r="C127" s="9">
        <v>1920</v>
      </c>
      <c r="D127" s="10">
        <v>45677</v>
      </c>
      <c r="E127" s="13" t="str">
        <f>+HYPERLINK("http://trademark.i-assist.jp/data/china/image_1920th/80639750.pdf","80639750")</f>
        <v>80639750</v>
      </c>
      <c r="F127" s="9" t="s">
        <v>505</v>
      </c>
      <c r="G127" s="12" t="s">
        <v>506</v>
      </c>
      <c r="H127" s="9" t="s">
        <v>507</v>
      </c>
      <c r="I127" s="10">
        <v>45533</v>
      </c>
    </row>
    <row r="128" spans="1:9" x14ac:dyDescent="0.15">
      <c r="A128" s="9">
        <v>127</v>
      </c>
      <c r="B128" s="9" t="s">
        <v>9</v>
      </c>
      <c r="C128" s="9">
        <v>1920</v>
      </c>
      <c r="D128" s="10">
        <v>45677</v>
      </c>
      <c r="E128" s="13" t="str">
        <f>+HYPERLINK("http://trademark.i-assist.jp/data/china/image_1920th/80649120.pdf","80649120")</f>
        <v>80649120</v>
      </c>
      <c r="F128" s="9" t="s">
        <v>508</v>
      </c>
      <c r="G128" s="9" t="s">
        <v>509</v>
      </c>
      <c r="H128" s="9" t="s">
        <v>510</v>
      </c>
      <c r="I128" s="10">
        <v>45534</v>
      </c>
    </row>
    <row r="129" spans="1:9" x14ac:dyDescent="0.15">
      <c r="A129" s="9">
        <v>128</v>
      </c>
      <c r="B129" s="9" t="s">
        <v>9</v>
      </c>
      <c r="C129" s="9">
        <v>1920</v>
      </c>
      <c r="D129" s="10">
        <v>45677</v>
      </c>
      <c r="E129" s="13" t="str">
        <f>+HYPERLINK("http://trademark.i-assist.jp/data/china/image_1920th/80685622.pdf","80685622")</f>
        <v>80685622</v>
      </c>
      <c r="F129" s="9" t="s">
        <v>511</v>
      </c>
      <c r="G129" s="12" t="s">
        <v>512</v>
      </c>
      <c r="H129" s="9" t="s">
        <v>513</v>
      </c>
      <c r="I129" s="10">
        <v>45537</v>
      </c>
    </row>
    <row r="130" spans="1:9" x14ac:dyDescent="0.15">
      <c r="A130" s="9">
        <v>129</v>
      </c>
      <c r="B130" s="9" t="s">
        <v>9</v>
      </c>
      <c r="C130" s="9">
        <v>1920</v>
      </c>
      <c r="D130" s="10">
        <v>45677</v>
      </c>
      <c r="E130" s="13" t="str">
        <f>+HYPERLINK("http://trademark.i-assist.jp/data/china/image_1920th/80709579.pdf","80709579")</f>
        <v>80709579</v>
      </c>
      <c r="F130" s="12" t="s">
        <v>12</v>
      </c>
      <c r="G130" s="9" t="s">
        <v>323</v>
      </c>
      <c r="H130" s="9" t="s">
        <v>514</v>
      </c>
      <c r="I130" s="10">
        <v>45538</v>
      </c>
    </row>
    <row r="131" spans="1:9" x14ac:dyDescent="0.15">
      <c r="A131" s="9">
        <v>130</v>
      </c>
      <c r="B131" s="9" t="s">
        <v>9</v>
      </c>
      <c r="C131" s="9">
        <v>1920</v>
      </c>
      <c r="D131" s="10">
        <v>45677</v>
      </c>
      <c r="E131" s="13" t="str">
        <f>+HYPERLINK("http://trademark.i-assist.jp/data/china/image_1920th/80736280.pdf","80736280")</f>
        <v>80736280</v>
      </c>
      <c r="F131" s="9" t="s">
        <v>515</v>
      </c>
      <c r="G131" s="12" t="s">
        <v>146</v>
      </c>
      <c r="H131" s="12" t="s">
        <v>516</v>
      </c>
      <c r="I131" s="10">
        <v>45539</v>
      </c>
    </row>
    <row r="132" spans="1:9" x14ac:dyDescent="0.15">
      <c r="A132" s="9">
        <v>131</v>
      </c>
      <c r="B132" s="9" t="s">
        <v>9</v>
      </c>
      <c r="C132" s="9">
        <v>1920</v>
      </c>
      <c r="D132" s="10">
        <v>45677</v>
      </c>
      <c r="E132" s="13" t="str">
        <f>+HYPERLINK("http://trademark.i-assist.jp/data/china/image_1920th/80739021.pdf","80739021")</f>
        <v>80739021</v>
      </c>
      <c r="F132" s="12" t="s">
        <v>517</v>
      </c>
      <c r="G132" s="9" t="s">
        <v>518</v>
      </c>
      <c r="H132" s="9" t="s">
        <v>519</v>
      </c>
      <c r="I132" s="10">
        <v>45539</v>
      </c>
    </row>
    <row r="133" spans="1:9" x14ac:dyDescent="0.15">
      <c r="A133" s="9">
        <v>132</v>
      </c>
      <c r="B133" s="9" t="s">
        <v>9</v>
      </c>
      <c r="C133" s="9">
        <v>1920</v>
      </c>
      <c r="D133" s="10">
        <v>45677</v>
      </c>
      <c r="E133" s="13" t="str">
        <f>+HYPERLINK("http://trademark.i-assist.jp/data/china/image_1920th/80764767.pdf","80764767")</f>
        <v>80764767</v>
      </c>
      <c r="F133" s="9" t="s">
        <v>520</v>
      </c>
      <c r="G133" s="9" t="s">
        <v>521</v>
      </c>
      <c r="H133" s="9" t="s">
        <v>522</v>
      </c>
      <c r="I133" s="10">
        <v>45540</v>
      </c>
    </row>
    <row r="134" spans="1:9" x14ac:dyDescent="0.15">
      <c r="A134" s="9">
        <v>133</v>
      </c>
      <c r="B134" s="9" t="s">
        <v>9</v>
      </c>
      <c r="C134" s="9">
        <v>1920</v>
      </c>
      <c r="D134" s="10">
        <v>45677</v>
      </c>
      <c r="E134" s="13" t="str">
        <f>+HYPERLINK("http://trademark.i-assist.jp/data/china/image_1920th/80765257.pdf","80765257")</f>
        <v>80765257</v>
      </c>
      <c r="F134" s="9" t="s">
        <v>523</v>
      </c>
      <c r="G134" s="9" t="s">
        <v>524</v>
      </c>
      <c r="H134" s="9" t="s">
        <v>525</v>
      </c>
      <c r="I134" s="10">
        <v>45540</v>
      </c>
    </row>
    <row r="135" spans="1:9" x14ac:dyDescent="0.15">
      <c r="A135" s="9">
        <v>134</v>
      </c>
      <c r="B135" s="9" t="s">
        <v>9</v>
      </c>
      <c r="C135" s="9">
        <v>1920</v>
      </c>
      <c r="D135" s="10">
        <v>45677</v>
      </c>
      <c r="E135" s="13" t="str">
        <f>+HYPERLINK("http://trademark.i-assist.jp/data/china/image_1920th/80766530.pdf","80766530")</f>
        <v>80766530</v>
      </c>
      <c r="F135" s="9" t="s">
        <v>526</v>
      </c>
      <c r="G135" s="9" t="s">
        <v>34</v>
      </c>
      <c r="H135" s="9" t="s">
        <v>527</v>
      </c>
      <c r="I135" s="10">
        <v>45540</v>
      </c>
    </row>
    <row r="136" spans="1:9" x14ac:dyDescent="0.15">
      <c r="A136" s="9">
        <v>135</v>
      </c>
      <c r="B136" s="9" t="s">
        <v>9</v>
      </c>
      <c r="C136" s="9">
        <v>1920</v>
      </c>
      <c r="D136" s="10">
        <v>45677</v>
      </c>
      <c r="E136" s="13" t="str">
        <f>+HYPERLINK("http://trademark.i-assist.jp/data/china/image_1920th/80783801.pdf","80783801")</f>
        <v>80783801</v>
      </c>
      <c r="F136" s="9" t="s">
        <v>528</v>
      </c>
      <c r="G136" s="9" t="s">
        <v>529</v>
      </c>
      <c r="H136" s="9" t="s">
        <v>530</v>
      </c>
      <c r="I136" s="10">
        <v>45541</v>
      </c>
    </row>
    <row r="137" spans="1:9" x14ac:dyDescent="0.15">
      <c r="A137" s="9">
        <v>136</v>
      </c>
      <c r="B137" s="9" t="s">
        <v>9</v>
      </c>
      <c r="C137" s="9">
        <v>1920</v>
      </c>
      <c r="D137" s="10">
        <v>45677</v>
      </c>
      <c r="E137" s="13" t="str">
        <f>+HYPERLINK("http://trademark.i-assist.jp/data/china/image_1920th/80810615.pdf","80810615")</f>
        <v>80810615</v>
      </c>
      <c r="F137" s="9" t="s">
        <v>531</v>
      </c>
      <c r="G137" s="9" t="s">
        <v>532</v>
      </c>
      <c r="H137" s="9" t="s">
        <v>533</v>
      </c>
      <c r="I137" s="10">
        <v>45544</v>
      </c>
    </row>
    <row r="138" spans="1:9" x14ac:dyDescent="0.15">
      <c r="A138" s="9">
        <v>137</v>
      </c>
      <c r="B138" s="9" t="s">
        <v>9</v>
      </c>
      <c r="C138" s="9">
        <v>1920</v>
      </c>
      <c r="D138" s="10">
        <v>45677</v>
      </c>
      <c r="E138" s="13" t="str">
        <f>+HYPERLINK("http://trademark.i-assist.jp/data/china/image_1920th/80817558.pdf","80817558")</f>
        <v>80817558</v>
      </c>
      <c r="F138" s="9" t="s">
        <v>534</v>
      </c>
      <c r="G138" s="9" t="s">
        <v>535</v>
      </c>
      <c r="H138" s="9" t="s">
        <v>536</v>
      </c>
      <c r="I138" s="10">
        <v>45544</v>
      </c>
    </row>
    <row r="139" spans="1:9" x14ac:dyDescent="0.15">
      <c r="A139" s="9">
        <v>138</v>
      </c>
      <c r="B139" s="9" t="s">
        <v>9</v>
      </c>
      <c r="C139" s="9">
        <v>1920</v>
      </c>
      <c r="D139" s="10">
        <v>45677</v>
      </c>
      <c r="E139" s="13" t="str">
        <f>+HYPERLINK("http://trademark.i-assist.jp/data/china/image_1920th/80821560.pdf","80821560")</f>
        <v>80821560</v>
      </c>
      <c r="F139" s="9" t="s">
        <v>537</v>
      </c>
      <c r="G139" s="9" t="s">
        <v>538</v>
      </c>
      <c r="H139" s="9" t="s">
        <v>539</v>
      </c>
      <c r="I139" s="10">
        <v>45544</v>
      </c>
    </row>
    <row r="140" spans="1:9" x14ac:dyDescent="0.15">
      <c r="A140" s="9">
        <v>139</v>
      </c>
      <c r="B140" s="9" t="s">
        <v>9</v>
      </c>
      <c r="C140" s="9">
        <v>1920</v>
      </c>
      <c r="D140" s="10">
        <v>45677</v>
      </c>
      <c r="E140" s="13" t="str">
        <f>+HYPERLINK("http://trademark.i-assist.jp/data/china/image_1920th/80822576.pdf","80822576")</f>
        <v>80822576</v>
      </c>
      <c r="F140" s="9" t="s">
        <v>540</v>
      </c>
      <c r="G140" s="12" t="s">
        <v>541</v>
      </c>
      <c r="H140" s="9" t="s">
        <v>542</v>
      </c>
      <c r="I140" s="10">
        <v>45544</v>
      </c>
    </row>
    <row r="141" spans="1:9" x14ac:dyDescent="0.15">
      <c r="A141" s="9">
        <v>140</v>
      </c>
      <c r="B141" s="9" t="s">
        <v>9</v>
      </c>
      <c r="C141" s="9">
        <v>1920</v>
      </c>
      <c r="D141" s="10">
        <v>45677</v>
      </c>
      <c r="E141" s="13" t="str">
        <f>+HYPERLINK("http://trademark.i-assist.jp/data/china/image_1920th/80831922.pdf","80831922")</f>
        <v>80831922</v>
      </c>
      <c r="F141" s="11" t="s">
        <v>543</v>
      </c>
      <c r="G141" s="12" t="s">
        <v>89</v>
      </c>
      <c r="H141" s="9" t="s">
        <v>544</v>
      </c>
      <c r="I141" s="10">
        <v>45544</v>
      </c>
    </row>
    <row r="142" spans="1:9" x14ac:dyDescent="0.15">
      <c r="A142" s="9">
        <v>141</v>
      </c>
      <c r="B142" s="9" t="s">
        <v>9</v>
      </c>
      <c r="C142" s="9">
        <v>1920</v>
      </c>
      <c r="D142" s="10">
        <v>45677</v>
      </c>
      <c r="E142" s="13" t="str">
        <f>+HYPERLINK("http://trademark.i-assist.jp/data/china/image_1920th/80834809.pdf","80834809")</f>
        <v>80834809</v>
      </c>
      <c r="F142" s="12" t="s">
        <v>545</v>
      </c>
      <c r="G142" s="9" t="s">
        <v>35</v>
      </c>
      <c r="H142" s="9" t="s">
        <v>546</v>
      </c>
      <c r="I142" s="10">
        <v>45545</v>
      </c>
    </row>
    <row r="143" spans="1:9" x14ac:dyDescent="0.15">
      <c r="A143" s="9">
        <v>142</v>
      </c>
      <c r="B143" s="9" t="s">
        <v>9</v>
      </c>
      <c r="C143" s="9">
        <v>1920</v>
      </c>
      <c r="D143" s="10">
        <v>45677</v>
      </c>
      <c r="E143" s="13" t="str">
        <f>+HYPERLINK("http://trademark.i-assist.jp/data/china/image_1920th/80841794.pdf","80841794")</f>
        <v>80841794</v>
      </c>
      <c r="F143" s="9" t="s">
        <v>547</v>
      </c>
      <c r="G143" s="9" t="s">
        <v>548</v>
      </c>
      <c r="H143" s="9" t="s">
        <v>549</v>
      </c>
      <c r="I143" s="10">
        <v>45545</v>
      </c>
    </row>
    <row r="144" spans="1:9" x14ac:dyDescent="0.15">
      <c r="A144" s="9">
        <v>143</v>
      </c>
      <c r="B144" s="9" t="s">
        <v>9</v>
      </c>
      <c r="C144" s="9">
        <v>1920</v>
      </c>
      <c r="D144" s="10">
        <v>45677</v>
      </c>
      <c r="E144" s="13" t="str">
        <f>+HYPERLINK("http://trademark.i-assist.jp/data/china/image_1920th/80867690.pdf","80867690")</f>
        <v>80867690</v>
      </c>
      <c r="F144" s="12" t="s">
        <v>12</v>
      </c>
      <c r="G144" s="9" t="s">
        <v>550</v>
      </c>
      <c r="H144" s="9" t="s">
        <v>551</v>
      </c>
      <c r="I144" s="10">
        <v>45546</v>
      </c>
    </row>
    <row r="145" spans="1:9" x14ac:dyDescent="0.15">
      <c r="A145" s="9">
        <v>144</v>
      </c>
      <c r="B145" s="9" t="s">
        <v>9</v>
      </c>
      <c r="C145" s="9">
        <v>1920</v>
      </c>
      <c r="D145" s="10">
        <v>45677</v>
      </c>
      <c r="E145" s="13" t="str">
        <f>+HYPERLINK("http://trademark.i-assist.jp/data/china/image_1920th/80872597.pdf","80872597")</f>
        <v>80872597</v>
      </c>
      <c r="F145" s="12" t="s">
        <v>12</v>
      </c>
      <c r="G145" s="9" t="s">
        <v>552</v>
      </c>
      <c r="H145" s="12" t="s">
        <v>553</v>
      </c>
      <c r="I145" s="10">
        <v>45546</v>
      </c>
    </row>
    <row r="146" spans="1:9" x14ac:dyDescent="0.15">
      <c r="A146" s="9">
        <v>145</v>
      </c>
      <c r="B146" s="9" t="s">
        <v>9</v>
      </c>
      <c r="C146" s="9">
        <v>1920</v>
      </c>
      <c r="D146" s="10">
        <v>45677</v>
      </c>
      <c r="E146" s="13" t="str">
        <f>+HYPERLINK("http://trademark.i-assist.jp/data/china/image_1920th/80883743.pdf","80883743")</f>
        <v>80883743</v>
      </c>
      <c r="F146" s="12" t="s">
        <v>554</v>
      </c>
      <c r="G146" s="9" t="s">
        <v>555</v>
      </c>
      <c r="H146" s="9" t="s">
        <v>556</v>
      </c>
      <c r="I146" s="10">
        <v>45547</v>
      </c>
    </row>
    <row r="147" spans="1:9" x14ac:dyDescent="0.15">
      <c r="A147" s="9">
        <v>146</v>
      </c>
      <c r="B147" s="9" t="s">
        <v>9</v>
      </c>
      <c r="C147" s="9">
        <v>1920</v>
      </c>
      <c r="D147" s="10">
        <v>45677</v>
      </c>
      <c r="E147" s="13" t="str">
        <f>+HYPERLINK("http://trademark.i-assist.jp/data/china/image_1920th/80886260.pdf","80886260")</f>
        <v>80886260</v>
      </c>
      <c r="F147" s="12" t="s">
        <v>557</v>
      </c>
      <c r="G147" s="9" t="s">
        <v>558</v>
      </c>
      <c r="H147" s="9" t="s">
        <v>559</v>
      </c>
      <c r="I147" s="10">
        <v>45547</v>
      </c>
    </row>
    <row r="148" spans="1:9" x14ac:dyDescent="0.15">
      <c r="A148" s="9">
        <v>147</v>
      </c>
      <c r="B148" s="9" t="s">
        <v>9</v>
      </c>
      <c r="C148" s="9">
        <v>1920</v>
      </c>
      <c r="D148" s="10">
        <v>45677</v>
      </c>
      <c r="E148" s="13" t="str">
        <f>+HYPERLINK("http://trademark.i-assist.jp/data/china/image_1920th/80888186.pdf","80888186")</f>
        <v>80888186</v>
      </c>
      <c r="F148" s="9" t="s">
        <v>560</v>
      </c>
      <c r="G148" s="9" t="s">
        <v>561</v>
      </c>
      <c r="H148" s="12" t="s">
        <v>562</v>
      </c>
      <c r="I148" s="10">
        <v>45549</v>
      </c>
    </row>
    <row r="149" spans="1:9" x14ac:dyDescent="0.15">
      <c r="A149" s="9">
        <v>148</v>
      </c>
      <c r="B149" s="9" t="s">
        <v>9</v>
      </c>
      <c r="C149" s="9">
        <v>1920</v>
      </c>
      <c r="D149" s="10">
        <v>45677</v>
      </c>
      <c r="E149" s="13" t="str">
        <f>+HYPERLINK("http://trademark.i-assist.jp/data/china/image_1920th/80890802.pdf","80890802")</f>
        <v>80890802</v>
      </c>
      <c r="F149" s="9" t="s">
        <v>563</v>
      </c>
      <c r="G149" s="9" t="s">
        <v>564</v>
      </c>
      <c r="H149" s="9" t="s">
        <v>565</v>
      </c>
      <c r="I149" s="10">
        <v>45547</v>
      </c>
    </row>
    <row r="150" spans="1:9" x14ac:dyDescent="0.15">
      <c r="A150" s="9">
        <v>149</v>
      </c>
      <c r="B150" s="9" t="s">
        <v>9</v>
      </c>
      <c r="C150" s="9">
        <v>1920</v>
      </c>
      <c r="D150" s="10">
        <v>45677</v>
      </c>
      <c r="E150" s="13" t="str">
        <f>+HYPERLINK("http://trademark.i-assist.jp/data/china/image_1920th/80893665.pdf","80893665")</f>
        <v>80893665</v>
      </c>
      <c r="F150" s="9" t="s">
        <v>566</v>
      </c>
      <c r="G150" s="9" t="s">
        <v>567</v>
      </c>
      <c r="H150" s="12" t="s">
        <v>568</v>
      </c>
      <c r="I150" s="10">
        <v>45547</v>
      </c>
    </row>
    <row r="151" spans="1:9" x14ac:dyDescent="0.15">
      <c r="A151" s="9">
        <v>150</v>
      </c>
      <c r="B151" s="9" t="s">
        <v>9</v>
      </c>
      <c r="C151" s="9">
        <v>1920</v>
      </c>
      <c r="D151" s="10">
        <v>45677</v>
      </c>
      <c r="E151" s="13" t="str">
        <f>+HYPERLINK("http://trademark.i-assist.jp/data/china/image_1920th/80893861.pdf","80893861")</f>
        <v>80893861</v>
      </c>
      <c r="F151" s="9" t="s">
        <v>569</v>
      </c>
      <c r="G151" s="9" t="s">
        <v>570</v>
      </c>
      <c r="H151" s="9" t="s">
        <v>571</v>
      </c>
      <c r="I151" s="10">
        <v>45547</v>
      </c>
    </row>
    <row r="152" spans="1:9" x14ac:dyDescent="0.15">
      <c r="A152" s="9">
        <v>151</v>
      </c>
      <c r="B152" s="9" t="s">
        <v>9</v>
      </c>
      <c r="C152" s="9">
        <v>1920</v>
      </c>
      <c r="D152" s="10">
        <v>45677</v>
      </c>
      <c r="E152" s="13" t="str">
        <f>+HYPERLINK("http://trademark.i-assist.jp/data/china/image_1920th/80901031.pdf","80901031")</f>
        <v>80901031</v>
      </c>
      <c r="F152" s="9" t="s">
        <v>572</v>
      </c>
      <c r="G152" s="9" t="s">
        <v>573</v>
      </c>
      <c r="H152" s="9" t="s">
        <v>574</v>
      </c>
      <c r="I152" s="10">
        <v>45548</v>
      </c>
    </row>
    <row r="153" spans="1:9" x14ac:dyDescent="0.15">
      <c r="A153" s="9">
        <v>152</v>
      </c>
      <c r="B153" s="9" t="s">
        <v>9</v>
      </c>
      <c r="C153" s="9">
        <v>1920</v>
      </c>
      <c r="D153" s="10">
        <v>45677</v>
      </c>
      <c r="E153" s="13" t="str">
        <f>+HYPERLINK("http://trademark.i-assist.jp/data/china/image_1920th/80911893.pdf","80911893")</f>
        <v>80911893</v>
      </c>
      <c r="F153" s="9" t="s">
        <v>575</v>
      </c>
      <c r="G153" s="9" t="s">
        <v>576</v>
      </c>
      <c r="H153" s="9" t="s">
        <v>577</v>
      </c>
      <c r="I153" s="10">
        <v>45548</v>
      </c>
    </row>
    <row r="154" spans="1:9" x14ac:dyDescent="0.15">
      <c r="A154" s="9">
        <v>153</v>
      </c>
      <c r="B154" s="9" t="s">
        <v>9</v>
      </c>
      <c r="C154" s="9">
        <v>1920</v>
      </c>
      <c r="D154" s="10">
        <v>45677</v>
      </c>
      <c r="E154" s="13" t="str">
        <f>+HYPERLINK("http://trademark.i-assist.jp/data/china/image_1920th/80917797.pdf","80917797")</f>
        <v>80917797</v>
      </c>
      <c r="F154" s="9" t="s">
        <v>578</v>
      </c>
      <c r="G154" s="9" t="s">
        <v>579</v>
      </c>
      <c r="H154" s="12" t="s">
        <v>580</v>
      </c>
      <c r="I154" s="10">
        <v>45548</v>
      </c>
    </row>
    <row r="155" spans="1:9" x14ac:dyDescent="0.15">
      <c r="A155" s="9">
        <v>154</v>
      </c>
      <c r="B155" s="9" t="s">
        <v>9</v>
      </c>
      <c r="C155" s="9">
        <v>1920</v>
      </c>
      <c r="D155" s="10">
        <v>45677</v>
      </c>
      <c r="E155" s="13" t="str">
        <f>+HYPERLINK("http://trademark.i-assist.jp/data/china/image_1920th/80920090.pdf","80920090")</f>
        <v>80920090</v>
      </c>
      <c r="F155" s="9" t="s">
        <v>581</v>
      </c>
      <c r="G155" s="9" t="s">
        <v>582</v>
      </c>
      <c r="H155" s="9" t="s">
        <v>583</v>
      </c>
      <c r="I155" s="10">
        <v>45548</v>
      </c>
    </row>
    <row r="156" spans="1:9" x14ac:dyDescent="0.15">
      <c r="A156" s="9">
        <v>155</v>
      </c>
      <c r="B156" s="9" t="s">
        <v>9</v>
      </c>
      <c r="C156" s="9">
        <v>1920</v>
      </c>
      <c r="D156" s="10">
        <v>45677</v>
      </c>
      <c r="E156" s="13" t="str">
        <f>+HYPERLINK("http://trademark.i-assist.jp/data/china/image_1920th/80924831.pdf","80924831")</f>
        <v>80924831</v>
      </c>
      <c r="F156" s="12" t="s">
        <v>584</v>
      </c>
      <c r="G156" s="9" t="s">
        <v>585</v>
      </c>
      <c r="H156" s="9" t="s">
        <v>586</v>
      </c>
      <c r="I156" s="10">
        <v>45547</v>
      </c>
    </row>
    <row r="157" spans="1:9" x14ac:dyDescent="0.15">
      <c r="A157" s="9">
        <v>156</v>
      </c>
      <c r="B157" s="9" t="s">
        <v>9</v>
      </c>
      <c r="C157" s="9">
        <v>1920</v>
      </c>
      <c r="D157" s="10">
        <v>45677</v>
      </c>
      <c r="E157" s="13" t="str">
        <f>+HYPERLINK("http://trademark.i-assist.jp/data/china/image_1920th/80928620.pdf","80928620")</f>
        <v>80928620</v>
      </c>
      <c r="F157" s="9" t="s">
        <v>587</v>
      </c>
      <c r="G157" s="12" t="s">
        <v>588</v>
      </c>
      <c r="H157" s="9" t="s">
        <v>589</v>
      </c>
      <c r="I157" s="10">
        <v>45549</v>
      </c>
    </row>
    <row r="158" spans="1:9" x14ac:dyDescent="0.15">
      <c r="A158" s="9">
        <v>157</v>
      </c>
      <c r="B158" s="9" t="s">
        <v>9</v>
      </c>
      <c r="C158" s="9">
        <v>1920</v>
      </c>
      <c r="D158" s="10">
        <v>45677</v>
      </c>
      <c r="E158" s="13" t="str">
        <f>+HYPERLINK("http://trademark.i-assist.jp/data/china/image_1920th/80929830.pdf","80929830")</f>
        <v>80929830</v>
      </c>
      <c r="F158" s="12" t="s">
        <v>590</v>
      </c>
      <c r="G158" s="9" t="s">
        <v>591</v>
      </c>
      <c r="H158" s="9" t="s">
        <v>592</v>
      </c>
      <c r="I158" s="10">
        <v>45549</v>
      </c>
    </row>
    <row r="159" spans="1:9" x14ac:dyDescent="0.15">
      <c r="A159" s="9">
        <v>158</v>
      </c>
      <c r="B159" s="9" t="s">
        <v>9</v>
      </c>
      <c r="C159" s="9">
        <v>1920</v>
      </c>
      <c r="D159" s="10">
        <v>45677</v>
      </c>
      <c r="E159" s="13" t="str">
        <f>+HYPERLINK("http://trademark.i-assist.jp/data/china/image_1920th/80935566.pdf","80935566")</f>
        <v>80935566</v>
      </c>
      <c r="F159" s="9" t="s">
        <v>593</v>
      </c>
      <c r="G159" s="9" t="s">
        <v>561</v>
      </c>
      <c r="H159" s="9" t="s">
        <v>594</v>
      </c>
      <c r="I159" s="10">
        <v>45549</v>
      </c>
    </row>
    <row r="160" spans="1:9" x14ac:dyDescent="0.15">
      <c r="A160" s="9">
        <v>159</v>
      </c>
      <c r="B160" s="9" t="s">
        <v>9</v>
      </c>
      <c r="C160" s="9">
        <v>1920</v>
      </c>
      <c r="D160" s="10">
        <v>45677</v>
      </c>
      <c r="E160" s="13" t="str">
        <f>+HYPERLINK("http://trademark.i-assist.jp/data/china/image_1920th/80941492.pdf","80941492")</f>
        <v>80941492</v>
      </c>
      <c r="F160" s="12" t="s">
        <v>595</v>
      </c>
      <c r="G160" s="9" t="s">
        <v>596</v>
      </c>
      <c r="H160" s="9" t="s">
        <v>597</v>
      </c>
      <c r="I160" s="10">
        <v>45549</v>
      </c>
    </row>
    <row r="161" spans="1:9" x14ac:dyDescent="0.15">
      <c r="A161" s="9">
        <v>160</v>
      </c>
      <c r="B161" s="9" t="s">
        <v>9</v>
      </c>
      <c r="C161" s="9">
        <v>1920</v>
      </c>
      <c r="D161" s="10">
        <v>45677</v>
      </c>
      <c r="E161" s="13" t="str">
        <f>+HYPERLINK("http://trademark.i-assist.jp/data/china/image_1920th/80948717.pdf","80948717")</f>
        <v>80948717</v>
      </c>
      <c r="F161" s="9" t="s">
        <v>598</v>
      </c>
      <c r="G161" s="12" t="s">
        <v>599</v>
      </c>
      <c r="H161" s="12" t="s">
        <v>600</v>
      </c>
      <c r="I161" s="10">
        <v>45549</v>
      </c>
    </row>
    <row r="162" spans="1:9" x14ac:dyDescent="0.15">
      <c r="A162" s="9">
        <v>161</v>
      </c>
      <c r="B162" s="9" t="s">
        <v>9</v>
      </c>
      <c r="C162" s="9">
        <v>1920</v>
      </c>
      <c r="D162" s="10">
        <v>45677</v>
      </c>
      <c r="E162" s="13" t="str">
        <f>+HYPERLINK("http://trademark.i-assist.jp/data/china/image_1920th/80956404.pdf","80956404")</f>
        <v>80956404</v>
      </c>
      <c r="F162" s="9" t="s">
        <v>601</v>
      </c>
      <c r="G162" s="9" t="s">
        <v>602</v>
      </c>
      <c r="H162" s="9" t="s">
        <v>603</v>
      </c>
      <c r="I162" s="10">
        <v>45551</v>
      </c>
    </row>
    <row r="163" spans="1:9" x14ac:dyDescent="0.15">
      <c r="A163" s="9">
        <v>162</v>
      </c>
      <c r="B163" s="9" t="s">
        <v>9</v>
      </c>
      <c r="C163" s="9">
        <v>1920</v>
      </c>
      <c r="D163" s="10">
        <v>45677</v>
      </c>
      <c r="E163" s="13" t="str">
        <f>+HYPERLINK("http://trademark.i-assist.jp/data/china/image_1920th/80959478.pdf","80959478")</f>
        <v>80959478</v>
      </c>
      <c r="F163" s="12" t="s">
        <v>604</v>
      </c>
      <c r="G163" s="12" t="s">
        <v>605</v>
      </c>
      <c r="H163" s="9" t="s">
        <v>606</v>
      </c>
      <c r="I163" s="10">
        <v>45553</v>
      </c>
    </row>
    <row r="164" spans="1:9" x14ac:dyDescent="0.15">
      <c r="A164" s="9">
        <v>163</v>
      </c>
      <c r="B164" s="9" t="s">
        <v>9</v>
      </c>
      <c r="C164" s="9">
        <v>1920</v>
      </c>
      <c r="D164" s="10">
        <v>45677</v>
      </c>
      <c r="E164" s="13" t="str">
        <f>+HYPERLINK("http://trademark.i-assist.jp/data/china/image_1920th/80962284.pdf","80962284")</f>
        <v>80962284</v>
      </c>
      <c r="F164" s="9" t="s">
        <v>607</v>
      </c>
      <c r="G164" s="9" t="s">
        <v>608</v>
      </c>
      <c r="H164" s="12" t="s">
        <v>609</v>
      </c>
      <c r="I164" s="10">
        <v>45553</v>
      </c>
    </row>
    <row r="165" spans="1:9" x14ac:dyDescent="0.15">
      <c r="A165" s="9">
        <v>164</v>
      </c>
      <c r="B165" s="9" t="s">
        <v>9</v>
      </c>
      <c r="C165" s="9">
        <v>1920</v>
      </c>
      <c r="D165" s="10">
        <v>45677</v>
      </c>
      <c r="E165" s="13" t="str">
        <f>+HYPERLINK("http://trademark.i-assist.jp/data/china/image_1920th/80963864.pdf","80963864")</f>
        <v>80963864</v>
      </c>
      <c r="F165" s="9" t="s">
        <v>610</v>
      </c>
      <c r="G165" s="12" t="s">
        <v>611</v>
      </c>
      <c r="H165" s="9" t="s">
        <v>612</v>
      </c>
      <c r="I165" s="10">
        <v>45553</v>
      </c>
    </row>
    <row r="166" spans="1:9" x14ac:dyDescent="0.15">
      <c r="A166" s="9">
        <v>165</v>
      </c>
      <c r="B166" s="9" t="s">
        <v>9</v>
      </c>
      <c r="C166" s="9">
        <v>1920</v>
      </c>
      <c r="D166" s="10">
        <v>45677</v>
      </c>
      <c r="E166" s="13" t="str">
        <f>+HYPERLINK("http://trademark.i-assist.jp/data/china/image_1920th/80967007.pdf","80967007")</f>
        <v>80967007</v>
      </c>
      <c r="F166" s="9" t="s">
        <v>613</v>
      </c>
      <c r="G166" s="9" t="s">
        <v>614</v>
      </c>
      <c r="H166" s="9" t="s">
        <v>615</v>
      </c>
      <c r="I166" s="10">
        <v>45553</v>
      </c>
    </row>
    <row r="167" spans="1:9" x14ac:dyDescent="0.15">
      <c r="A167" s="9">
        <v>166</v>
      </c>
      <c r="B167" s="9" t="s">
        <v>9</v>
      </c>
      <c r="C167" s="9">
        <v>1920</v>
      </c>
      <c r="D167" s="10">
        <v>45677</v>
      </c>
      <c r="E167" s="13" t="str">
        <f>+HYPERLINK("http://trademark.i-assist.jp/data/china/image_1920th/80969529.pdf","80969529")</f>
        <v>80969529</v>
      </c>
      <c r="F167" s="12" t="s">
        <v>616</v>
      </c>
      <c r="G167" s="9" t="s">
        <v>608</v>
      </c>
      <c r="H167" s="12" t="s">
        <v>617</v>
      </c>
      <c r="I167" s="10">
        <v>45553</v>
      </c>
    </row>
    <row r="168" spans="1:9" x14ac:dyDescent="0.15">
      <c r="A168" s="9">
        <v>167</v>
      </c>
      <c r="B168" s="9" t="s">
        <v>9</v>
      </c>
      <c r="C168" s="9">
        <v>1920</v>
      </c>
      <c r="D168" s="10">
        <v>45677</v>
      </c>
      <c r="E168" s="13" t="str">
        <f>+HYPERLINK("http://trademark.i-assist.jp/data/china/image_1920th/80973428.pdf","80973428")</f>
        <v>80973428</v>
      </c>
      <c r="F168" s="9" t="s">
        <v>618</v>
      </c>
      <c r="G168" s="9" t="s">
        <v>619</v>
      </c>
      <c r="H168" s="9" t="s">
        <v>620</v>
      </c>
      <c r="I168" s="10">
        <v>45553</v>
      </c>
    </row>
    <row r="169" spans="1:9" x14ac:dyDescent="0.15">
      <c r="A169" s="9">
        <v>168</v>
      </c>
      <c r="B169" s="9" t="s">
        <v>9</v>
      </c>
      <c r="C169" s="9">
        <v>1920</v>
      </c>
      <c r="D169" s="10">
        <v>45677</v>
      </c>
      <c r="E169" s="13" t="str">
        <f>+HYPERLINK("http://trademark.i-assist.jp/data/china/image_1920th/80973700.pdf","80973700")</f>
        <v>80973700</v>
      </c>
      <c r="F169" s="9" t="s">
        <v>621</v>
      </c>
      <c r="G169" s="9" t="s">
        <v>622</v>
      </c>
      <c r="H169" s="12" t="s">
        <v>623</v>
      </c>
      <c r="I169" s="10">
        <v>45553</v>
      </c>
    </row>
    <row r="170" spans="1:9" x14ac:dyDescent="0.15">
      <c r="A170" s="9">
        <v>169</v>
      </c>
      <c r="B170" s="9" t="s">
        <v>9</v>
      </c>
      <c r="C170" s="9">
        <v>1920</v>
      </c>
      <c r="D170" s="10">
        <v>45677</v>
      </c>
      <c r="E170" s="13" t="str">
        <f>+HYPERLINK("http://trademark.i-assist.jp/data/china/image_1920th/80974955.pdf","80974955")</f>
        <v>80974955</v>
      </c>
      <c r="F170" s="9" t="s">
        <v>624</v>
      </c>
      <c r="G170" s="9" t="s">
        <v>625</v>
      </c>
      <c r="H170" s="9" t="s">
        <v>626</v>
      </c>
      <c r="I170" s="10">
        <v>45553</v>
      </c>
    </row>
    <row r="171" spans="1:9" x14ac:dyDescent="0.15">
      <c r="A171" s="9">
        <v>170</v>
      </c>
      <c r="B171" s="9" t="s">
        <v>9</v>
      </c>
      <c r="C171" s="9">
        <v>1920</v>
      </c>
      <c r="D171" s="10">
        <v>45677</v>
      </c>
      <c r="E171" s="13" t="str">
        <f>+HYPERLINK("http://trademark.i-assist.jp/data/china/image_1920th/80976607.pdf","80976607")</f>
        <v>80976607</v>
      </c>
      <c r="F171" s="9" t="s">
        <v>627</v>
      </c>
      <c r="G171" s="9" t="s">
        <v>628</v>
      </c>
      <c r="H171" s="9" t="s">
        <v>629</v>
      </c>
      <c r="I171" s="10">
        <v>45553</v>
      </c>
    </row>
    <row r="172" spans="1:9" x14ac:dyDescent="0.15">
      <c r="A172" s="9">
        <v>171</v>
      </c>
      <c r="B172" s="9" t="s">
        <v>9</v>
      </c>
      <c r="C172" s="9">
        <v>1920</v>
      </c>
      <c r="D172" s="10">
        <v>45677</v>
      </c>
      <c r="E172" s="13" t="str">
        <f>+HYPERLINK("http://trademark.i-assist.jp/data/china/image_1920th/80978451.pdf","80978451")</f>
        <v>80978451</v>
      </c>
      <c r="F172" s="9" t="s">
        <v>630</v>
      </c>
      <c r="G172" s="9" t="s">
        <v>631</v>
      </c>
      <c r="H172" s="9" t="s">
        <v>632</v>
      </c>
      <c r="I172" s="10">
        <v>45553</v>
      </c>
    </row>
    <row r="173" spans="1:9" x14ac:dyDescent="0.15">
      <c r="A173" s="9">
        <v>172</v>
      </c>
      <c r="B173" s="9" t="s">
        <v>9</v>
      </c>
      <c r="C173" s="9">
        <v>1920</v>
      </c>
      <c r="D173" s="10">
        <v>45677</v>
      </c>
      <c r="E173" s="13" t="str">
        <f>+HYPERLINK("http://trademark.i-assist.jp/data/china/image_1920th/80978870.pdf","80978870")</f>
        <v>80978870</v>
      </c>
      <c r="F173" s="12" t="s">
        <v>12</v>
      </c>
      <c r="G173" s="9" t="s">
        <v>633</v>
      </c>
      <c r="H173" s="12" t="s">
        <v>634</v>
      </c>
      <c r="I173" s="10">
        <v>45553</v>
      </c>
    </row>
    <row r="174" spans="1:9" x14ac:dyDescent="0.15">
      <c r="A174" s="9">
        <v>173</v>
      </c>
      <c r="B174" s="9" t="s">
        <v>9</v>
      </c>
      <c r="C174" s="9">
        <v>1920</v>
      </c>
      <c r="D174" s="10">
        <v>45677</v>
      </c>
      <c r="E174" s="13" t="str">
        <f>+HYPERLINK("http://trademark.i-assist.jp/data/china/image_1920th/80982305.pdf","80982305")</f>
        <v>80982305</v>
      </c>
      <c r="F174" s="9" t="s">
        <v>635</v>
      </c>
      <c r="G174" s="9" t="s">
        <v>636</v>
      </c>
      <c r="H174" s="9" t="s">
        <v>637</v>
      </c>
      <c r="I174" s="10">
        <v>45554</v>
      </c>
    </row>
    <row r="175" spans="1:9" x14ac:dyDescent="0.15">
      <c r="A175" s="9">
        <v>174</v>
      </c>
      <c r="B175" s="9" t="s">
        <v>9</v>
      </c>
      <c r="C175" s="9">
        <v>1920</v>
      </c>
      <c r="D175" s="10">
        <v>45677</v>
      </c>
      <c r="E175" s="13" t="str">
        <f>+HYPERLINK("http://trademark.i-assist.jp/data/china/image_1920th/80985943.pdf","80985943")</f>
        <v>80985943</v>
      </c>
      <c r="F175" s="9" t="s">
        <v>638</v>
      </c>
      <c r="G175" s="9" t="s">
        <v>639</v>
      </c>
      <c r="H175" s="9" t="s">
        <v>640</v>
      </c>
      <c r="I175" s="10">
        <v>45554</v>
      </c>
    </row>
    <row r="176" spans="1:9" x14ac:dyDescent="0.15">
      <c r="A176" s="9">
        <v>175</v>
      </c>
      <c r="B176" s="9" t="s">
        <v>9</v>
      </c>
      <c r="C176" s="9">
        <v>1920</v>
      </c>
      <c r="D176" s="10">
        <v>45677</v>
      </c>
      <c r="E176" s="13" t="str">
        <f>+HYPERLINK("http://trademark.i-assist.jp/data/china/image_1920th/81009178.pdf","81009178")</f>
        <v>81009178</v>
      </c>
      <c r="F176" s="12" t="s">
        <v>641</v>
      </c>
      <c r="G176" s="9" t="s">
        <v>642</v>
      </c>
      <c r="H176" s="9" t="s">
        <v>643</v>
      </c>
      <c r="I176" s="10">
        <v>45555</v>
      </c>
    </row>
    <row r="177" spans="1:9" x14ac:dyDescent="0.15">
      <c r="A177" s="9">
        <v>176</v>
      </c>
      <c r="B177" s="9" t="s">
        <v>9</v>
      </c>
      <c r="C177" s="9">
        <v>1920</v>
      </c>
      <c r="D177" s="10">
        <v>45677</v>
      </c>
      <c r="E177" s="13" t="str">
        <f>+HYPERLINK("http://trademark.i-assist.jp/data/china/image_1920th/81009855.pdf","81009855")</f>
        <v>81009855</v>
      </c>
      <c r="F177" s="9" t="s">
        <v>644</v>
      </c>
      <c r="G177" s="9" t="s">
        <v>645</v>
      </c>
      <c r="H177" s="9" t="s">
        <v>646</v>
      </c>
      <c r="I177" s="10">
        <v>45555</v>
      </c>
    </row>
    <row r="178" spans="1:9" x14ac:dyDescent="0.15">
      <c r="A178" s="9">
        <v>177</v>
      </c>
      <c r="B178" s="9" t="s">
        <v>9</v>
      </c>
      <c r="C178" s="9">
        <v>1920</v>
      </c>
      <c r="D178" s="10">
        <v>45677</v>
      </c>
      <c r="E178" s="13" t="str">
        <f>+HYPERLINK("http://trademark.i-assist.jp/data/china/image_1920th/81019533.pdf","81019533")</f>
        <v>81019533</v>
      </c>
      <c r="F178" s="12" t="s">
        <v>647</v>
      </c>
      <c r="G178" s="12" t="s">
        <v>648</v>
      </c>
      <c r="H178" s="9" t="s">
        <v>649</v>
      </c>
      <c r="I178" s="10">
        <v>45555</v>
      </c>
    </row>
    <row r="179" spans="1:9" x14ac:dyDescent="0.15">
      <c r="A179" s="9">
        <v>178</v>
      </c>
      <c r="B179" s="9" t="s">
        <v>9</v>
      </c>
      <c r="C179" s="9">
        <v>1920</v>
      </c>
      <c r="D179" s="10">
        <v>45677</v>
      </c>
      <c r="E179" s="13" t="str">
        <f>+HYPERLINK("http://trademark.i-assist.jp/data/china/image_1920th/81024097.pdf","81024097")</f>
        <v>81024097</v>
      </c>
      <c r="F179" s="9" t="s">
        <v>650</v>
      </c>
      <c r="G179" s="9" t="s">
        <v>651</v>
      </c>
      <c r="H179" s="9" t="s">
        <v>652</v>
      </c>
      <c r="I179" s="10">
        <v>45555</v>
      </c>
    </row>
    <row r="180" spans="1:9" x14ac:dyDescent="0.15">
      <c r="A180" s="9">
        <v>179</v>
      </c>
      <c r="B180" s="9" t="s">
        <v>9</v>
      </c>
      <c r="C180" s="9">
        <v>1920</v>
      </c>
      <c r="D180" s="10">
        <v>45677</v>
      </c>
      <c r="E180" s="13" t="str">
        <f>+HYPERLINK("http://trademark.i-assist.jp/data/china/image_1920th/81026291.pdf","81026291")</f>
        <v>81026291</v>
      </c>
      <c r="F180" s="9" t="s">
        <v>653</v>
      </c>
      <c r="G180" s="9" t="s">
        <v>654</v>
      </c>
      <c r="H180" s="9" t="s">
        <v>655</v>
      </c>
      <c r="I180" s="10">
        <v>45555</v>
      </c>
    </row>
    <row r="181" spans="1:9" x14ac:dyDescent="0.15">
      <c r="A181" s="9">
        <v>180</v>
      </c>
      <c r="B181" s="9" t="s">
        <v>9</v>
      </c>
      <c r="C181" s="9">
        <v>1920</v>
      </c>
      <c r="D181" s="10">
        <v>45677</v>
      </c>
      <c r="E181" s="13" t="str">
        <f>+HYPERLINK("http://trademark.i-assist.jp/data/china/image_1920th/81027627.pdf","81027627")</f>
        <v>81027627</v>
      </c>
      <c r="F181" s="12" t="s">
        <v>656</v>
      </c>
      <c r="G181" s="9" t="s">
        <v>657</v>
      </c>
      <c r="H181" s="9" t="s">
        <v>658</v>
      </c>
      <c r="I181" s="10">
        <v>45555</v>
      </c>
    </row>
    <row r="182" spans="1:9" x14ac:dyDescent="0.15">
      <c r="A182" s="9">
        <v>181</v>
      </c>
      <c r="B182" s="9" t="s">
        <v>9</v>
      </c>
      <c r="C182" s="9">
        <v>1920</v>
      </c>
      <c r="D182" s="10">
        <v>45677</v>
      </c>
      <c r="E182" s="13" t="str">
        <f>+HYPERLINK("http://trademark.i-assist.jp/data/china/image_1920th/81038316.pdf","81038316")</f>
        <v>81038316</v>
      </c>
      <c r="F182" s="9" t="s">
        <v>659</v>
      </c>
      <c r="G182" s="9" t="s">
        <v>660</v>
      </c>
      <c r="H182" s="12" t="s">
        <v>661</v>
      </c>
      <c r="I182" s="10">
        <v>45556</v>
      </c>
    </row>
    <row r="183" spans="1:9" x14ac:dyDescent="0.15">
      <c r="A183" s="9">
        <v>182</v>
      </c>
      <c r="B183" s="9" t="s">
        <v>9</v>
      </c>
      <c r="C183" s="9">
        <v>1920</v>
      </c>
      <c r="D183" s="10">
        <v>45677</v>
      </c>
      <c r="E183" s="13" t="str">
        <f>+HYPERLINK("http://trademark.i-assist.jp/data/china/image_1920th/81045570.pdf","81045570")</f>
        <v>81045570</v>
      </c>
      <c r="F183" s="9" t="s">
        <v>662</v>
      </c>
      <c r="G183" s="9" t="s">
        <v>663</v>
      </c>
      <c r="H183" s="9" t="s">
        <v>664</v>
      </c>
      <c r="I183" s="10">
        <v>45558</v>
      </c>
    </row>
    <row r="184" spans="1:9" x14ac:dyDescent="0.15">
      <c r="A184" s="9">
        <v>183</v>
      </c>
      <c r="B184" s="9" t="s">
        <v>9</v>
      </c>
      <c r="C184" s="9">
        <v>1920</v>
      </c>
      <c r="D184" s="10">
        <v>45677</v>
      </c>
      <c r="E184" s="13" t="str">
        <f>+HYPERLINK("http://trademark.i-assist.jp/data/china/image_1920th/81046620.pdf","81046620")</f>
        <v>81046620</v>
      </c>
      <c r="F184" s="9" t="s">
        <v>665</v>
      </c>
      <c r="G184" s="9" t="s">
        <v>666</v>
      </c>
      <c r="H184" s="9" t="s">
        <v>667</v>
      </c>
      <c r="I184" s="10">
        <v>45558</v>
      </c>
    </row>
    <row r="185" spans="1:9" x14ac:dyDescent="0.15">
      <c r="A185" s="9">
        <v>184</v>
      </c>
      <c r="B185" s="9" t="s">
        <v>9</v>
      </c>
      <c r="C185" s="9">
        <v>1920</v>
      </c>
      <c r="D185" s="10">
        <v>45677</v>
      </c>
      <c r="E185" s="13" t="str">
        <f>+HYPERLINK("http://trademark.i-assist.jp/data/china/image_1920th/81050355.pdf","81050355")</f>
        <v>81050355</v>
      </c>
      <c r="F185" s="9" t="s">
        <v>662</v>
      </c>
      <c r="G185" s="9" t="s">
        <v>663</v>
      </c>
      <c r="H185" s="9" t="s">
        <v>668</v>
      </c>
      <c r="I185" s="10">
        <v>45558</v>
      </c>
    </row>
    <row r="186" spans="1:9" x14ac:dyDescent="0.15">
      <c r="A186" s="9">
        <v>185</v>
      </c>
      <c r="B186" s="9" t="s">
        <v>9</v>
      </c>
      <c r="C186" s="9">
        <v>1920</v>
      </c>
      <c r="D186" s="10">
        <v>45677</v>
      </c>
      <c r="E186" s="13" t="str">
        <f>+HYPERLINK("http://trademark.i-assist.jp/data/china/image_1920th/81057754.pdf","81057754")</f>
        <v>81057754</v>
      </c>
      <c r="F186" s="9" t="s">
        <v>669</v>
      </c>
      <c r="G186" s="12" t="s">
        <v>670</v>
      </c>
      <c r="H186" s="9" t="s">
        <v>671</v>
      </c>
      <c r="I186" s="10">
        <v>45558</v>
      </c>
    </row>
    <row r="187" spans="1:9" x14ac:dyDescent="0.15">
      <c r="A187" s="9">
        <v>186</v>
      </c>
      <c r="B187" s="9" t="s">
        <v>9</v>
      </c>
      <c r="C187" s="9">
        <v>1920</v>
      </c>
      <c r="D187" s="10">
        <v>45677</v>
      </c>
      <c r="E187" s="13" t="str">
        <f>+HYPERLINK("http://trademark.i-assist.jp/data/china/image_1920th/81058093.pdf","81058093")</f>
        <v>81058093</v>
      </c>
      <c r="F187" s="9" t="s">
        <v>672</v>
      </c>
      <c r="G187" s="9" t="s">
        <v>673</v>
      </c>
      <c r="H187" s="9" t="s">
        <v>674</v>
      </c>
      <c r="I187" s="10">
        <v>45558</v>
      </c>
    </row>
    <row r="188" spans="1:9" x14ac:dyDescent="0.15">
      <c r="A188" s="9">
        <v>187</v>
      </c>
      <c r="B188" s="9" t="s">
        <v>9</v>
      </c>
      <c r="C188" s="9">
        <v>1920</v>
      </c>
      <c r="D188" s="10">
        <v>45677</v>
      </c>
      <c r="E188" s="13" t="str">
        <f>+HYPERLINK("http://trademark.i-assist.jp/data/china/image_1920th/81060042.pdf","81060042")</f>
        <v>81060042</v>
      </c>
      <c r="F188" s="9" t="s">
        <v>662</v>
      </c>
      <c r="G188" s="9" t="s">
        <v>663</v>
      </c>
      <c r="H188" s="9" t="s">
        <v>675</v>
      </c>
      <c r="I188" s="10">
        <v>45558</v>
      </c>
    </row>
    <row r="189" spans="1:9" x14ac:dyDescent="0.15">
      <c r="A189" s="9">
        <v>188</v>
      </c>
      <c r="B189" s="9" t="s">
        <v>9</v>
      </c>
      <c r="C189" s="9">
        <v>1920</v>
      </c>
      <c r="D189" s="10">
        <v>45677</v>
      </c>
      <c r="E189" s="13" t="str">
        <f>+HYPERLINK("http://trademark.i-assist.jp/data/china/image_1920th/81063764.pdf","81063764")</f>
        <v>81063764</v>
      </c>
      <c r="F189" s="9" t="s">
        <v>676</v>
      </c>
      <c r="G189" s="12" t="s">
        <v>677</v>
      </c>
      <c r="H189" s="9" t="s">
        <v>678</v>
      </c>
      <c r="I189" s="10">
        <v>45558</v>
      </c>
    </row>
    <row r="190" spans="1:9" x14ac:dyDescent="0.15">
      <c r="A190" s="9">
        <v>189</v>
      </c>
      <c r="B190" s="9" t="s">
        <v>9</v>
      </c>
      <c r="C190" s="9">
        <v>1920</v>
      </c>
      <c r="D190" s="10">
        <v>45677</v>
      </c>
      <c r="E190" s="13" t="str">
        <f>+HYPERLINK("http://trademark.i-assist.jp/data/china/image_1920th/81064506.pdf","81064506")</f>
        <v>81064506</v>
      </c>
      <c r="F190" s="9" t="s">
        <v>662</v>
      </c>
      <c r="G190" s="9" t="s">
        <v>663</v>
      </c>
      <c r="H190" s="9" t="s">
        <v>679</v>
      </c>
      <c r="I190" s="10">
        <v>45558</v>
      </c>
    </row>
    <row r="191" spans="1:9" x14ac:dyDescent="0.15">
      <c r="A191" s="9">
        <v>190</v>
      </c>
      <c r="B191" s="9" t="s">
        <v>9</v>
      </c>
      <c r="C191" s="9">
        <v>1920</v>
      </c>
      <c r="D191" s="10">
        <v>45677</v>
      </c>
      <c r="E191" s="13" t="str">
        <f>+HYPERLINK("http://trademark.i-assist.jp/data/china/image_1920th/81065277.pdf","81065277")</f>
        <v>81065277</v>
      </c>
      <c r="F191" s="9" t="s">
        <v>680</v>
      </c>
      <c r="G191" s="9" t="s">
        <v>681</v>
      </c>
      <c r="H191" s="9" t="s">
        <v>682</v>
      </c>
      <c r="I191" s="10">
        <v>45558</v>
      </c>
    </row>
    <row r="192" spans="1:9" x14ac:dyDescent="0.15">
      <c r="A192" s="9">
        <v>191</v>
      </c>
      <c r="B192" s="9" t="s">
        <v>9</v>
      </c>
      <c r="C192" s="9">
        <v>1920</v>
      </c>
      <c r="D192" s="10">
        <v>45677</v>
      </c>
      <c r="E192" s="13" t="str">
        <f>+HYPERLINK("http://trademark.i-assist.jp/data/china/image_1920th/81066625.pdf","81066625")</f>
        <v>81066625</v>
      </c>
      <c r="F192" s="9" t="s">
        <v>683</v>
      </c>
      <c r="G192" s="9" t="s">
        <v>684</v>
      </c>
      <c r="H192" s="9" t="s">
        <v>685</v>
      </c>
      <c r="I192" s="10">
        <v>45558</v>
      </c>
    </row>
    <row r="193" spans="1:9" x14ac:dyDescent="0.15">
      <c r="A193" s="9">
        <v>192</v>
      </c>
      <c r="B193" s="9" t="s">
        <v>9</v>
      </c>
      <c r="C193" s="9">
        <v>1920</v>
      </c>
      <c r="D193" s="10">
        <v>45677</v>
      </c>
      <c r="E193" s="13" t="str">
        <f>+HYPERLINK("http://trademark.i-assist.jp/data/china/image_1920th/81067603.pdf","81067603")</f>
        <v>81067603</v>
      </c>
      <c r="F193" s="9" t="s">
        <v>686</v>
      </c>
      <c r="G193" s="9" t="s">
        <v>687</v>
      </c>
      <c r="H193" s="12" t="s">
        <v>688</v>
      </c>
      <c r="I193" s="10">
        <v>45558</v>
      </c>
    </row>
    <row r="194" spans="1:9" x14ac:dyDescent="0.15">
      <c r="A194" s="9">
        <v>193</v>
      </c>
      <c r="B194" s="9" t="s">
        <v>9</v>
      </c>
      <c r="C194" s="9">
        <v>1920</v>
      </c>
      <c r="D194" s="10">
        <v>45677</v>
      </c>
      <c r="E194" s="13" t="str">
        <f>+HYPERLINK("http://trademark.i-assist.jp/data/china/image_1920th/81072623.pdf","81072623")</f>
        <v>81072623</v>
      </c>
      <c r="F194" s="9" t="s">
        <v>689</v>
      </c>
      <c r="G194" s="9" t="s">
        <v>690</v>
      </c>
      <c r="H194" s="9" t="s">
        <v>691</v>
      </c>
      <c r="I194" s="10">
        <v>45559</v>
      </c>
    </row>
    <row r="195" spans="1:9" x14ac:dyDescent="0.15">
      <c r="A195" s="9">
        <v>194</v>
      </c>
      <c r="B195" s="9" t="s">
        <v>9</v>
      </c>
      <c r="C195" s="9">
        <v>1920</v>
      </c>
      <c r="D195" s="10">
        <v>45677</v>
      </c>
      <c r="E195" s="13" t="str">
        <f>+HYPERLINK("http://trademark.i-assist.jp/data/china/image_1920th/81086272.pdf","81086272")</f>
        <v>81086272</v>
      </c>
      <c r="F195" s="9" t="s">
        <v>692</v>
      </c>
      <c r="G195" s="12" t="s">
        <v>693</v>
      </c>
      <c r="H195" s="9" t="s">
        <v>694</v>
      </c>
      <c r="I195" s="10">
        <v>45559</v>
      </c>
    </row>
    <row r="196" spans="1:9" x14ac:dyDescent="0.15">
      <c r="A196" s="9">
        <v>195</v>
      </c>
      <c r="B196" s="9" t="s">
        <v>9</v>
      </c>
      <c r="C196" s="9">
        <v>1920</v>
      </c>
      <c r="D196" s="10">
        <v>45677</v>
      </c>
      <c r="E196" s="13" t="str">
        <f>+HYPERLINK("http://trademark.i-assist.jp/data/china/image_1920th/81089130.pdf","81089130")</f>
        <v>81089130</v>
      </c>
      <c r="F196" s="9" t="s">
        <v>695</v>
      </c>
      <c r="G196" s="9" t="s">
        <v>696</v>
      </c>
      <c r="H196" s="9" t="s">
        <v>697</v>
      </c>
      <c r="I196" s="10">
        <v>45559</v>
      </c>
    </row>
    <row r="197" spans="1:9" x14ac:dyDescent="0.15">
      <c r="A197" s="9">
        <v>196</v>
      </c>
      <c r="B197" s="9" t="s">
        <v>9</v>
      </c>
      <c r="C197" s="9">
        <v>1920</v>
      </c>
      <c r="D197" s="10">
        <v>45677</v>
      </c>
      <c r="E197" s="13" t="str">
        <f>+HYPERLINK("http://trademark.i-assist.jp/data/china/image_1920th/81089532.pdf","81089532")</f>
        <v>81089532</v>
      </c>
      <c r="F197" s="9" t="s">
        <v>698</v>
      </c>
      <c r="G197" s="9" t="s">
        <v>699</v>
      </c>
      <c r="H197" s="9" t="s">
        <v>700</v>
      </c>
      <c r="I197" s="10">
        <v>45559</v>
      </c>
    </row>
    <row r="198" spans="1:9" x14ac:dyDescent="0.15">
      <c r="A198" s="9">
        <v>197</v>
      </c>
      <c r="B198" s="9" t="s">
        <v>9</v>
      </c>
      <c r="C198" s="9">
        <v>1920</v>
      </c>
      <c r="D198" s="10">
        <v>45677</v>
      </c>
      <c r="E198" s="13" t="str">
        <f>+HYPERLINK("http://trademark.i-assist.jp/data/china/image_1920th/81089908.pdf","81089908")</f>
        <v>81089908</v>
      </c>
      <c r="F198" s="12" t="s">
        <v>701</v>
      </c>
      <c r="G198" s="9" t="s">
        <v>702</v>
      </c>
      <c r="H198" s="9" t="s">
        <v>703</v>
      </c>
      <c r="I198" s="10">
        <v>45559</v>
      </c>
    </row>
    <row r="199" spans="1:9" x14ac:dyDescent="0.15">
      <c r="A199" s="9">
        <v>198</v>
      </c>
      <c r="B199" s="9" t="s">
        <v>9</v>
      </c>
      <c r="C199" s="9">
        <v>1920</v>
      </c>
      <c r="D199" s="10">
        <v>45677</v>
      </c>
      <c r="E199" s="13" t="str">
        <f>+HYPERLINK("http://trademark.i-assist.jp/data/china/image_1920th/81098373.pdf","81098373")</f>
        <v>81098373</v>
      </c>
      <c r="F199" s="9" t="s">
        <v>39</v>
      </c>
      <c r="G199" s="9" t="s">
        <v>40</v>
      </c>
      <c r="H199" s="9" t="s">
        <v>704</v>
      </c>
      <c r="I199" s="10">
        <v>45560</v>
      </c>
    </row>
    <row r="200" spans="1:9" x14ac:dyDescent="0.15">
      <c r="A200" s="9">
        <v>199</v>
      </c>
      <c r="B200" s="9" t="s">
        <v>9</v>
      </c>
      <c r="C200" s="9">
        <v>1920</v>
      </c>
      <c r="D200" s="10">
        <v>45677</v>
      </c>
      <c r="E200" s="13" t="str">
        <f>+HYPERLINK("http://trademark.i-assist.jp/data/china/image_1920th/81101329.pdf","81101329")</f>
        <v>81101329</v>
      </c>
      <c r="F200" s="9" t="s">
        <v>705</v>
      </c>
      <c r="G200" s="12" t="s">
        <v>706</v>
      </c>
      <c r="H200" s="9" t="s">
        <v>707</v>
      </c>
      <c r="I200" s="10">
        <v>45560</v>
      </c>
    </row>
    <row r="201" spans="1:9" x14ac:dyDescent="0.15">
      <c r="A201" s="9">
        <v>200</v>
      </c>
      <c r="B201" s="9" t="s">
        <v>9</v>
      </c>
      <c r="C201" s="9">
        <v>1920</v>
      </c>
      <c r="D201" s="10">
        <v>45677</v>
      </c>
      <c r="E201" s="13" t="str">
        <f>+HYPERLINK("http://trademark.i-assist.jp/data/china/image_1920th/81104092.pdf","81104092")</f>
        <v>81104092</v>
      </c>
      <c r="F201" s="9" t="s">
        <v>708</v>
      </c>
      <c r="G201" s="9" t="s">
        <v>20</v>
      </c>
      <c r="H201" s="12" t="s">
        <v>709</v>
      </c>
      <c r="I201" s="10">
        <v>45560</v>
      </c>
    </row>
    <row r="202" spans="1:9" x14ac:dyDescent="0.15">
      <c r="A202" s="9">
        <v>201</v>
      </c>
      <c r="B202" s="9" t="s">
        <v>9</v>
      </c>
      <c r="C202" s="9">
        <v>1920</v>
      </c>
      <c r="D202" s="10">
        <v>45677</v>
      </c>
      <c r="E202" s="13" t="str">
        <f>+HYPERLINK("http://trademark.i-assist.jp/data/china/image_1920th/81105172.pdf","81105172")</f>
        <v>81105172</v>
      </c>
      <c r="F202" s="9" t="s">
        <v>710</v>
      </c>
      <c r="G202" s="9" t="s">
        <v>711</v>
      </c>
      <c r="H202" s="9" t="s">
        <v>712</v>
      </c>
      <c r="I202" s="10">
        <v>45560</v>
      </c>
    </row>
    <row r="203" spans="1:9" x14ac:dyDescent="0.15">
      <c r="A203" s="9">
        <v>202</v>
      </c>
      <c r="B203" s="9" t="s">
        <v>9</v>
      </c>
      <c r="C203" s="9">
        <v>1920</v>
      </c>
      <c r="D203" s="10">
        <v>45677</v>
      </c>
      <c r="E203" s="13" t="str">
        <f>+HYPERLINK("http://trademark.i-assist.jp/data/china/image_1920th/81109153.pdf","81109153")</f>
        <v>81109153</v>
      </c>
      <c r="F203" s="12" t="s">
        <v>713</v>
      </c>
      <c r="G203" s="12" t="s">
        <v>714</v>
      </c>
      <c r="H203" s="9" t="s">
        <v>715</v>
      </c>
      <c r="I203" s="10">
        <v>45560</v>
      </c>
    </row>
    <row r="204" spans="1:9" x14ac:dyDescent="0.15">
      <c r="A204" s="9">
        <v>203</v>
      </c>
      <c r="B204" s="9" t="s">
        <v>9</v>
      </c>
      <c r="C204" s="9">
        <v>1920</v>
      </c>
      <c r="D204" s="10">
        <v>45677</v>
      </c>
      <c r="E204" s="13" t="str">
        <f>+HYPERLINK("http://trademark.i-assist.jp/data/china/image_1920th/81110120.pdf","81110120")</f>
        <v>81110120</v>
      </c>
      <c r="F204" s="9" t="s">
        <v>716</v>
      </c>
      <c r="G204" s="9" t="s">
        <v>717</v>
      </c>
      <c r="H204" s="9" t="s">
        <v>718</v>
      </c>
      <c r="I204" s="10">
        <v>45560</v>
      </c>
    </row>
    <row r="205" spans="1:9" x14ac:dyDescent="0.15">
      <c r="A205" s="9">
        <v>204</v>
      </c>
      <c r="B205" s="9" t="s">
        <v>9</v>
      </c>
      <c r="C205" s="9">
        <v>1920</v>
      </c>
      <c r="D205" s="10">
        <v>45677</v>
      </c>
      <c r="E205" s="13" t="str">
        <f>+HYPERLINK("http://trademark.i-assist.jp/data/china/image_1920th/81110262.pdf","81110262")</f>
        <v>81110262</v>
      </c>
      <c r="F205" s="12" t="s">
        <v>719</v>
      </c>
      <c r="G205" s="12" t="s">
        <v>720</v>
      </c>
      <c r="H205" s="9" t="s">
        <v>721</v>
      </c>
      <c r="I205" s="10">
        <v>45560</v>
      </c>
    </row>
    <row r="206" spans="1:9" x14ac:dyDescent="0.15">
      <c r="A206" s="9">
        <v>205</v>
      </c>
      <c r="B206" s="9" t="s">
        <v>9</v>
      </c>
      <c r="C206" s="9">
        <v>1920</v>
      </c>
      <c r="D206" s="10">
        <v>45677</v>
      </c>
      <c r="E206" s="13" t="str">
        <f>+HYPERLINK("http://trademark.i-assist.jp/data/china/image_1920th/81110774.pdf","81110774")</f>
        <v>81110774</v>
      </c>
      <c r="F206" s="9" t="s">
        <v>722</v>
      </c>
      <c r="G206" s="9" t="s">
        <v>40</v>
      </c>
      <c r="H206" s="9" t="s">
        <v>723</v>
      </c>
      <c r="I206" s="10">
        <v>45560</v>
      </c>
    </row>
    <row r="207" spans="1:9" x14ac:dyDescent="0.15">
      <c r="A207" s="9">
        <v>206</v>
      </c>
      <c r="B207" s="9" t="s">
        <v>9</v>
      </c>
      <c r="C207" s="9">
        <v>1920</v>
      </c>
      <c r="D207" s="10">
        <v>45677</v>
      </c>
      <c r="E207" s="13" t="str">
        <f>+HYPERLINK("http://trademark.i-assist.jp/data/china/image_1920th/81110791.pdf","81110791")</f>
        <v>81110791</v>
      </c>
      <c r="F207" s="9" t="s">
        <v>724</v>
      </c>
      <c r="G207" s="9" t="s">
        <v>725</v>
      </c>
      <c r="H207" s="9" t="s">
        <v>726</v>
      </c>
      <c r="I207" s="10">
        <v>45560</v>
      </c>
    </row>
    <row r="208" spans="1:9" x14ac:dyDescent="0.15">
      <c r="A208" s="9">
        <v>207</v>
      </c>
      <c r="B208" s="9" t="s">
        <v>9</v>
      </c>
      <c r="C208" s="9">
        <v>1920</v>
      </c>
      <c r="D208" s="10">
        <v>45677</v>
      </c>
      <c r="E208" s="13" t="str">
        <f>+HYPERLINK("http://trademark.i-assist.jp/data/china/image_1920th/81112163.pdf","81112163")</f>
        <v>81112163</v>
      </c>
      <c r="F208" s="9" t="s">
        <v>727</v>
      </c>
      <c r="G208" s="9" t="s">
        <v>728</v>
      </c>
      <c r="H208" s="9" t="s">
        <v>729</v>
      </c>
      <c r="I208" s="10">
        <v>45560</v>
      </c>
    </row>
    <row r="209" spans="1:9" x14ac:dyDescent="0.15">
      <c r="A209" s="9">
        <v>208</v>
      </c>
      <c r="B209" s="9" t="s">
        <v>9</v>
      </c>
      <c r="C209" s="9">
        <v>1920</v>
      </c>
      <c r="D209" s="10">
        <v>45677</v>
      </c>
      <c r="E209" s="13" t="str">
        <f>+HYPERLINK("http://trademark.i-assist.jp/data/china/image_1920th/81112917.pdf","81112917")</f>
        <v>81112917</v>
      </c>
      <c r="F209" s="12" t="s">
        <v>730</v>
      </c>
      <c r="G209" s="9" t="s">
        <v>731</v>
      </c>
      <c r="H209" s="9" t="s">
        <v>732</v>
      </c>
      <c r="I209" s="10">
        <v>45560</v>
      </c>
    </row>
    <row r="210" spans="1:9" x14ac:dyDescent="0.15">
      <c r="A210" s="9">
        <v>209</v>
      </c>
      <c r="B210" s="9" t="s">
        <v>9</v>
      </c>
      <c r="C210" s="9">
        <v>1920</v>
      </c>
      <c r="D210" s="10">
        <v>45677</v>
      </c>
      <c r="E210" s="13" t="str">
        <f>+HYPERLINK("http://trademark.i-assist.jp/data/china/image_1920th/81115398.pdf","81115398")</f>
        <v>81115398</v>
      </c>
      <c r="F210" s="9" t="s">
        <v>733</v>
      </c>
      <c r="G210" s="12" t="s">
        <v>60</v>
      </c>
      <c r="H210" s="9" t="s">
        <v>734</v>
      </c>
      <c r="I210" s="10">
        <v>45560</v>
      </c>
    </row>
    <row r="211" spans="1:9" x14ac:dyDescent="0.15">
      <c r="A211" s="9">
        <v>210</v>
      </c>
      <c r="B211" s="9" t="s">
        <v>9</v>
      </c>
      <c r="C211" s="9">
        <v>1920</v>
      </c>
      <c r="D211" s="10">
        <v>45677</v>
      </c>
      <c r="E211" s="13" t="str">
        <f>+HYPERLINK("http://trademark.i-assist.jp/data/china/image_1920th/81115587.pdf","81115587")</f>
        <v>81115587</v>
      </c>
      <c r="F211" s="9" t="s">
        <v>735</v>
      </c>
      <c r="G211" s="9" t="s">
        <v>736</v>
      </c>
      <c r="H211" s="9" t="s">
        <v>737</v>
      </c>
      <c r="I211" s="10">
        <v>45560</v>
      </c>
    </row>
    <row r="212" spans="1:9" x14ac:dyDescent="0.15">
      <c r="A212" s="9">
        <v>211</v>
      </c>
      <c r="B212" s="9" t="s">
        <v>9</v>
      </c>
      <c r="C212" s="9">
        <v>1920</v>
      </c>
      <c r="D212" s="10">
        <v>45677</v>
      </c>
      <c r="E212" s="13" t="str">
        <f>+HYPERLINK("http://trademark.i-assist.jp/data/china/image_1920th/81115874.pdf","81115874")</f>
        <v>81115874</v>
      </c>
      <c r="F212" s="9" t="s">
        <v>738</v>
      </c>
      <c r="G212" s="12" t="s">
        <v>88</v>
      </c>
      <c r="H212" s="12" t="s">
        <v>739</v>
      </c>
      <c r="I212" s="10">
        <v>45560</v>
      </c>
    </row>
    <row r="213" spans="1:9" x14ac:dyDescent="0.15">
      <c r="A213" s="9">
        <v>212</v>
      </c>
      <c r="B213" s="9" t="s">
        <v>9</v>
      </c>
      <c r="C213" s="9">
        <v>1920</v>
      </c>
      <c r="D213" s="10">
        <v>45677</v>
      </c>
      <c r="E213" s="13" t="str">
        <f>+HYPERLINK("http://trademark.i-assist.jp/data/china/image_1920th/81116319.pdf","81116319")</f>
        <v>81116319</v>
      </c>
      <c r="F213" s="9" t="s">
        <v>740</v>
      </c>
      <c r="G213" s="9" t="s">
        <v>40</v>
      </c>
      <c r="H213" s="9" t="s">
        <v>741</v>
      </c>
      <c r="I213" s="10">
        <v>45560</v>
      </c>
    </row>
    <row r="214" spans="1:9" x14ac:dyDescent="0.15">
      <c r="A214" s="9">
        <v>213</v>
      </c>
      <c r="B214" s="9" t="s">
        <v>9</v>
      </c>
      <c r="C214" s="9">
        <v>1920</v>
      </c>
      <c r="D214" s="10">
        <v>45677</v>
      </c>
      <c r="E214" s="13" t="str">
        <f>+HYPERLINK("http://trademark.i-assist.jp/data/china/image_1920th/81117103.pdf","81117103")</f>
        <v>81117103</v>
      </c>
      <c r="F214" s="12" t="s">
        <v>742</v>
      </c>
      <c r="G214" s="9" t="s">
        <v>743</v>
      </c>
      <c r="H214" s="9" t="s">
        <v>744</v>
      </c>
      <c r="I214" s="10">
        <v>45560</v>
      </c>
    </row>
    <row r="215" spans="1:9" x14ac:dyDescent="0.15">
      <c r="A215" s="9">
        <v>214</v>
      </c>
      <c r="B215" s="9" t="s">
        <v>9</v>
      </c>
      <c r="C215" s="9">
        <v>1920</v>
      </c>
      <c r="D215" s="10">
        <v>45677</v>
      </c>
      <c r="E215" s="13" t="str">
        <f>+HYPERLINK("http://trademark.i-assist.jp/data/china/image_1920th/81118584.pdf","81118584")</f>
        <v>81118584</v>
      </c>
      <c r="F215" s="9" t="s">
        <v>745</v>
      </c>
      <c r="G215" s="12" t="s">
        <v>16</v>
      </c>
      <c r="H215" s="9" t="s">
        <v>746</v>
      </c>
      <c r="I215" s="10">
        <v>45560</v>
      </c>
    </row>
    <row r="216" spans="1:9" x14ac:dyDescent="0.15">
      <c r="A216" s="9">
        <v>215</v>
      </c>
      <c r="B216" s="9" t="s">
        <v>9</v>
      </c>
      <c r="C216" s="9">
        <v>1920</v>
      </c>
      <c r="D216" s="10">
        <v>45677</v>
      </c>
      <c r="E216" s="13" t="str">
        <f>+HYPERLINK("http://trademark.i-assist.jp/data/china/image_1920th/81121881.pdf","81121881")</f>
        <v>81121881</v>
      </c>
      <c r="F216" s="12" t="s">
        <v>12</v>
      </c>
      <c r="G216" s="9" t="s">
        <v>747</v>
      </c>
      <c r="H216" s="9" t="s">
        <v>748</v>
      </c>
      <c r="I216" s="10">
        <v>45561</v>
      </c>
    </row>
    <row r="217" spans="1:9" x14ac:dyDescent="0.15">
      <c r="A217" s="9">
        <v>216</v>
      </c>
      <c r="B217" s="9" t="s">
        <v>9</v>
      </c>
      <c r="C217" s="9">
        <v>1920</v>
      </c>
      <c r="D217" s="10">
        <v>45677</v>
      </c>
      <c r="E217" s="13" t="str">
        <f>+HYPERLINK("http://trademark.i-assist.jp/data/china/image_1920th/81125685.pdf","81125685")</f>
        <v>81125685</v>
      </c>
      <c r="F217" s="12" t="s">
        <v>12</v>
      </c>
      <c r="G217" s="9" t="s">
        <v>749</v>
      </c>
      <c r="H217" s="9" t="s">
        <v>750</v>
      </c>
      <c r="I217" s="10">
        <v>45561</v>
      </c>
    </row>
    <row r="218" spans="1:9" x14ac:dyDescent="0.15">
      <c r="A218" s="9">
        <v>217</v>
      </c>
      <c r="B218" s="9" t="s">
        <v>9</v>
      </c>
      <c r="C218" s="9">
        <v>1920</v>
      </c>
      <c r="D218" s="10">
        <v>45677</v>
      </c>
      <c r="E218" s="13" t="str">
        <f>+HYPERLINK("http://trademark.i-assist.jp/data/china/image_1920th/81131296.pdf","81131296")</f>
        <v>81131296</v>
      </c>
      <c r="F218" s="9" t="s">
        <v>751</v>
      </c>
      <c r="G218" s="9" t="s">
        <v>752</v>
      </c>
      <c r="H218" s="9" t="s">
        <v>753</v>
      </c>
      <c r="I218" s="10">
        <v>45561</v>
      </c>
    </row>
    <row r="219" spans="1:9" x14ac:dyDescent="0.15">
      <c r="A219" s="9">
        <v>218</v>
      </c>
      <c r="B219" s="9" t="s">
        <v>9</v>
      </c>
      <c r="C219" s="9">
        <v>1920</v>
      </c>
      <c r="D219" s="10">
        <v>45677</v>
      </c>
      <c r="E219" s="13" t="str">
        <f>+HYPERLINK("http://trademark.i-assist.jp/data/china/image_1920th/81135136.pdf","81135136")</f>
        <v>81135136</v>
      </c>
      <c r="F219" s="9" t="s">
        <v>754</v>
      </c>
      <c r="G219" s="9" t="s">
        <v>755</v>
      </c>
      <c r="H219" s="9" t="s">
        <v>756</v>
      </c>
      <c r="I219" s="10">
        <v>45561</v>
      </c>
    </row>
    <row r="220" spans="1:9" x14ac:dyDescent="0.15">
      <c r="A220" s="9">
        <v>219</v>
      </c>
      <c r="B220" s="9" t="s">
        <v>9</v>
      </c>
      <c r="C220" s="9">
        <v>1920</v>
      </c>
      <c r="D220" s="10">
        <v>45677</v>
      </c>
      <c r="E220" s="13" t="str">
        <f>+HYPERLINK("http://trademark.i-assist.jp/data/china/image_1920th/81143206.pdf","81143206")</f>
        <v>81143206</v>
      </c>
      <c r="F220" s="9" t="s">
        <v>757</v>
      </c>
      <c r="G220" s="9" t="s">
        <v>758</v>
      </c>
      <c r="H220" s="9" t="s">
        <v>759</v>
      </c>
      <c r="I220" s="10">
        <v>45562</v>
      </c>
    </row>
    <row r="221" spans="1:9" x14ac:dyDescent="0.15">
      <c r="A221" s="9">
        <v>220</v>
      </c>
      <c r="B221" s="9" t="s">
        <v>9</v>
      </c>
      <c r="C221" s="9">
        <v>1920</v>
      </c>
      <c r="D221" s="10">
        <v>45677</v>
      </c>
      <c r="E221" s="13" t="str">
        <f>+HYPERLINK("http://trademark.i-assist.jp/data/china/image_1920th/81143793.pdf","81143793")</f>
        <v>81143793</v>
      </c>
      <c r="F221" s="12" t="s">
        <v>760</v>
      </c>
      <c r="G221" s="12" t="s">
        <v>42</v>
      </c>
      <c r="H221" s="9" t="s">
        <v>761</v>
      </c>
      <c r="I221" s="10">
        <v>45562</v>
      </c>
    </row>
    <row r="222" spans="1:9" x14ac:dyDescent="0.15">
      <c r="A222" s="9">
        <v>221</v>
      </c>
      <c r="B222" s="9" t="s">
        <v>9</v>
      </c>
      <c r="C222" s="9">
        <v>1920</v>
      </c>
      <c r="D222" s="10">
        <v>45677</v>
      </c>
      <c r="E222" s="13" t="str">
        <f>+HYPERLINK("http://trademark.i-assist.jp/data/china/image_1920th/81146690.pdf","81146690")</f>
        <v>81146690</v>
      </c>
      <c r="F222" s="9" t="s">
        <v>762</v>
      </c>
      <c r="G222" s="9" t="s">
        <v>763</v>
      </c>
      <c r="H222" s="12" t="s">
        <v>764</v>
      </c>
      <c r="I222" s="10">
        <v>45562</v>
      </c>
    </row>
    <row r="223" spans="1:9" x14ac:dyDescent="0.15">
      <c r="A223" s="9">
        <v>222</v>
      </c>
      <c r="B223" s="9" t="s">
        <v>9</v>
      </c>
      <c r="C223" s="9">
        <v>1920</v>
      </c>
      <c r="D223" s="10">
        <v>45677</v>
      </c>
      <c r="E223" s="13" t="str">
        <f>+HYPERLINK("http://trademark.i-assist.jp/data/china/image_1920th/81149943.pdf","81149943")</f>
        <v>81149943</v>
      </c>
      <c r="F223" s="9" t="s">
        <v>765</v>
      </c>
      <c r="G223" s="9" t="s">
        <v>766</v>
      </c>
      <c r="H223" s="9" t="s">
        <v>767</v>
      </c>
      <c r="I223" s="10">
        <v>45562</v>
      </c>
    </row>
    <row r="224" spans="1:9" x14ac:dyDescent="0.15">
      <c r="A224" s="9">
        <v>223</v>
      </c>
      <c r="B224" s="9" t="s">
        <v>9</v>
      </c>
      <c r="C224" s="9">
        <v>1920</v>
      </c>
      <c r="D224" s="10">
        <v>45677</v>
      </c>
      <c r="E224" s="13" t="str">
        <f>+HYPERLINK("http://trademark.i-assist.jp/data/china/image_1920th/81150982.pdf","81150982")</f>
        <v>81150982</v>
      </c>
      <c r="F224" s="9" t="s">
        <v>768</v>
      </c>
      <c r="G224" s="12" t="s">
        <v>769</v>
      </c>
      <c r="H224" s="9" t="s">
        <v>770</v>
      </c>
      <c r="I224" s="10">
        <v>45562</v>
      </c>
    </row>
    <row r="225" spans="1:9" x14ac:dyDescent="0.15">
      <c r="A225" s="9">
        <v>224</v>
      </c>
      <c r="B225" s="9" t="s">
        <v>9</v>
      </c>
      <c r="C225" s="9">
        <v>1920</v>
      </c>
      <c r="D225" s="10">
        <v>45677</v>
      </c>
      <c r="E225" s="13" t="str">
        <f>+HYPERLINK("http://trademark.i-assist.jp/data/china/image_1920th/81152346.pdf","81152346")</f>
        <v>81152346</v>
      </c>
      <c r="F225" s="9" t="s">
        <v>771</v>
      </c>
      <c r="G225" s="9" t="s">
        <v>772</v>
      </c>
      <c r="H225" s="9" t="s">
        <v>773</v>
      </c>
      <c r="I225" s="10">
        <v>45562</v>
      </c>
    </row>
    <row r="226" spans="1:9" x14ac:dyDescent="0.15">
      <c r="A226" s="9">
        <v>225</v>
      </c>
      <c r="B226" s="9" t="s">
        <v>9</v>
      </c>
      <c r="C226" s="9">
        <v>1920</v>
      </c>
      <c r="D226" s="10">
        <v>45677</v>
      </c>
      <c r="E226" s="13" t="str">
        <f>+HYPERLINK("http://trademark.i-assist.jp/data/china/image_1920th/81153110.pdf","81153110")</f>
        <v>81153110</v>
      </c>
      <c r="F226" s="9" t="s">
        <v>774</v>
      </c>
      <c r="G226" s="9" t="s">
        <v>775</v>
      </c>
      <c r="H226" s="9" t="s">
        <v>776</v>
      </c>
      <c r="I226" s="10">
        <v>45562</v>
      </c>
    </row>
    <row r="227" spans="1:9" x14ac:dyDescent="0.15">
      <c r="A227" s="9">
        <v>226</v>
      </c>
      <c r="B227" s="9" t="s">
        <v>9</v>
      </c>
      <c r="C227" s="9">
        <v>1920</v>
      </c>
      <c r="D227" s="10">
        <v>45677</v>
      </c>
      <c r="E227" s="13" t="str">
        <f>+HYPERLINK("http://trademark.i-assist.jp/data/china/image_1920th/81154135.pdf","81154135")</f>
        <v>81154135</v>
      </c>
      <c r="F227" s="12" t="s">
        <v>777</v>
      </c>
      <c r="G227" s="9" t="s">
        <v>778</v>
      </c>
      <c r="H227" s="12" t="s">
        <v>779</v>
      </c>
      <c r="I227" s="10">
        <v>45562</v>
      </c>
    </row>
    <row r="228" spans="1:9" x14ac:dyDescent="0.15">
      <c r="A228" s="9">
        <v>227</v>
      </c>
      <c r="B228" s="9" t="s">
        <v>9</v>
      </c>
      <c r="C228" s="9">
        <v>1920</v>
      </c>
      <c r="D228" s="10">
        <v>45677</v>
      </c>
      <c r="E228" s="13" t="str">
        <f>+HYPERLINK("http://trademark.i-assist.jp/data/china/image_1920th/81155350.pdf","81155350")</f>
        <v>81155350</v>
      </c>
      <c r="F228" s="9" t="s">
        <v>780</v>
      </c>
      <c r="G228" s="9" t="s">
        <v>781</v>
      </c>
      <c r="H228" s="9" t="s">
        <v>782</v>
      </c>
      <c r="I228" s="10">
        <v>45562</v>
      </c>
    </row>
    <row r="229" spans="1:9" x14ac:dyDescent="0.15">
      <c r="A229" s="9">
        <v>228</v>
      </c>
      <c r="B229" s="9" t="s">
        <v>9</v>
      </c>
      <c r="C229" s="9">
        <v>1920</v>
      </c>
      <c r="D229" s="10">
        <v>45677</v>
      </c>
      <c r="E229" s="13" t="str">
        <f>+HYPERLINK("http://trademark.i-assist.jp/data/china/image_1920th/81156191.pdf","81156191")</f>
        <v>81156191</v>
      </c>
      <c r="F229" s="9" t="s">
        <v>783</v>
      </c>
      <c r="G229" s="9" t="s">
        <v>784</v>
      </c>
      <c r="H229" s="9" t="s">
        <v>785</v>
      </c>
      <c r="I229" s="10">
        <v>45562</v>
      </c>
    </row>
    <row r="230" spans="1:9" x14ac:dyDescent="0.15">
      <c r="A230" s="9">
        <v>229</v>
      </c>
      <c r="B230" s="9" t="s">
        <v>9</v>
      </c>
      <c r="C230" s="9">
        <v>1920</v>
      </c>
      <c r="D230" s="10">
        <v>45677</v>
      </c>
      <c r="E230" s="13" t="str">
        <f>+HYPERLINK("http://trademark.i-assist.jp/data/china/image_1920th/81157430.pdf","81157430")</f>
        <v>81157430</v>
      </c>
      <c r="F230" s="9" t="s">
        <v>786</v>
      </c>
      <c r="G230" s="9" t="s">
        <v>787</v>
      </c>
      <c r="H230" s="9" t="s">
        <v>788</v>
      </c>
      <c r="I230" s="10">
        <v>45562</v>
      </c>
    </row>
    <row r="231" spans="1:9" x14ac:dyDescent="0.15">
      <c r="A231" s="9">
        <v>230</v>
      </c>
      <c r="B231" s="9" t="s">
        <v>9</v>
      </c>
      <c r="C231" s="9">
        <v>1920</v>
      </c>
      <c r="D231" s="10">
        <v>45677</v>
      </c>
      <c r="E231" s="13" t="str">
        <f>+HYPERLINK("http://trademark.i-assist.jp/data/china/image_1920th/81167118.pdf","81167118")</f>
        <v>81167118</v>
      </c>
      <c r="F231" s="9" t="s">
        <v>789</v>
      </c>
      <c r="G231" s="12" t="s">
        <v>790</v>
      </c>
      <c r="H231" s="9" t="s">
        <v>791</v>
      </c>
      <c r="I231" s="10">
        <v>45563</v>
      </c>
    </row>
    <row r="232" spans="1:9" x14ac:dyDescent="0.15">
      <c r="A232" s="9">
        <v>231</v>
      </c>
      <c r="B232" s="9" t="s">
        <v>9</v>
      </c>
      <c r="C232" s="9">
        <v>1920</v>
      </c>
      <c r="D232" s="10">
        <v>45677</v>
      </c>
      <c r="E232" s="13" t="str">
        <f>+HYPERLINK("http://trademark.i-assist.jp/data/china/image_1920th/81167944.pdf","81167944")</f>
        <v>81167944</v>
      </c>
      <c r="F232" s="9" t="s">
        <v>792</v>
      </c>
      <c r="G232" s="9" t="s">
        <v>793</v>
      </c>
      <c r="H232" s="12" t="s">
        <v>794</v>
      </c>
      <c r="I232" s="10">
        <v>45563</v>
      </c>
    </row>
    <row r="233" spans="1:9" x14ac:dyDescent="0.15">
      <c r="A233" s="9">
        <v>232</v>
      </c>
      <c r="B233" s="9" t="s">
        <v>9</v>
      </c>
      <c r="C233" s="9">
        <v>1920</v>
      </c>
      <c r="D233" s="10">
        <v>45677</v>
      </c>
      <c r="E233" s="13" t="str">
        <f>+HYPERLINK("http://trademark.i-assist.jp/data/china/image_1920th/81169806.pdf","81169806")</f>
        <v>81169806</v>
      </c>
      <c r="F233" s="12" t="s">
        <v>795</v>
      </c>
      <c r="G233" s="9" t="s">
        <v>796</v>
      </c>
      <c r="H233" s="9" t="s">
        <v>797</v>
      </c>
      <c r="I233" s="10">
        <v>45563</v>
      </c>
    </row>
    <row r="234" spans="1:9" x14ac:dyDescent="0.15">
      <c r="A234" s="9">
        <v>233</v>
      </c>
      <c r="B234" s="9" t="s">
        <v>9</v>
      </c>
      <c r="C234" s="9">
        <v>1920</v>
      </c>
      <c r="D234" s="10">
        <v>45677</v>
      </c>
      <c r="E234" s="13" t="str">
        <f>+HYPERLINK("http://trademark.i-assist.jp/data/china/image_1920th/81169992.pdf","81169992")</f>
        <v>81169992</v>
      </c>
      <c r="F234" s="9" t="s">
        <v>798</v>
      </c>
      <c r="G234" s="9" t="s">
        <v>799</v>
      </c>
      <c r="H234" s="9" t="s">
        <v>800</v>
      </c>
      <c r="I234" s="10">
        <v>45563</v>
      </c>
    </row>
    <row r="235" spans="1:9" x14ac:dyDescent="0.15">
      <c r="A235" s="9">
        <v>234</v>
      </c>
      <c r="B235" s="9" t="s">
        <v>9</v>
      </c>
      <c r="C235" s="9">
        <v>1920</v>
      </c>
      <c r="D235" s="10">
        <v>45677</v>
      </c>
      <c r="E235" s="13" t="str">
        <f>+HYPERLINK("http://trademark.i-assist.jp/data/china/image_1920th/81170574.pdf","81170574")</f>
        <v>81170574</v>
      </c>
      <c r="F235" s="12" t="s">
        <v>801</v>
      </c>
      <c r="G235" s="12" t="s">
        <v>802</v>
      </c>
      <c r="H235" s="9" t="s">
        <v>803</v>
      </c>
      <c r="I235" s="10">
        <v>45563</v>
      </c>
    </row>
    <row r="236" spans="1:9" x14ac:dyDescent="0.15">
      <c r="A236" s="9">
        <v>235</v>
      </c>
      <c r="B236" s="9" t="s">
        <v>9</v>
      </c>
      <c r="C236" s="9">
        <v>1920</v>
      </c>
      <c r="D236" s="10">
        <v>45677</v>
      </c>
      <c r="E236" s="13" t="str">
        <f>+HYPERLINK("http://trademark.i-assist.jp/data/china/image_1920th/81172285.pdf","81172285")</f>
        <v>81172285</v>
      </c>
      <c r="F236" s="9" t="s">
        <v>804</v>
      </c>
      <c r="G236" s="12" t="s">
        <v>805</v>
      </c>
      <c r="H236" s="9" t="s">
        <v>806</v>
      </c>
      <c r="I236" s="10">
        <v>45563</v>
      </c>
    </row>
    <row r="237" spans="1:9" x14ac:dyDescent="0.15">
      <c r="A237" s="9">
        <v>236</v>
      </c>
      <c r="B237" s="9" t="s">
        <v>9</v>
      </c>
      <c r="C237" s="9">
        <v>1920</v>
      </c>
      <c r="D237" s="10">
        <v>45677</v>
      </c>
      <c r="E237" s="13" t="str">
        <f>+HYPERLINK("http://trademark.i-assist.jp/data/china/image_1920th/81177689.pdf","81177689")</f>
        <v>81177689</v>
      </c>
      <c r="F237" s="9" t="s">
        <v>807</v>
      </c>
      <c r="G237" s="12" t="s">
        <v>135</v>
      </c>
      <c r="H237" s="9" t="s">
        <v>808</v>
      </c>
      <c r="I237" s="10">
        <v>45564</v>
      </c>
    </row>
    <row r="238" spans="1:9" x14ac:dyDescent="0.15">
      <c r="A238" s="9">
        <v>237</v>
      </c>
      <c r="B238" s="9" t="s">
        <v>9</v>
      </c>
      <c r="C238" s="9">
        <v>1920</v>
      </c>
      <c r="D238" s="10">
        <v>45677</v>
      </c>
      <c r="E238" s="13" t="str">
        <f>+HYPERLINK("http://trademark.i-assist.jp/data/china/image_1920th/81177706.pdf","81177706")</f>
        <v>81177706</v>
      </c>
      <c r="F238" s="12" t="s">
        <v>809</v>
      </c>
      <c r="G238" s="12" t="s">
        <v>135</v>
      </c>
      <c r="H238" s="9" t="s">
        <v>810</v>
      </c>
      <c r="I238" s="10">
        <v>45564</v>
      </c>
    </row>
    <row r="239" spans="1:9" x14ac:dyDescent="0.15">
      <c r="A239" s="9">
        <v>238</v>
      </c>
      <c r="B239" s="9" t="s">
        <v>9</v>
      </c>
      <c r="C239" s="9">
        <v>1920</v>
      </c>
      <c r="D239" s="10">
        <v>45677</v>
      </c>
      <c r="E239" s="13" t="str">
        <f>+HYPERLINK("http://trademark.i-assist.jp/data/china/image_1920th/81181685.pdf","81181685")</f>
        <v>81181685</v>
      </c>
      <c r="F239" s="12" t="s">
        <v>811</v>
      </c>
      <c r="G239" s="9" t="s">
        <v>130</v>
      </c>
      <c r="H239" s="9" t="s">
        <v>812</v>
      </c>
      <c r="I239" s="10">
        <v>45564</v>
      </c>
    </row>
    <row r="240" spans="1:9" x14ac:dyDescent="0.15">
      <c r="A240" s="9">
        <v>239</v>
      </c>
      <c r="B240" s="9" t="s">
        <v>9</v>
      </c>
      <c r="C240" s="9">
        <v>1920</v>
      </c>
      <c r="D240" s="10">
        <v>45677</v>
      </c>
      <c r="E240" s="13" t="str">
        <f>+HYPERLINK("http://trademark.i-assist.jp/data/china/image_1920th/81182046.pdf","81182046")</f>
        <v>81182046</v>
      </c>
      <c r="F240" s="9" t="s">
        <v>813</v>
      </c>
      <c r="G240" s="9" t="s">
        <v>814</v>
      </c>
      <c r="H240" s="9" t="s">
        <v>815</v>
      </c>
      <c r="I240" s="10">
        <v>45564</v>
      </c>
    </row>
    <row r="241" spans="1:9" x14ac:dyDescent="0.15">
      <c r="A241" s="9">
        <v>240</v>
      </c>
      <c r="B241" s="9" t="s">
        <v>9</v>
      </c>
      <c r="C241" s="9">
        <v>1920</v>
      </c>
      <c r="D241" s="10">
        <v>45677</v>
      </c>
      <c r="E241" s="13" t="str">
        <f>+HYPERLINK("http://trademark.i-assist.jp/data/china/image_1920th/81183110.pdf","81183110")</f>
        <v>81183110</v>
      </c>
      <c r="F241" s="9" t="s">
        <v>816</v>
      </c>
      <c r="G241" s="9" t="s">
        <v>817</v>
      </c>
      <c r="H241" s="9" t="s">
        <v>818</v>
      </c>
      <c r="I241" s="10">
        <v>45564</v>
      </c>
    </row>
    <row r="242" spans="1:9" x14ac:dyDescent="0.15">
      <c r="A242" s="9">
        <v>241</v>
      </c>
      <c r="B242" s="9" t="s">
        <v>9</v>
      </c>
      <c r="C242" s="9">
        <v>1920</v>
      </c>
      <c r="D242" s="10">
        <v>45677</v>
      </c>
      <c r="E242" s="13" t="str">
        <f>+HYPERLINK("http://trademark.i-assist.jp/data/china/image_1920th/81183441.pdf","81183441")</f>
        <v>81183441</v>
      </c>
      <c r="F242" s="9" t="s">
        <v>819</v>
      </c>
      <c r="G242" s="12" t="s">
        <v>820</v>
      </c>
      <c r="H242" s="9" t="s">
        <v>821</v>
      </c>
      <c r="I242" s="10">
        <v>45564</v>
      </c>
    </row>
    <row r="243" spans="1:9" x14ac:dyDescent="0.15">
      <c r="A243" s="9">
        <v>242</v>
      </c>
      <c r="B243" s="9" t="s">
        <v>9</v>
      </c>
      <c r="C243" s="9">
        <v>1920</v>
      </c>
      <c r="D243" s="10">
        <v>45677</v>
      </c>
      <c r="E243" s="13" t="str">
        <f>+HYPERLINK("http://trademark.i-assist.jp/data/china/image_1920th/81183943.pdf","81183943")</f>
        <v>81183943</v>
      </c>
      <c r="F243" s="9" t="s">
        <v>822</v>
      </c>
      <c r="G243" s="9" t="s">
        <v>823</v>
      </c>
      <c r="H243" s="9" t="s">
        <v>824</v>
      </c>
      <c r="I243" s="10">
        <v>45564</v>
      </c>
    </row>
    <row r="244" spans="1:9" x14ac:dyDescent="0.15">
      <c r="A244" s="9">
        <v>243</v>
      </c>
      <c r="B244" s="9" t="s">
        <v>9</v>
      </c>
      <c r="C244" s="9">
        <v>1920</v>
      </c>
      <c r="D244" s="10">
        <v>45677</v>
      </c>
      <c r="E244" s="13" t="str">
        <f>+HYPERLINK("http://trademark.i-assist.jp/data/china/image_1920th/81184830.pdf","81184830")</f>
        <v>81184830</v>
      </c>
      <c r="F244" s="9" t="s">
        <v>825</v>
      </c>
      <c r="G244" s="9" t="s">
        <v>826</v>
      </c>
      <c r="H244" s="12" t="s">
        <v>827</v>
      </c>
      <c r="I244" s="10">
        <v>45564</v>
      </c>
    </row>
    <row r="245" spans="1:9" x14ac:dyDescent="0.15">
      <c r="A245" s="9">
        <v>244</v>
      </c>
      <c r="B245" s="9" t="s">
        <v>9</v>
      </c>
      <c r="C245" s="9">
        <v>1920</v>
      </c>
      <c r="D245" s="10">
        <v>45677</v>
      </c>
      <c r="E245" s="13" t="str">
        <f>+HYPERLINK("http://trademark.i-assist.jp/data/china/image_1920th/81187218.pdf","81187218")</f>
        <v>81187218</v>
      </c>
      <c r="F245" s="9" t="s">
        <v>828</v>
      </c>
      <c r="G245" s="9" t="s">
        <v>829</v>
      </c>
      <c r="H245" s="9" t="s">
        <v>830</v>
      </c>
      <c r="I245" s="10">
        <v>45564</v>
      </c>
    </row>
    <row r="246" spans="1:9" x14ac:dyDescent="0.15">
      <c r="A246" s="9">
        <v>245</v>
      </c>
      <c r="B246" s="9" t="s">
        <v>9</v>
      </c>
      <c r="C246" s="9">
        <v>1920</v>
      </c>
      <c r="D246" s="10">
        <v>45677</v>
      </c>
      <c r="E246" s="13" t="str">
        <f>+HYPERLINK("http://trademark.i-assist.jp/data/china/image_1920th/81189732.pdf","81189732")</f>
        <v>81189732</v>
      </c>
      <c r="F246" s="9" t="s">
        <v>831</v>
      </c>
      <c r="G246" s="12" t="s">
        <v>14</v>
      </c>
      <c r="H246" s="9" t="s">
        <v>832</v>
      </c>
      <c r="I246" s="10">
        <v>45564</v>
      </c>
    </row>
    <row r="247" spans="1:9" x14ac:dyDescent="0.15">
      <c r="A247" s="9">
        <v>246</v>
      </c>
      <c r="B247" s="9" t="s">
        <v>9</v>
      </c>
      <c r="C247" s="9">
        <v>1920</v>
      </c>
      <c r="D247" s="10">
        <v>45677</v>
      </c>
      <c r="E247" s="13" t="str">
        <f>+HYPERLINK("http://trademark.i-assist.jp/data/china/image_1920th/81194977.pdf","81194977")</f>
        <v>81194977</v>
      </c>
      <c r="F247" s="9" t="s">
        <v>833</v>
      </c>
      <c r="G247" s="9" t="s">
        <v>834</v>
      </c>
      <c r="H247" s="9" t="s">
        <v>835</v>
      </c>
      <c r="I247" s="10">
        <v>45564</v>
      </c>
    </row>
    <row r="248" spans="1:9" x14ac:dyDescent="0.15">
      <c r="A248" s="9">
        <v>247</v>
      </c>
      <c r="B248" s="9" t="s">
        <v>9</v>
      </c>
      <c r="C248" s="9">
        <v>1920</v>
      </c>
      <c r="D248" s="10">
        <v>45677</v>
      </c>
      <c r="E248" s="13" t="str">
        <f>+HYPERLINK("http://trademark.i-assist.jp/data/china/image_1920th/81194978.pdf","81194978")</f>
        <v>81194978</v>
      </c>
      <c r="F248" s="9" t="s">
        <v>836</v>
      </c>
      <c r="G248" s="9" t="s">
        <v>837</v>
      </c>
      <c r="H248" s="9" t="s">
        <v>838</v>
      </c>
      <c r="I248" s="10">
        <v>45564</v>
      </c>
    </row>
    <row r="249" spans="1:9" x14ac:dyDescent="0.15">
      <c r="A249" s="9">
        <v>248</v>
      </c>
      <c r="B249" s="9" t="s">
        <v>9</v>
      </c>
      <c r="C249" s="9">
        <v>1920</v>
      </c>
      <c r="D249" s="10">
        <v>45677</v>
      </c>
      <c r="E249" s="13" t="str">
        <f>+HYPERLINK("http://trademark.i-assist.jp/data/china/image_1920th/81196675.pdf","81196675")</f>
        <v>81196675</v>
      </c>
      <c r="F249" s="9" t="s">
        <v>839</v>
      </c>
      <c r="G249" s="12" t="s">
        <v>840</v>
      </c>
      <c r="H249" s="9" t="s">
        <v>841</v>
      </c>
      <c r="I249" s="10">
        <v>45564</v>
      </c>
    </row>
    <row r="250" spans="1:9" x14ac:dyDescent="0.15">
      <c r="A250" s="9">
        <v>249</v>
      </c>
      <c r="B250" s="9" t="s">
        <v>9</v>
      </c>
      <c r="C250" s="9">
        <v>1920</v>
      </c>
      <c r="D250" s="10">
        <v>45677</v>
      </c>
      <c r="E250" s="13" t="str">
        <f>+HYPERLINK("http://trademark.i-assist.jp/data/china/image_1920th/81197859.pdf","81197859")</f>
        <v>81197859</v>
      </c>
      <c r="F250" s="9" t="s">
        <v>842</v>
      </c>
      <c r="G250" s="9" t="s">
        <v>843</v>
      </c>
      <c r="H250" s="9" t="s">
        <v>844</v>
      </c>
      <c r="I250" s="10">
        <v>45564</v>
      </c>
    </row>
    <row r="251" spans="1:9" x14ac:dyDescent="0.15">
      <c r="A251" s="9">
        <v>250</v>
      </c>
      <c r="B251" s="9" t="s">
        <v>9</v>
      </c>
      <c r="C251" s="9">
        <v>1920</v>
      </c>
      <c r="D251" s="10">
        <v>45677</v>
      </c>
      <c r="E251" s="13" t="str">
        <f>+HYPERLINK("http://trademark.i-assist.jp/data/china/image_1920th/81199342.pdf","81199342")</f>
        <v>81199342</v>
      </c>
      <c r="F251" s="9" t="s">
        <v>845</v>
      </c>
      <c r="G251" s="9" t="s">
        <v>38</v>
      </c>
      <c r="H251" s="9" t="s">
        <v>846</v>
      </c>
      <c r="I251" s="10">
        <v>45564</v>
      </c>
    </row>
    <row r="252" spans="1:9" x14ac:dyDescent="0.15">
      <c r="A252" s="9">
        <v>251</v>
      </c>
      <c r="B252" s="9" t="s">
        <v>9</v>
      </c>
      <c r="C252" s="9">
        <v>1920</v>
      </c>
      <c r="D252" s="10">
        <v>45677</v>
      </c>
      <c r="E252" s="13" t="str">
        <f>+HYPERLINK("http://trademark.i-assist.jp/data/china/image_1920th/81200858.pdf","81200858")</f>
        <v>81200858</v>
      </c>
      <c r="F252" s="9" t="s">
        <v>847</v>
      </c>
      <c r="G252" s="12" t="s">
        <v>44</v>
      </c>
      <c r="H252" s="9" t="s">
        <v>848</v>
      </c>
      <c r="I252" s="10">
        <v>45564</v>
      </c>
    </row>
    <row r="253" spans="1:9" x14ac:dyDescent="0.15">
      <c r="A253" s="9">
        <v>252</v>
      </c>
      <c r="B253" s="9" t="s">
        <v>9</v>
      </c>
      <c r="C253" s="9">
        <v>1920</v>
      </c>
      <c r="D253" s="10">
        <v>45677</v>
      </c>
      <c r="E253" s="13" t="str">
        <f>+HYPERLINK("http://trademark.i-assist.jp/data/china/image_1920th/81202775.pdf","81202775")</f>
        <v>81202775</v>
      </c>
      <c r="F253" s="9" t="s">
        <v>849</v>
      </c>
      <c r="G253" s="9" t="s">
        <v>849</v>
      </c>
      <c r="H253" s="9" t="s">
        <v>850</v>
      </c>
      <c r="I253" s="10">
        <v>45564</v>
      </c>
    </row>
    <row r="254" spans="1:9" x14ac:dyDescent="0.15">
      <c r="A254" s="9">
        <v>253</v>
      </c>
      <c r="B254" s="9" t="s">
        <v>9</v>
      </c>
      <c r="C254" s="9">
        <v>1920</v>
      </c>
      <c r="D254" s="10">
        <v>45677</v>
      </c>
      <c r="E254" s="13" t="str">
        <f>+HYPERLINK("http://trademark.i-assist.jp/data/china/image_1920th/81202946.pdf","81202946")</f>
        <v>81202946</v>
      </c>
      <c r="F254" s="9" t="s">
        <v>851</v>
      </c>
      <c r="G254" s="9" t="s">
        <v>51</v>
      </c>
      <c r="H254" s="9" t="s">
        <v>852</v>
      </c>
      <c r="I254" s="10">
        <v>45565</v>
      </c>
    </row>
    <row r="255" spans="1:9" x14ac:dyDescent="0.15">
      <c r="A255" s="9">
        <v>254</v>
      </c>
      <c r="B255" s="9" t="s">
        <v>9</v>
      </c>
      <c r="C255" s="9">
        <v>1920</v>
      </c>
      <c r="D255" s="10">
        <v>45677</v>
      </c>
      <c r="E255" s="13" t="str">
        <f>+HYPERLINK("http://trademark.i-assist.jp/data/china/image_1920th/81206159.pdf","81206159")</f>
        <v>81206159</v>
      </c>
      <c r="F255" s="9" t="s">
        <v>853</v>
      </c>
      <c r="G255" s="9" t="s">
        <v>854</v>
      </c>
      <c r="H255" s="9" t="s">
        <v>855</v>
      </c>
      <c r="I255" s="10">
        <v>45565</v>
      </c>
    </row>
    <row r="256" spans="1:9" x14ac:dyDescent="0.15">
      <c r="A256" s="9">
        <v>255</v>
      </c>
      <c r="B256" s="9" t="s">
        <v>9</v>
      </c>
      <c r="C256" s="9">
        <v>1920</v>
      </c>
      <c r="D256" s="10">
        <v>45677</v>
      </c>
      <c r="E256" s="13" t="str">
        <f>+HYPERLINK("http://trademark.i-assist.jp/data/china/image_1920th/81206304.pdf","81206304")</f>
        <v>81206304</v>
      </c>
      <c r="F256" s="9" t="s">
        <v>856</v>
      </c>
      <c r="G256" s="9" t="s">
        <v>857</v>
      </c>
      <c r="H256" s="9" t="s">
        <v>858</v>
      </c>
      <c r="I256" s="10">
        <v>45565</v>
      </c>
    </row>
    <row r="257" spans="1:9" x14ac:dyDescent="0.15">
      <c r="A257" s="9">
        <v>256</v>
      </c>
      <c r="B257" s="9" t="s">
        <v>9</v>
      </c>
      <c r="C257" s="9">
        <v>1920</v>
      </c>
      <c r="D257" s="10">
        <v>45677</v>
      </c>
      <c r="E257" s="13" t="str">
        <f>+HYPERLINK("http://trademark.i-assist.jp/data/china/image_1920th/81208325.pdf","81208325")</f>
        <v>81208325</v>
      </c>
      <c r="F257" s="12" t="s">
        <v>859</v>
      </c>
      <c r="G257" s="9" t="s">
        <v>860</v>
      </c>
      <c r="H257" s="9" t="s">
        <v>861</v>
      </c>
      <c r="I257" s="10">
        <v>45565</v>
      </c>
    </row>
    <row r="258" spans="1:9" x14ac:dyDescent="0.15">
      <c r="A258" s="9">
        <v>257</v>
      </c>
      <c r="B258" s="9" t="s">
        <v>9</v>
      </c>
      <c r="C258" s="9">
        <v>1920</v>
      </c>
      <c r="D258" s="10">
        <v>45677</v>
      </c>
      <c r="E258" s="13" t="str">
        <f>+HYPERLINK("http://trademark.i-assist.jp/data/china/image_1920th/81209167.pdf","81209167")</f>
        <v>81209167</v>
      </c>
      <c r="F258" s="12" t="s">
        <v>862</v>
      </c>
      <c r="G258" s="9" t="s">
        <v>863</v>
      </c>
      <c r="H258" s="9" t="s">
        <v>864</v>
      </c>
      <c r="I258" s="10">
        <v>45565</v>
      </c>
    </row>
    <row r="259" spans="1:9" x14ac:dyDescent="0.15">
      <c r="A259" s="9">
        <v>258</v>
      </c>
      <c r="B259" s="9" t="s">
        <v>9</v>
      </c>
      <c r="C259" s="9">
        <v>1920</v>
      </c>
      <c r="D259" s="10">
        <v>45677</v>
      </c>
      <c r="E259" s="13" t="str">
        <f>+HYPERLINK("http://trademark.i-assist.jp/data/china/image_1920th/81210915.pdf","81210915")</f>
        <v>81210915</v>
      </c>
      <c r="F259" s="9" t="s">
        <v>865</v>
      </c>
      <c r="G259" s="9" t="s">
        <v>866</v>
      </c>
      <c r="H259" s="9" t="s">
        <v>867</v>
      </c>
      <c r="I259" s="10">
        <v>45565</v>
      </c>
    </row>
    <row r="260" spans="1:9" x14ac:dyDescent="0.15">
      <c r="A260" s="9">
        <v>259</v>
      </c>
      <c r="B260" s="9" t="s">
        <v>9</v>
      </c>
      <c r="C260" s="9">
        <v>1920</v>
      </c>
      <c r="D260" s="10">
        <v>45677</v>
      </c>
      <c r="E260" s="13" t="str">
        <f>+HYPERLINK("http://trademark.i-assist.jp/data/china/image_1920th/81215100.pdf","81215100")</f>
        <v>81215100</v>
      </c>
      <c r="F260" s="9" t="s">
        <v>868</v>
      </c>
      <c r="G260" s="12" t="s">
        <v>869</v>
      </c>
      <c r="H260" s="9" t="s">
        <v>870</v>
      </c>
      <c r="I260" s="10">
        <v>45565</v>
      </c>
    </row>
    <row r="261" spans="1:9" x14ac:dyDescent="0.15">
      <c r="A261" s="9">
        <v>260</v>
      </c>
      <c r="B261" s="9" t="s">
        <v>9</v>
      </c>
      <c r="C261" s="9">
        <v>1920</v>
      </c>
      <c r="D261" s="10">
        <v>45677</v>
      </c>
      <c r="E261" s="13" t="str">
        <f>+HYPERLINK("http://trademark.i-assist.jp/data/china/image_1920th/81215559.pdf","81215559")</f>
        <v>81215559</v>
      </c>
      <c r="F261" s="9" t="s">
        <v>871</v>
      </c>
      <c r="G261" s="9" t="s">
        <v>872</v>
      </c>
      <c r="H261" s="12" t="s">
        <v>873</v>
      </c>
      <c r="I261" s="10">
        <v>45565</v>
      </c>
    </row>
    <row r="262" spans="1:9" x14ac:dyDescent="0.15">
      <c r="A262" s="9">
        <v>261</v>
      </c>
      <c r="B262" s="9" t="s">
        <v>9</v>
      </c>
      <c r="C262" s="9">
        <v>1920</v>
      </c>
      <c r="D262" s="10">
        <v>45677</v>
      </c>
      <c r="E262" s="13" t="str">
        <f>+HYPERLINK("http://trademark.i-assist.jp/data/china/image_1920th/81215579.pdf","81215579")</f>
        <v>81215579</v>
      </c>
      <c r="F262" s="9" t="s">
        <v>874</v>
      </c>
      <c r="G262" s="9" t="s">
        <v>875</v>
      </c>
      <c r="H262" s="9" t="s">
        <v>876</v>
      </c>
      <c r="I262" s="10">
        <v>45565</v>
      </c>
    </row>
    <row r="263" spans="1:9" x14ac:dyDescent="0.15">
      <c r="A263" s="9">
        <v>262</v>
      </c>
      <c r="B263" s="9" t="s">
        <v>9</v>
      </c>
      <c r="C263" s="9">
        <v>1920</v>
      </c>
      <c r="D263" s="10">
        <v>45677</v>
      </c>
      <c r="E263" s="13" t="str">
        <f>+HYPERLINK("http://trademark.i-assist.jp/data/china/image_1920th/81215691.pdf","81215691")</f>
        <v>81215691</v>
      </c>
      <c r="F263" s="9" t="s">
        <v>877</v>
      </c>
      <c r="G263" s="12" t="s">
        <v>878</v>
      </c>
      <c r="H263" s="9" t="s">
        <v>879</v>
      </c>
      <c r="I263" s="10">
        <v>45565</v>
      </c>
    </row>
    <row r="264" spans="1:9" x14ac:dyDescent="0.15">
      <c r="A264" s="9">
        <v>263</v>
      </c>
      <c r="B264" s="9" t="s">
        <v>9</v>
      </c>
      <c r="C264" s="9">
        <v>1920</v>
      </c>
      <c r="D264" s="10">
        <v>45677</v>
      </c>
      <c r="E264" s="13" t="str">
        <f>+HYPERLINK("http://trademark.i-assist.jp/data/china/image_1920th/81215698.pdf","81215698")</f>
        <v>81215698</v>
      </c>
      <c r="F264" s="9" t="s">
        <v>880</v>
      </c>
      <c r="G264" s="12" t="s">
        <v>878</v>
      </c>
      <c r="H264" s="9" t="s">
        <v>881</v>
      </c>
      <c r="I264" s="10">
        <v>45565</v>
      </c>
    </row>
    <row r="265" spans="1:9" x14ac:dyDescent="0.15">
      <c r="A265" s="9">
        <v>264</v>
      </c>
      <c r="B265" s="9" t="s">
        <v>9</v>
      </c>
      <c r="C265" s="9">
        <v>1920</v>
      </c>
      <c r="D265" s="10">
        <v>45677</v>
      </c>
      <c r="E265" s="13" t="str">
        <f>+HYPERLINK("http://trademark.i-assist.jp/data/china/image_1920th/81218376.pdf","81218376")</f>
        <v>81218376</v>
      </c>
      <c r="F265" s="9" t="s">
        <v>882</v>
      </c>
      <c r="G265" s="9" t="s">
        <v>854</v>
      </c>
      <c r="H265" s="9" t="s">
        <v>883</v>
      </c>
      <c r="I265" s="10">
        <v>45565</v>
      </c>
    </row>
    <row r="266" spans="1:9" x14ac:dyDescent="0.15">
      <c r="A266" s="9">
        <v>265</v>
      </c>
      <c r="B266" s="9" t="s">
        <v>9</v>
      </c>
      <c r="C266" s="9">
        <v>1920</v>
      </c>
      <c r="D266" s="10">
        <v>45677</v>
      </c>
      <c r="E266" s="13" t="str">
        <f>+HYPERLINK("http://trademark.i-assist.jp/data/china/image_1920th/81218856.pdf","81218856")</f>
        <v>81218856</v>
      </c>
      <c r="F266" s="9" t="s">
        <v>884</v>
      </c>
      <c r="G266" s="12" t="s">
        <v>878</v>
      </c>
      <c r="H266" s="9" t="s">
        <v>885</v>
      </c>
      <c r="I266" s="10">
        <v>45565</v>
      </c>
    </row>
    <row r="267" spans="1:9" x14ac:dyDescent="0.15">
      <c r="A267" s="9">
        <v>266</v>
      </c>
      <c r="B267" s="9" t="s">
        <v>9</v>
      </c>
      <c r="C267" s="9">
        <v>1920</v>
      </c>
      <c r="D267" s="10">
        <v>45677</v>
      </c>
      <c r="E267" s="13" t="str">
        <f>+HYPERLINK("http://trademark.i-assist.jp/data/china/image_1920th/81220251.pdf","81220251")</f>
        <v>81220251</v>
      </c>
      <c r="F267" s="9" t="s">
        <v>886</v>
      </c>
      <c r="G267" s="9" t="s">
        <v>109</v>
      </c>
      <c r="H267" s="9" t="s">
        <v>887</v>
      </c>
      <c r="I267" s="10">
        <v>45565</v>
      </c>
    </row>
    <row r="268" spans="1:9" x14ac:dyDescent="0.15">
      <c r="A268" s="9">
        <v>267</v>
      </c>
      <c r="B268" s="9" t="s">
        <v>9</v>
      </c>
      <c r="C268" s="9">
        <v>1920</v>
      </c>
      <c r="D268" s="10">
        <v>45677</v>
      </c>
      <c r="E268" s="13" t="str">
        <f>+HYPERLINK("http://trademark.i-assist.jp/data/china/image_1920th/81220501.pdf","81220501")</f>
        <v>81220501</v>
      </c>
      <c r="F268" s="9" t="s">
        <v>888</v>
      </c>
      <c r="G268" s="9" t="s">
        <v>889</v>
      </c>
      <c r="H268" s="9" t="s">
        <v>890</v>
      </c>
      <c r="I268" s="10">
        <v>45565</v>
      </c>
    </row>
    <row r="269" spans="1:9" x14ac:dyDescent="0.15">
      <c r="A269" s="9">
        <v>268</v>
      </c>
      <c r="B269" s="9" t="s">
        <v>9</v>
      </c>
      <c r="C269" s="9">
        <v>1920</v>
      </c>
      <c r="D269" s="10">
        <v>45677</v>
      </c>
      <c r="E269" s="13" t="str">
        <f>+HYPERLINK("http://trademark.i-assist.jp/data/china/image_1920th/81221332.pdf","81221332")</f>
        <v>81221332</v>
      </c>
      <c r="F269" s="12" t="s">
        <v>12</v>
      </c>
      <c r="G269" s="9" t="s">
        <v>891</v>
      </c>
      <c r="H269" s="9" t="s">
        <v>892</v>
      </c>
      <c r="I269" s="10">
        <v>45565</v>
      </c>
    </row>
    <row r="270" spans="1:9" x14ac:dyDescent="0.15">
      <c r="A270" s="9">
        <v>269</v>
      </c>
      <c r="B270" s="9" t="s">
        <v>9</v>
      </c>
      <c r="C270" s="9">
        <v>1920</v>
      </c>
      <c r="D270" s="10">
        <v>45677</v>
      </c>
      <c r="E270" s="13" t="str">
        <f>+HYPERLINK("http://trademark.i-assist.jp/data/china/image_1920th/81221437.pdf","81221437")</f>
        <v>81221437</v>
      </c>
      <c r="F270" s="9" t="s">
        <v>893</v>
      </c>
      <c r="G270" s="9" t="s">
        <v>36</v>
      </c>
      <c r="H270" s="9" t="s">
        <v>894</v>
      </c>
      <c r="I270" s="10">
        <v>45565</v>
      </c>
    </row>
    <row r="271" spans="1:9" x14ac:dyDescent="0.15">
      <c r="A271" s="9">
        <v>270</v>
      </c>
      <c r="B271" s="9" t="s">
        <v>9</v>
      </c>
      <c r="C271" s="9">
        <v>1920</v>
      </c>
      <c r="D271" s="10">
        <v>45677</v>
      </c>
      <c r="E271" s="13" t="str">
        <f>+HYPERLINK("http://trademark.i-assist.jp/data/china/image_1920th/81221600.pdf","81221600")</f>
        <v>81221600</v>
      </c>
      <c r="F271" s="9" t="s">
        <v>895</v>
      </c>
      <c r="G271" s="9" t="s">
        <v>896</v>
      </c>
      <c r="H271" s="9" t="s">
        <v>897</v>
      </c>
      <c r="I271" s="10">
        <v>45565</v>
      </c>
    </row>
    <row r="272" spans="1:9" x14ac:dyDescent="0.15">
      <c r="A272" s="9">
        <v>271</v>
      </c>
      <c r="B272" s="9" t="s">
        <v>9</v>
      </c>
      <c r="C272" s="9">
        <v>1920</v>
      </c>
      <c r="D272" s="10">
        <v>45677</v>
      </c>
      <c r="E272" s="13" t="str">
        <f>+HYPERLINK("http://trademark.i-assist.jp/data/china/image_1920th/81223421.pdf","81223421")</f>
        <v>81223421</v>
      </c>
      <c r="F272" s="9" t="s">
        <v>898</v>
      </c>
      <c r="G272" s="12" t="s">
        <v>69</v>
      </c>
      <c r="H272" s="9" t="s">
        <v>899</v>
      </c>
      <c r="I272" s="10">
        <v>45565</v>
      </c>
    </row>
    <row r="273" spans="1:9" x14ac:dyDescent="0.15">
      <c r="A273" s="9">
        <v>272</v>
      </c>
      <c r="B273" s="9" t="s">
        <v>9</v>
      </c>
      <c r="C273" s="9">
        <v>1920</v>
      </c>
      <c r="D273" s="10">
        <v>45677</v>
      </c>
      <c r="E273" s="13" t="str">
        <f>+HYPERLINK("http://trademark.i-assist.jp/data/china/image_1920th/81223631.pdf","81223631")</f>
        <v>81223631</v>
      </c>
      <c r="F273" s="12" t="s">
        <v>12</v>
      </c>
      <c r="G273" s="9" t="s">
        <v>900</v>
      </c>
      <c r="H273" s="9" t="s">
        <v>901</v>
      </c>
      <c r="I273" s="10">
        <v>45565</v>
      </c>
    </row>
    <row r="274" spans="1:9" x14ac:dyDescent="0.15">
      <c r="A274" s="9">
        <v>273</v>
      </c>
      <c r="B274" s="9" t="s">
        <v>9</v>
      </c>
      <c r="C274" s="9">
        <v>1920</v>
      </c>
      <c r="D274" s="10">
        <v>45677</v>
      </c>
      <c r="E274" s="13" t="str">
        <f>+HYPERLINK("http://trademark.i-assist.jp/data/china/image_1920th/81224449.pdf","81224449")</f>
        <v>81224449</v>
      </c>
      <c r="F274" s="9" t="s">
        <v>902</v>
      </c>
      <c r="G274" s="12" t="s">
        <v>903</v>
      </c>
      <c r="H274" s="9" t="s">
        <v>904</v>
      </c>
      <c r="I274" s="10">
        <v>45565</v>
      </c>
    </row>
    <row r="275" spans="1:9" x14ac:dyDescent="0.15">
      <c r="A275" s="9">
        <v>274</v>
      </c>
      <c r="B275" s="9" t="s">
        <v>9</v>
      </c>
      <c r="C275" s="9">
        <v>1920</v>
      </c>
      <c r="D275" s="10">
        <v>45677</v>
      </c>
      <c r="E275" s="13" t="str">
        <f>+HYPERLINK("http://trademark.i-assist.jp/data/china/image_1920th/81225856.pdf","81225856")</f>
        <v>81225856</v>
      </c>
      <c r="F275" s="9" t="s">
        <v>905</v>
      </c>
      <c r="G275" s="9" t="s">
        <v>906</v>
      </c>
      <c r="H275" s="9" t="s">
        <v>907</v>
      </c>
      <c r="I275" s="10">
        <v>45565</v>
      </c>
    </row>
    <row r="276" spans="1:9" x14ac:dyDescent="0.15">
      <c r="A276" s="9">
        <v>275</v>
      </c>
      <c r="B276" s="9" t="s">
        <v>9</v>
      </c>
      <c r="C276" s="9">
        <v>1920</v>
      </c>
      <c r="D276" s="10">
        <v>45677</v>
      </c>
      <c r="E276" s="13" t="str">
        <f>+HYPERLINK("http://trademark.i-assist.jp/data/china/image_1920th/81226450.pdf","81226450")</f>
        <v>81226450</v>
      </c>
      <c r="F276" s="9" t="s">
        <v>908</v>
      </c>
      <c r="G276" s="9" t="s">
        <v>909</v>
      </c>
      <c r="H276" s="9" t="s">
        <v>910</v>
      </c>
      <c r="I276" s="10">
        <v>45565</v>
      </c>
    </row>
    <row r="277" spans="1:9" x14ac:dyDescent="0.15">
      <c r="A277" s="9">
        <v>276</v>
      </c>
      <c r="B277" s="9" t="s">
        <v>9</v>
      </c>
      <c r="C277" s="9">
        <v>1920</v>
      </c>
      <c r="D277" s="10">
        <v>45677</v>
      </c>
      <c r="E277" s="13" t="str">
        <f>+HYPERLINK("http://trademark.i-assist.jp/data/china/image_1920th/81228752.pdf","81228752")</f>
        <v>81228752</v>
      </c>
      <c r="F277" s="9" t="s">
        <v>911</v>
      </c>
      <c r="G277" s="9" t="s">
        <v>912</v>
      </c>
      <c r="H277" s="9" t="s">
        <v>913</v>
      </c>
      <c r="I277" s="10">
        <v>45565</v>
      </c>
    </row>
    <row r="278" spans="1:9" x14ac:dyDescent="0.15">
      <c r="A278" s="9">
        <v>277</v>
      </c>
      <c r="B278" s="9" t="s">
        <v>9</v>
      </c>
      <c r="C278" s="9">
        <v>1920</v>
      </c>
      <c r="D278" s="10">
        <v>45677</v>
      </c>
      <c r="E278" s="13" t="str">
        <f>+HYPERLINK("http://trademark.i-assist.jp/data/china/image_1920th/81229703.pdf","81229703")</f>
        <v>81229703</v>
      </c>
      <c r="F278" s="9" t="s">
        <v>914</v>
      </c>
      <c r="G278" s="9" t="s">
        <v>915</v>
      </c>
      <c r="H278" s="9" t="s">
        <v>916</v>
      </c>
      <c r="I278" s="10">
        <v>45565</v>
      </c>
    </row>
    <row r="279" spans="1:9" x14ac:dyDescent="0.15">
      <c r="A279" s="9">
        <v>278</v>
      </c>
      <c r="B279" s="9" t="s">
        <v>9</v>
      </c>
      <c r="C279" s="9">
        <v>1920</v>
      </c>
      <c r="D279" s="10">
        <v>45677</v>
      </c>
      <c r="E279" s="13" t="str">
        <f>+HYPERLINK("http://trademark.i-assist.jp/data/china/image_1920th/81230738.pdf","81230738")</f>
        <v>81230738</v>
      </c>
      <c r="F279" s="9" t="s">
        <v>917</v>
      </c>
      <c r="G279" s="9" t="s">
        <v>918</v>
      </c>
      <c r="H279" s="9" t="s">
        <v>919</v>
      </c>
      <c r="I279" s="10">
        <v>45565</v>
      </c>
    </row>
    <row r="280" spans="1:9" x14ac:dyDescent="0.15">
      <c r="A280" s="9">
        <v>279</v>
      </c>
      <c r="B280" s="9" t="s">
        <v>9</v>
      </c>
      <c r="C280" s="9">
        <v>1920</v>
      </c>
      <c r="D280" s="10">
        <v>45677</v>
      </c>
      <c r="E280" s="13" t="str">
        <f>+HYPERLINK("http://trademark.i-assist.jp/data/china/image_1920th/81231627.pdf","81231627")</f>
        <v>81231627</v>
      </c>
      <c r="F280" s="9" t="s">
        <v>920</v>
      </c>
      <c r="G280" s="12" t="s">
        <v>921</v>
      </c>
      <c r="H280" s="9" t="s">
        <v>922</v>
      </c>
      <c r="I280" s="10">
        <v>45565</v>
      </c>
    </row>
    <row r="281" spans="1:9" x14ac:dyDescent="0.15">
      <c r="A281" s="9">
        <v>280</v>
      </c>
      <c r="B281" s="9" t="s">
        <v>9</v>
      </c>
      <c r="C281" s="9">
        <v>1920</v>
      </c>
      <c r="D281" s="10">
        <v>45677</v>
      </c>
      <c r="E281" s="13" t="str">
        <f>+HYPERLINK("http://trademark.i-assist.jp/data/china/image_1920th/81233835.pdf","81233835")</f>
        <v>81233835</v>
      </c>
      <c r="F281" s="9" t="s">
        <v>923</v>
      </c>
      <c r="G281" s="9" t="s">
        <v>24</v>
      </c>
      <c r="H281" s="9" t="s">
        <v>924</v>
      </c>
      <c r="I281" s="10">
        <v>45565</v>
      </c>
    </row>
    <row r="282" spans="1:9" x14ac:dyDescent="0.15">
      <c r="A282" s="9">
        <v>281</v>
      </c>
      <c r="B282" s="9" t="s">
        <v>9</v>
      </c>
      <c r="C282" s="9">
        <v>1920</v>
      </c>
      <c r="D282" s="10">
        <v>45677</v>
      </c>
      <c r="E282" s="13" t="str">
        <f>+HYPERLINK("http://trademark.i-assist.jp/data/china/image_1920th/81234062.pdf","81234062")</f>
        <v>81234062</v>
      </c>
      <c r="F282" s="12" t="s">
        <v>925</v>
      </c>
      <c r="G282" s="9" t="s">
        <v>926</v>
      </c>
      <c r="H282" s="9" t="s">
        <v>927</v>
      </c>
      <c r="I282" s="10">
        <v>45573</v>
      </c>
    </row>
    <row r="283" spans="1:9" x14ac:dyDescent="0.15">
      <c r="A283" s="9">
        <v>282</v>
      </c>
      <c r="B283" s="9" t="s">
        <v>9</v>
      </c>
      <c r="C283" s="9">
        <v>1920</v>
      </c>
      <c r="D283" s="10">
        <v>45677</v>
      </c>
      <c r="E283" s="13" t="str">
        <f>+HYPERLINK("http://trademark.i-assist.jp/data/china/image_1920th/81235337.pdf","81235337")</f>
        <v>81235337</v>
      </c>
      <c r="F283" s="9" t="s">
        <v>928</v>
      </c>
      <c r="G283" s="9" t="s">
        <v>929</v>
      </c>
      <c r="H283" s="9" t="s">
        <v>930</v>
      </c>
      <c r="I283" s="10">
        <v>45573</v>
      </c>
    </row>
    <row r="284" spans="1:9" x14ac:dyDescent="0.15">
      <c r="A284" s="9">
        <v>283</v>
      </c>
      <c r="B284" s="9" t="s">
        <v>9</v>
      </c>
      <c r="C284" s="9">
        <v>1920</v>
      </c>
      <c r="D284" s="10">
        <v>45677</v>
      </c>
      <c r="E284" s="13" t="str">
        <f>+HYPERLINK("http://trademark.i-assist.jp/data/china/image_1920th/81236050.pdf","81236050")</f>
        <v>81236050</v>
      </c>
      <c r="F284" s="9" t="s">
        <v>931</v>
      </c>
      <c r="G284" s="9" t="s">
        <v>932</v>
      </c>
      <c r="H284" s="9" t="s">
        <v>933</v>
      </c>
      <c r="I284" s="10">
        <v>45573</v>
      </c>
    </row>
    <row r="285" spans="1:9" x14ac:dyDescent="0.15">
      <c r="A285" s="9">
        <v>284</v>
      </c>
      <c r="B285" s="9" t="s">
        <v>9</v>
      </c>
      <c r="C285" s="9">
        <v>1920</v>
      </c>
      <c r="D285" s="10">
        <v>45677</v>
      </c>
      <c r="E285" s="13" t="str">
        <f>+HYPERLINK("http://trademark.i-assist.jp/data/china/image_1920th/81236197.pdf","81236197")</f>
        <v>81236197</v>
      </c>
      <c r="F285" s="9" t="s">
        <v>934</v>
      </c>
      <c r="G285" s="9" t="s">
        <v>935</v>
      </c>
      <c r="H285" s="9" t="s">
        <v>936</v>
      </c>
      <c r="I285" s="10">
        <v>45573</v>
      </c>
    </row>
    <row r="286" spans="1:9" x14ac:dyDescent="0.15">
      <c r="A286" s="9">
        <v>285</v>
      </c>
      <c r="B286" s="9" t="s">
        <v>9</v>
      </c>
      <c r="C286" s="9">
        <v>1920</v>
      </c>
      <c r="D286" s="10">
        <v>45677</v>
      </c>
      <c r="E286" s="13" t="str">
        <f>+HYPERLINK("http://trademark.i-assist.jp/data/china/image_1920th/81237257.pdf","81237257")</f>
        <v>81237257</v>
      </c>
      <c r="F286" s="9" t="s">
        <v>937</v>
      </c>
      <c r="G286" s="12" t="s">
        <v>938</v>
      </c>
      <c r="H286" s="9" t="s">
        <v>939</v>
      </c>
      <c r="I286" s="10">
        <v>45573</v>
      </c>
    </row>
    <row r="287" spans="1:9" x14ac:dyDescent="0.15">
      <c r="A287" s="9">
        <v>286</v>
      </c>
      <c r="B287" s="9" t="s">
        <v>9</v>
      </c>
      <c r="C287" s="9">
        <v>1920</v>
      </c>
      <c r="D287" s="10">
        <v>45677</v>
      </c>
      <c r="E287" s="13" t="str">
        <f>+HYPERLINK("http://trademark.i-assist.jp/data/china/image_1920th/81238012.pdf","81238012")</f>
        <v>81238012</v>
      </c>
      <c r="F287" s="9" t="s">
        <v>940</v>
      </c>
      <c r="G287" s="9" t="s">
        <v>935</v>
      </c>
      <c r="H287" s="9" t="s">
        <v>941</v>
      </c>
      <c r="I287" s="10">
        <v>45573</v>
      </c>
    </row>
    <row r="288" spans="1:9" x14ac:dyDescent="0.15">
      <c r="A288" s="9">
        <v>287</v>
      </c>
      <c r="B288" s="9" t="s">
        <v>9</v>
      </c>
      <c r="C288" s="9">
        <v>1920</v>
      </c>
      <c r="D288" s="10">
        <v>45677</v>
      </c>
      <c r="E288" s="13" t="str">
        <f>+HYPERLINK("http://trademark.i-assist.jp/data/china/image_1920th/81238388.pdf","81238388")</f>
        <v>81238388</v>
      </c>
      <c r="F288" s="9" t="s">
        <v>942</v>
      </c>
      <c r="G288" s="9" t="s">
        <v>943</v>
      </c>
      <c r="H288" s="9" t="s">
        <v>944</v>
      </c>
      <c r="I288" s="10">
        <v>45573</v>
      </c>
    </row>
    <row r="289" spans="1:9" x14ac:dyDescent="0.15">
      <c r="A289" s="9">
        <v>288</v>
      </c>
      <c r="B289" s="9" t="s">
        <v>9</v>
      </c>
      <c r="C289" s="9">
        <v>1920</v>
      </c>
      <c r="D289" s="10">
        <v>45677</v>
      </c>
      <c r="E289" s="13" t="str">
        <f>+HYPERLINK("http://trademark.i-assist.jp/data/china/image_1920th/81239105.pdf","81239105")</f>
        <v>81239105</v>
      </c>
      <c r="F289" s="9" t="s">
        <v>945</v>
      </c>
      <c r="G289" s="9" t="s">
        <v>946</v>
      </c>
      <c r="H289" s="9" t="s">
        <v>947</v>
      </c>
      <c r="I289" s="10">
        <v>45573</v>
      </c>
    </row>
    <row r="290" spans="1:9" x14ac:dyDescent="0.15">
      <c r="A290" s="9">
        <v>289</v>
      </c>
      <c r="B290" s="9" t="s">
        <v>9</v>
      </c>
      <c r="C290" s="9">
        <v>1920</v>
      </c>
      <c r="D290" s="10">
        <v>45677</v>
      </c>
      <c r="E290" s="13" t="str">
        <f>+HYPERLINK("http://trademark.i-assist.jp/data/china/image_1920th/81240196.pdf","81240196")</f>
        <v>81240196</v>
      </c>
      <c r="F290" s="9" t="s">
        <v>948</v>
      </c>
      <c r="G290" s="9" t="s">
        <v>949</v>
      </c>
      <c r="H290" s="9" t="s">
        <v>950</v>
      </c>
      <c r="I290" s="10">
        <v>45573</v>
      </c>
    </row>
    <row r="291" spans="1:9" x14ac:dyDescent="0.15">
      <c r="A291" s="9">
        <v>290</v>
      </c>
      <c r="B291" s="9" t="s">
        <v>9</v>
      </c>
      <c r="C291" s="9">
        <v>1920</v>
      </c>
      <c r="D291" s="10">
        <v>45677</v>
      </c>
      <c r="E291" s="13" t="str">
        <f>+HYPERLINK("http://trademark.i-assist.jp/data/china/image_1920th/81240595.pdf","81240595")</f>
        <v>81240595</v>
      </c>
      <c r="F291" s="9" t="s">
        <v>951</v>
      </c>
      <c r="G291" s="9" t="s">
        <v>952</v>
      </c>
      <c r="H291" s="9" t="s">
        <v>953</v>
      </c>
      <c r="I291" s="10">
        <v>45573</v>
      </c>
    </row>
    <row r="292" spans="1:9" x14ac:dyDescent="0.15">
      <c r="A292" s="9">
        <v>291</v>
      </c>
      <c r="B292" s="9" t="s">
        <v>9</v>
      </c>
      <c r="C292" s="9">
        <v>1920</v>
      </c>
      <c r="D292" s="10">
        <v>45677</v>
      </c>
      <c r="E292" s="13" t="str">
        <f>+HYPERLINK("http://trademark.i-assist.jp/data/china/image_1920th/81241179.pdf","81241179")</f>
        <v>81241179</v>
      </c>
      <c r="F292" s="12" t="s">
        <v>954</v>
      </c>
      <c r="G292" s="12" t="s">
        <v>955</v>
      </c>
      <c r="H292" s="9" t="s">
        <v>956</v>
      </c>
      <c r="I292" s="10">
        <v>45573</v>
      </c>
    </row>
    <row r="293" spans="1:9" x14ac:dyDescent="0.15">
      <c r="A293" s="9">
        <v>292</v>
      </c>
      <c r="B293" s="9" t="s">
        <v>9</v>
      </c>
      <c r="C293" s="9">
        <v>1920</v>
      </c>
      <c r="D293" s="10">
        <v>45677</v>
      </c>
      <c r="E293" s="13" t="str">
        <f>+HYPERLINK("http://trademark.i-assist.jp/data/china/image_1920th/81244161.pdf","81244161")</f>
        <v>81244161</v>
      </c>
      <c r="F293" s="9" t="s">
        <v>957</v>
      </c>
      <c r="G293" s="9" t="s">
        <v>958</v>
      </c>
      <c r="H293" s="9" t="s">
        <v>959</v>
      </c>
      <c r="I293" s="10">
        <v>45573</v>
      </c>
    </row>
    <row r="294" spans="1:9" x14ac:dyDescent="0.15">
      <c r="A294" s="9">
        <v>293</v>
      </c>
      <c r="B294" s="9" t="s">
        <v>9</v>
      </c>
      <c r="C294" s="9">
        <v>1920</v>
      </c>
      <c r="D294" s="10">
        <v>45677</v>
      </c>
      <c r="E294" s="13" t="str">
        <f>+HYPERLINK("http://trademark.i-assist.jp/data/china/image_1920th/81244201.pdf","81244201")</f>
        <v>81244201</v>
      </c>
      <c r="F294" s="9" t="s">
        <v>960</v>
      </c>
      <c r="G294" s="9" t="s">
        <v>961</v>
      </c>
      <c r="H294" s="9" t="s">
        <v>962</v>
      </c>
      <c r="I294" s="10">
        <v>45573</v>
      </c>
    </row>
    <row r="295" spans="1:9" x14ac:dyDescent="0.15">
      <c r="A295" s="9">
        <v>294</v>
      </c>
      <c r="B295" s="9" t="s">
        <v>9</v>
      </c>
      <c r="C295" s="9">
        <v>1920</v>
      </c>
      <c r="D295" s="10">
        <v>45677</v>
      </c>
      <c r="E295" s="13" t="str">
        <f>+HYPERLINK("http://trademark.i-assist.jp/data/china/image_1920th/81246126.pdf","81246126")</f>
        <v>81246126</v>
      </c>
      <c r="F295" s="12" t="s">
        <v>963</v>
      </c>
      <c r="G295" s="9" t="s">
        <v>56</v>
      </c>
      <c r="H295" s="12" t="s">
        <v>964</v>
      </c>
      <c r="I295" s="10">
        <v>45573</v>
      </c>
    </row>
    <row r="296" spans="1:9" x14ac:dyDescent="0.15">
      <c r="A296" s="9">
        <v>295</v>
      </c>
      <c r="B296" s="9" t="s">
        <v>9</v>
      </c>
      <c r="C296" s="9">
        <v>1920</v>
      </c>
      <c r="D296" s="10">
        <v>45677</v>
      </c>
      <c r="E296" s="13" t="str">
        <f>+HYPERLINK("http://trademark.i-assist.jp/data/china/image_1920th/81246391.pdf","81246391")</f>
        <v>81246391</v>
      </c>
      <c r="F296" s="9" t="s">
        <v>965</v>
      </c>
      <c r="G296" s="9" t="s">
        <v>966</v>
      </c>
      <c r="H296" s="9" t="s">
        <v>967</v>
      </c>
      <c r="I296" s="10">
        <v>45573</v>
      </c>
    </row>
    <row r="297" spans="1:9" x14ac:dyDescent="0.15">
      <c r="A297" s="9">
        <v>296</v>
      </c>
      <c r="B297" s="9" t="s">
        <v>9</v>
      </c>
      <c r="C297" s="9">
        <v>1920</v>
      </c>
      <c r="D297" s="10">
        <v>45677</v>
      </c>
      <c r="E297" s="13" t="str">
        <f>+HYPERLINK("http://trademark.i-assist.jp/data/china/image_1920th/81248436.pdf","81248436")</f>
        <v>81248436</v>
      </c>
      <c r="F297" s="9" t="s">
        <v>968</v>
      </c>
      <c r="G297" s="9" t="s">
        <v>140</v>
      </c>
      <c r="H297" s="9" t="s">
        <v>969</v>
      </c>
      <c r="I297" s="10">
        <v>45573</v>
      </c>
    </row>
    <row r="298" spans="1:9" x14ac:dyDescent="0.15">
      <c r="A298" s="9">
        <v>297</v>
      </c>
      <c r="B298" s="9" t="s">
        <v>9</v>
      </c>
      <c r="C298" s="9">
        <v>1920</v>
      </c>
      <c r="D298" s="10">
        <v>45677</v>
      </c>
      <c r="E298" s="13" t="str">
        <f>+HYPERLINK("http://trademark.i-assist.jp/data/china/image_1920th/81248528.pdf","81248528")</f>
        <v>81248528</v>
      </c>
      <c r="F298" s="9" t="s">
        <v>970</v>
      </c>
      <c r="G298" s="9" t="s">
        <v>971</v>
      </c>
      <c r="H298" s="9" t="s">
        <v>972</v>
      </c>
      <c r="I298" s="10">
        <v>45573</v>
      </c>
    </row>
    <row r="299" spans="1:9" x14ac:dyDescent="0.15">
      <c r="A299" s="9">
        <v>298</v>
      </c>
      <c r="B299" s="9" t="s">
        <v>9</v>
      </c>
      <c r="C299" s="9">
        <v>1920</v>
      </c>
      <c r="D299" s="10">
        <v>45677</v>
      </c>
      <c r="E299" s="13" t="str">
        <f>+HYPERLINK("http://trademark.i-assist.jp/data/china/image_1920th/81248605.pdf","81248605")</f>
        <v>81248605</v>
      </c>
      <c r="F299" s="12" t="s">
        <v>973</v>
      </c>
      <c r="G299" s="9" t="s">
        <v>974</v>
      </c>
      <c r="H299" s="12" t="s">
        <v>975</v>
      </c>
      <c r="I299" s="10">
        <v>45573</v>
      </c>
    </row>
    <row r="300" spans="1:9" x14ac:dyDescent="0.15">
      <c r="A300" s="9">
        <v>299</v>
      </c>
      <c r="B300" s="9" t="s">
        <v>9</v>
      </c>
      <c r="C300" s="9">
        <v>1920</v>
      </c>
      <c r="D300" s="10">
        <v>45677</v>
      </c>
      <c r="E300" s="13" t="str">
        <f>+HYPERLINK("http://trademark.i-assist.jp/data/china/image_1920th/81249002.pdf","81249002")</f>
        <v>81249002</v>
      </c>
      <c r="F300" s="12" t="s">
        <v>976</v>
      </c>
      <c r="G300" s="9" t="s">
        <v>977</v>
      </c>
      <c r="H300" s="9" t="s">
        <v>978</v>
      </c>
      <c r="I300" s="10">
        <v>45573</v>
      </c>
    </row>
    <row r="301" spans="1:9" x14ac:dyDescent="0.15">
      <c r="A301" s="9">
        <v>300</v>
      </c>
      <c r="B301" s="9" t="s">
        <v>9</v>
      </c>
      <c r="C301" s="9">
        <v>1920</v>
      </c>
      <c r="D301" s="10">
        <v>45677</v>
      </c>
      <c r="E301" s="13" t="str">
        <f>+HYPERLINK("http://trademark.i-assist.jp/data/china/image_1920th/81249205.pdf","81249205")</f>
        <v>81249205</v>
      </c>
      <c r="F301" s="9" t="s">
        <v>979</v>
      </c>
      <c r="G301" s="12" t="s">
        <v>980</v>
      </c>
      <c r="H301" s="9" t="s">
        <v>981</v>
      </c>
      <c r="I301" s="10">
        <v>45573</v>
      </c>
    </row>
    <row r="302" spans="1:9" x14ac:dyDescent="0.15">
      <c r="A302" s="9">
        <v>301</v>
      </c>
      <c r="B302" s="9" t="s">
        <v>9</v>
      </c>
      <c r="C302" s="9">
        <v>1920</v>
      </c>
      <c r="D302" s="10">
        <v>45677</v>
      </c>
      <c r="E302" s="13" t="str">
        <f>+HYPERLINK("http://trademark.i-assist.jp/data/china/image_1920th/81249820.pdf","81249820")</f>
        <v>81249820</v>
      </c>
      <c r="F302" s="9" t="s">
        <v>982</v>
      </c>
      <c r="G302" s="9" t="s">
        <v>983</v>
      </c>
      <c r="H302" s="9" t="s">
        <v>984</v>
      </c>
      <c r="I302" s="10">
        <v>45573</v>
      </c>
    </row>
    <row r="303" spans="1:9" x14ac:dyDescent="0.15">
      <c r="A303" s="9">
        <v>302</v>
      </c>
      <c r="B303" s="9" t="s">
        <v>9</v>
      </c>
      <c r="C303" s="9">
        <v>1920</v>
      </c>
      <c r="D303" s="10">
        <v>45677</v>
      </c>
      <c r="E303" s="13" t="str">
        <f>+HYPERLINK("http://trademark.i-assist.jp/data/china/image_1920th/81250362.pdf","81250362")</f>
        <v>81250362</v>
      </c>
      <c r="F303" s="9" t="s">
        <v>985</v>
      </c>
      <c r="G303" s="9" t="s">
        <v>986</v>
      </c>
      <c r="H303" s="9" t="s">
        <v>987</v>
      </c>
      <c r="I303" s="10">
        <v>45573</v>
      </c>
    </row>
    <row r="304" spans="1:9" x14ac:dyDescent="0.15">
      <c r="A304" s="9">
        <v>303</v>
      </c>
      <c r="B304" s="9" t="s">
        <v>9</v>
      </c>
      <c r="C304" s="9">
        <v>1920</v>
      </c>
      <c r="D304" s="10">
        <v>45677</v>
      </c>
      <c r="E304" s="13" t="str">
        <f>+HYPERLINK("http://trademark.i-assist.jp/data/china/image_1920th/81251331.pdf","81251331")</f>
        <v>81251331</v>
      </c>
      <c r="F304" s="9" t="s">
        <v>988</v>
      </c>
      <c r="G304" s="9" t="s">
        <v>989</v>
      </c>
      <c r="H304" s="9" t="s">
        <v>990</v>
      </c>
      <c r="I304" s="10">
        <v>45574</v>
      </c>
    </row>
    <row r="305" spans="1:9" x14ac:dyDescent="0.15">
      <c r="A305" s="9">
        <v>304</v>
      </c>
      <c r="B305" s="9" t="s">
        <v>9</v>
      </c>
      <c r="C305" s="9">
        <v>1920</v>
      </c>
      <c r="D305" s="10">
        <v>45677</v>
      </c>
      <c r="E305" s="13" t="str">
        <f>+HYPERLINK("http://trademark.i-assist.jp/data/china/image_1920th/81251704.pdf","81251704")</f>
        <v>81251704</v>
      </c>
      <c r="F305" s="9" t="s">
        <v>991</v>
      </c>
      <c r="G305" s="9" t="s">
        <v>992</v>
      </c>
      <c r="H305" s="9" t="s">
        <v>993</v>
      </c>
      <c r="I305" s="10">
        <v>45574</v>
      </c>
    </row>
    <row r="306" spans="1:9" x14ac:dyDescent="0.15">
      <c r="A306" s="9">
        <v>305</v>
      </c>
      <c r="B306" s="9" t="s">
        <v>9</v>
      </c>
      <c r="C306" s="9">
        <v>1920</v>
      </c>
      <c r="D306" s="10">
        <v>45677</v>
      </c>
      <c r="E306" s="13" t="str">
        <f>+HYPERLINK("http://trademark.i-assist.jp/data/china/image_1920th/81253180.pdf","81253180")</f>
        <v>81253180</v>
      </c>
      <c r="F306" s="11" t="s">
        <v>994</v>
      </c>
      <c r="G306" s="9" t="s">
        <v>995</v>
      </c>
      <c r="H306" s="9" t="s">
        <v>996</v>
      </c>
      <c r="I306" s="10">
        <v>45574</v>
      </c>
    </row>
    <row r="307" spans="1:9" x14ac:dyDescent="0.15">
      <c r="A307" s="9">
        <v>306</v>
      </c>
      <c r="B307" s="9" t="s">
        <v>9</v>
      </c>
      <c r="C307" s="9">
        <v>1920</v>
      </c>
      <c r="D307" s="10">
        <v>45677</v>
      </c>
      <c r="E307" s="13" t="str">
        <f>+HYPERLINK("http://trademark.i-assist.jp/data/china/image_1920th/81253722.pdf","81253722")</f>
        <v>81253722</v>
      </c>
      <c r="F307" s="12" t="s">
        <v>997</v>
      </c>
      <c r="G307" s="9" t="s">
        <v>998</v>
      </c>
      <c r="H307" s="9" t="s">
        <v>999</v>
      </c>
      <c r="I307" s="10">
        <v>45574</v>
      </c>
    </row>
    <row r="308" spans="1:9" x14ac:dyDescent="0.15">
      <c r="A308" s="9">
        <v>307</v>
      </c>
      <c r="B308" s="9" t="s">
        <v>9</v>
      </c>
      <c r="C308" s="9">
        <v>1920</v>
      </c>
      <c r="D308" s="10">
        <v>45677</v>
      </c>
      <c r="E308" s="13" t="str">
        <f>+HYPERLINK("http://trademark.i-assist.jp/data/china/image_1920th/81254447.pdf","81254447")</f>
        <v>81254447</v>
      </c>
      <c r="F308" s="9" t="s">
        <v>1000</v>
      </c>
      <c r="G308" s="9" t="s">
        <v>1001</v>
      </c>
      <c r="H308" s="9" t="s">
        <v>1002</v>
      </c>
      <c r="I308" s="10">
        <v>45574</v>
      </c>
    </row>
    <row r="309" spans="1:9" x14ac:dyDescent="0.15">
      <c r="A309" s="9">
        <v>308</v>
      </c>
      <c r="B309" s="9" t="s">
        <v>9</v>
      </c>
      <c r="C309" s="9">
        <v>1920</v>
      </c>
      <c r="D309" s="10">
        <v>45677</v>
      </c>
      <c r="E309" s="13" t="str">
        <f>+HYPERLINK("http://trademark.i-assist.jp/data/china/image_1920th/81255336.pdf","81255336")</f>
        <v>81255336</v>
      </c>
      <c r="F309" s="9" t="s">
        <v>1003</v>
      </c>
      <c r="G309" s="9" t="s">
        <v>1004</v>
      </c>
      <c r="H309" s="9" t="s">
        <v>1005</v>
      </c>
      <c r="I309" s="10">
        <v>45574</v>
      </c>
    </row>
    <row r="310" spans="1:9" x14ac:dyDescent="0.15">
      <c r="A310" s="9">
        <v>309</v>
      </c>
      <c r="B310" s="9" t="s">
        <v>9</v>
      </c>
      <c r="C310" s="9">
        <v>1920</v>
      </c>
      <c r="D310" s="10">
        <v>45677</v>
      </c>
      <c r="E310" s="13" t="str">
        <f>+HYPERLINK("http://trademark.i-assist.jp/data/china/image_1920th/81255383.pdf","81255383")</f>
        <v>81255383</v>
      </c>
      <c r="F310" s="9" t="s">
        <v>1006</v>
      </c>
      <c r="G310" s="9" t="s">
        <v>1007</v>
      </c>
      <c r="H310" s="9" t="s">
        <v>1008</v>
      </c>
      <c r="I310" s="10">
        <v>45574</v>
      </c>
    </row>
    <row r="311" spans="1:9" x14ac:dyDescent="0.15">
      <c r="A311" s="9">
        <v>310</v>
      </c>
      <c r="B311" s="9" t="s">
        <v>9</v>
      </c>
      <c r="C311" s="9">
        <v>1920</v>
      </c>
      <c r="D311" s="10">
        <v>45677</v>
      </c>
      <c r="E311" s="13" t="str">
        <f>+HYPERLINK("http://trademark.i-assist.jp/data/china/image_1920th/81256130.pdf","81256130")</f>
        <v>81256130</v>
      </c>
      <c r="F311" s="9" t="s">
        <v>1009</v>
      </c>
      <c r="G311" s="12" t="s">
        <v>1010</v>
      </c>
      <c r="H311" s="9" t="s">
        <v>1011</v>
      </c>
      <c r="I311" s="10">
        <v>45574</v>
      </c>
    </row>
    <row r="312" spans="1:9" x14ac:dyDescent="0.15">
      <c r="A312" s="9">
        <v>311</v>
      </c>
      <c r="B312" s="9" t="s">
        <v>9</v>
      </c>
      <c r="C312" s="9">
        <v>1920</v>
      </c>
      <c r="D312" s="10">
        <v>45677</v>
      </c>
      <c r="E312" s="13" t="str">
        <f>+HYPERLINK("http://trademark.i-assist.jp/data/china/image_1920th/81256138.pdf","81256138")</f>
        <v>81256138</v>
      </c>
      <c r="F312" s="9" t="s">
        <v>1012</v>
      </c>
      <c r="G312" s="12" t="s">
        <v>1010</v>
      </c>
      <c r="H312" s="9" t="s">
        <v>1013</v>
      </c>
      <c r="I312" s="10">
        <v>45574</v>
      </c>
    </row>
    <row r="313" spans="1:9" x14ac:dyDescent="0.15">
      <c r="A313" s="9">
        <v>312</v>
      </c>
      <c r="B313" s="9" t="s">
        <v>9</v>
      </c>
      <c r="C313" s="9">
        <v>1920</v>
      </c>
      <c r="D313" s="10">
        <v>45677</v>
      </c>
      <c r="E313" s="13" t="str">
        <f>+HYPERLINK("http://trademark.i-assist.jp/data/china/image_1920th/81256768.pdf","81256768")</f>
        <v>81256768</v>
      </c>
      <c r="F313" s="9" t="s">
        <v>1014</v>
      </c>
      <c r="G313" s="9" t="s">
        <v>1015</v>
      </c>
      <c r="H313" s="9" t="s">
        <v>1016</v>
      </c>
      <c r="I313" s="10">
        <v>45574</v>
      </c>
    </row>
    <row r="314" spans="1:9" x14ac:dyDescent="0.15">
      <c r="A314" s="9">
        <v>313</v>
      </c>
      <c r="B314" s="9" t="s">
        <v>9</v>
      </c>
      <c r="C314" s="9">
        <v>1920</v>
      </c>
      <c r="D314" s="10">
        <v>45677</v>
      </c>
      <c r="E314" s="13" t="str">
        <f>+HYPERLINK("http://trademark.i-assist.jp/data/china/image_1920th/81256813.pdf","81256813")</f>
        <v>81256813</v>
      </c>
      <c r="F314" s="9" t="s">
        <v>1017</v>
      </c>
      <c r="G314" s="9" t="s">
        <v>1018</v>
      </c>
      <c r="H314" s="9" t="s">
        <v>1019</v>
      </c>
      <c r="I314" s="10">
        <v>45574</v>
      </c>
    </row>
    <row r="315" spans="1:9" x14ac:dyDescent="0.15">
      <c r="A315" s="9">
        <v>314</v>
      </c>
      <c r="B315" s="9" t="s">
        <v>9</v>
      </c>
      <c r="C315" s="9">
        <v>1920</v>
      </c>
      <c r="D315" s="10">
        <v>45677</v>
      </c>
      <c r="E315" s="13" t="str">
        <f>+HYPERLINK("http://trademark.i-assist.jp/data/china/image_1920th/81259180.pdf","81259180")</f>
        <v>81259180</v>
      </c>
      <c r="F315" s="9" t="s">
        <v>1020</v>
      </c>
      <c r="G315" s="9" t="s">
        <v>1021</v>
      </c>
      <c r="H315" s="9" t="s">
        <v>1022</v>
      </c>
      <c r="I315" s="10">
        <v>45574</v>
      </c>
    </row>
    <row r="316" spans="1:9" x14ac:dyDescent="0.15">
      <c r="A316" s="9">
        <v>315</v>
      </c>
      <c r="B316" s="9" t="s">
        <v>9</v>
      </c>
      <c r="C316" s="9">
        <v>1920</v>
      </c>
      <c r="D316" s="10">
        <v>45677</v>
      </c>
      <c r="E316" s="13" t="str">
        <f>+HYPERLINK("http://trademark.i-assist.jp/data/china/image_1920th/81259240.pdf","81259240")</f>
        <v>81259240</v>
      </c>
      <c r="F316" s="9" t="s">
        <v>1023</v>
      </c>
      <c r="G316" s="12" t="s">
        <v>1024</v>
      </c>
      <c r="H316" s="9" t="s">
        <v>1025</v>
      </c>
      <c r="I316" s="10">
        <v>45574</v>
      </c>
    </row>
    <row r="317" spans="1:9" x14ac:dyDescent="0.15">
      <c r="A317" s="9">
        <v>316</v>
      </c>
      <c r="B317" s="9" t="s">
        <v>9</v>
      </c>
      <c r="C317" s="9">
        <v>1920</v>
      </c>
      <c r="D317" s="10">
        <v>45677</v>
      </c>
      <c r="E317" s="13" t="str">
        <f>+HYPERLINK("http://trademark.i-assist.jp/data/china/image_1920th/81259682.pdf","81259682")</f>
        <v>81259682</v>
      </c>
      <c r="F317" s="9" t="s">
        <v>1026</v>
      </c>
      <c r="G317" s="9" t="s">
        <v>1027</v>
      </c>
      <c r="H317" s="9" t="s">
        <v>1028</v>
      </c>
      <c r="I317" s="10">
        <v>45574</v>
      </c>
    </row>
    <row r="318" spans="1:9" x14ac:dyDescent="0.15">
      <c r="A318" s="9">
        <v>317</v>
      </c>
      <c r="B318" s="9" t="s">
        <v>9</v>
      </c>
      <c r="C318" s="9">
        <v>1920</v>
      </c>
      <c r="D318" s="10">
        <v>45677</v>
      </c>
      <c r="E318" s="13" t="str">
        <f>+HYPERLINK("http://trademark.i-assist.jp/data/china/image_1920th/81259815.pdf","81259815")</f>
        <v>81259815</v>
      </c>
      <c r="F318" s="9" t="s">
        <v>1029</v>
      </c>
      <c r="G318" s="12" t="s">
        <v>50</v>
      </c>
      <c r="H318" s="9" t="s">
        <v>1030</v>
      </c>
      <c r="I318" s="10">
        <v>45574</v>
      </c>
    </row>
    <row r="319" spans="1:9" x14ac:dyDescent="0.15">
      <c r="A319" s="9">
        <v>318</v>
      </c>
      <c r="B319" s="9" t="s">
        <v>9</v>
      </c>
      <c r="C319" s="9">
        <v>1920</v>
      </c>
      <c r="D319" s="10">
        <v>45677</v>
      </c>
      <c r="E319" s="13" t="str">
        <f>+HYPERLINK("http://trademark.i-assist.jp/data/china/image_1920th/81260808.pdf","81260808")</f>
        <v>81260808</v>
      </c>
      <c r="F319" s="12" t="s">
        <v>1031</v>
      </c>
      <c r="G319" s="12" t="s">
        <v>1032</v>
      </c>
      <c r="H319" s="9" t="s">
        <v>1033</v>
      </c>
      <c r="I319" s="10">
        <v>45574</v>
      </c>
    </row>
    <row r="320" spans="1:9" x14ac:dyDescent="0.15">
      <c r="A320" s="9">
        <v>319</v>
      </c>
      <c r="B320" s="9" t="s">
        <v>9</v>
      </c>
      <c r="C320" s="9">
        <v>1920</v>
      </c>
      <c r="D320" s="10">
        <v>45677</v>
      </c>
      <c r="E320" s="13" t="str">
        <f>+HYPERLINK("http://trademark.i-assist.jp/data/china/image_1920th/81261743.pdf","81261743")</f>
        <v>81261743</v>
      </c>
      <c r="F320" s="12" t="s">
        <v>1034</v>
      </c>
      <c r="G320" s="9" t="s">
        <v>1035</v>
      </c>
      <c r="H320" s="9" t="s">
        <v>1036</v>
      </c>
      <c r="I320" s="10">
        <v>45574</v>
      </c>
    </row>
    <row r="321" spans="1:9" x14ac:dyDescent="0.15">
      <c r="A321" s="9">
        <v>320</v>
      </c>
      <c r="B321" s="9" t="s">
        <v>9</v>
      </c>
      <c r="C321" s="9">
        <v>1920</v>
      </c>
      <c r="D321" s="10">
        <v>45677</v>
      </c>
      <c r="E321" s="13" t="str">
        <f>+HYPERLINK("http://trademark.i-assist.jp/data/china/image_1920th/81262188.pdf","81262188")</f>
        <v>81262188</v>
      </c>
      <c r="F321" s="9" t="s">
        <v>1037</v>
      </c>
      <c r="G321" s="12" t="s">
        <v>1038</v>
      </c>
      <c r="H321" s="9" t="s">
        <v>1039</v>
      </c>
      <c r="I321" s="10">
        <v>45574</v>
      </c>
    </row>
    <row r="322" spans="1:9" x14ac:dyDescent="0.15">
      <c r="A322" s="9">
        <v>321</v>
      </c>
      <c r="B322" s="9" t="s">
        <v>9</v>
      </c>
      <c r="C322" s="9">
        <v>1920</v>
      </c>
      <c r="D322" s="10">
        <v>45677</v>
      </c>
      <c r="E322" s="13" t="str">
        <f>+HYPERLINK("http://trademark.i-assist.jp/data/china/image_1920th/81262871.pdf","81262871")</f>
        <v>81262871</v>
      </c>
      <c r="F322" s="11" t="s">
        <v>1040</v>
      </c>
      <c r="G322" s="9" t="s">
        <v>20</v>
      </c>
      <c r="H322" s="9" t="s">
        <v>1041</v>
      </c>
      <c r="I322" s="10">
        <v>45574</v>
      </c>
    </row>
    <row r="323" spans="1:9" x14ac:dyDescent="0.15">
      <c r="A323" s="9">
        <v>322</v>
      </c>
      <c r="B323" s="9" t="s">
        <v>9</v>
      </c>
      <c r="C323" s="9">
        <v>1920</v>
      </c>
      <c r="D323" s="10">
        <v>45677</v>
      </c>
      <c r="E323" s="13" t="str">
        <f>+HYPERLINK("http://trademark.i-assist.jp/data/china/image_1920th/81263331.pdf","81263331")</f>
        <v>81263331</v>
      </c>
      <c r="F323" s="12" t="s">
        <v>1042</v>
      </c>
      <c r="G323" s="9" t="s">
        <v>52</v>
      </c>
      <c r="H323" s="9" t="s">
        <v>1043</v>
      </c>
      <c r="I323" s="10">
        <v>45574</v>
      </c>
    </row>
    <row r="324" spans="1:9" x14ac:dyDescent="0.15">
      <c r="A324" s="9">
        <v>323</v>
      </c>
      <c r="B324" s="9" t="s">
        <v>9</v>
      </c>
      <c r="C324" s="9">
        <v>1920</v>
      </c>
      <c r="D324" s="10">
        <v>45677</v>
      </c>
      <c r="E324" s="13" t="str">
        <f>+HYPERLINK("http://trademark.i-assist.jp/data/china/image_1920th/81264302.pdf","81264302")</f>
        <v>81264302</v>
      </c>
      <c r="F324" s="9" t="s">
        <v>1044</v>
      </c>
      <c r="G324" s="9" t="s">
        <v>13</v>
      </c>
      <c r="H324" s="9" t="s">
        <v>1045</v>
      </c>
      <c r="I324" s="10">
        <v>45574</v>
      </c>
    </row>
    <row r="325" spans="1:9" x14ac:dyDescent="0.15">
      <c r="A325" s="9">
        <v>324</v>
      </c>
      <c r="B325" s="9" t="s">
        <v>9</v>
      </c>
      <c r="C325" s="9">
        <v>1920</v>
      </c>
      <c r="D325" s="10">
        <v>45677</v>
      </c>
      <c r="E325" s="13" t="str">
        <f>+HYPERLINK("http://trademark.i-assist.jp/data/china/image_1920th/81264579.pdf","81264579")</f>
        <v>81264579</v>
      </c>
      <c r="F325" s="9" t="s">
        <v>1046</v>
      </c>
      <c r="G325" s="9" t="s">
        <v>1047</v>
      </c>
      <c r="H325" s="9" t="s">
        <v>1048</v>
      </c>
      <c r="I325" s="10">
        <v>45574</v>
      </c>
    </row>
    <row r="326" spans="1:9" x14ac:dyDescent="0.15">
      <c r="A326" s="9">
        <v>325</v>
      </c>
      <c r="B326" s="9" t="s">
        <v>9</v>
      </c>
      <c r="C326" s="9">
        <v>1920</v>
      </c>
      <c r="D326" s="10">
        <v>45677</v>
      </c>
      <c r="E326" s="13" t="str">
        <f>+HYPERLINK("http://trademark.i-assist.jp/data/china/image_1920th/81264636.pdf","81264636")</f>
        <v>81264636</v>
      </c>
      <c r="F326" s="12" t="s">
        <v>12</v>
      </c>
      <c r="G326" s="9" t="s">
        <v>1049</v>
      </c>
      <c r="H326" s="9" t="s">
        <v>1050</v>
      </c>
      <c r="I326" s="10">
        <v>45574</v>
      </c>
    </row>
    <row r="327" spans="1:9" x14ac:dyDescent="0.15">
      <c r="A327" s="9">
        <v>326</v>
      </c>
      <c r="B327" s="9" t="s">
        <v>9</v>
      </c>
      <c r="C327" s="9">
        <v>1920</v>
      </c>
      <c r="D327" s="10">
        <v>45677</v>
      </c>
      <c r="E327" s="13" t="str">
        <f>+HYPERLINK("http://trademark.i-assist.jp/data/china/image_1920th/81265676.pdf","81265676")</f>
        <v>81265676</v>
      </c>
      <c r="F327" s="9" t="s">
        <v>1051</v>
      </c>
      <c r="G327" s="9" t="s">
        <v>55</v>
      </c>
      <c r="H327" s="9" t="s">
        <v>1052</v>
      </c>
      <c r="I327" s="10">
        <v>45574</v>
      </c>
    </row>
    <row r="328" spans="1:9" x14ac:dyDescent="0.15">
      <c r="A328" s="9">
        <v>327</v>
      </c>
      <c r="B328" s="9" t="s">
        <v>9</v>
      </c>
      <c r="C328" s="9">
        <v>1920</v>
      </c>
      <c r="D328" s="10">
        <v>45677</v>
      </c>
      <c r="E328" s="13" t="str">
        <f>+HYPERLINK("http://trademark.i-assist.jp/data/china/image_1920th/81265729.pdf","81265729")</f>
        <v>81265729</v>
      </c>
      <c r="F328" s="9" t="s">
        <v>1053</v>
      </c>
      <c r="G328" s="12" t="s">
        <v>1054</v>
      </c>
      <c r="H328" s="9" t="s">
        <v>1055</v>
      </c>
      <c r="I328" s="10">
        <v>45574</v>
      </c>
    </row>
    <row r="329" spans="1:9" x14ac:dyDescent="0.15">
      <c r="A329" s="9">
        <v>328</v>
      </c>
      <c r="B329" s="9" t="s">
        <v>9</v>
      </c>
      <c r="C329" s="9">
        <v>1920</v>
      </c>
      <c r="D329" s="10">
        <v>45677</v>
      </c>
      <c r="E329" s="13" t="str">
        <f>+HYPERLINK("http://trademark.i-assist.jp/data/china/image_1920th/81266098.pdf","81266098")</f>
        <v>81266098</v>
      </c>
      <c r="F329" s="9" t="s">
        <v>1056</v>
      </c>
      <c r="G329" s="9" t="s">
        <v>1057</v>
      </c>
      <c r="H329" s="9" t="s">
        <v>1058</v>
      </c>
      <c r="I329" s="10">
        <v>45574</v>
      </c>
    </row>
    <row r="330" spans="1:9" x14ac:dyDescent="0.15">
      <c r="A330" s="9">
        <v>329</v>
      </c>
      <c r="B330" s="9" t="s">
        <v>9</v>
      </c>
      <c r="C330" s="9">
        <v>1920</v>
      </c>
      <c r="D330" s="10">
        <v>45677</v>
      </c>
      <c r="E330" s="13" t="str">
        <f>+HYPERLINK("http://trademark.i-assist.jp/data/china/image_1920th/81266947.pdf","81266947")</f>
        <v>81266947</v>
      </c>
      <c r="F330" s="12" t="s">
        <v>1059</v>
      </c>
      <c r="G330" s="9" t="s">
        <v>1060</v>
      </c>
      <c r="H330" s="9" t="s">
        <v>1061</v>
      </c>
      <c r="I330" s="10">
        <v>45574</v>
      </c>
    </row>
    <row r="331" spans="1:9" x14ac:dyDescent="0.15">
      <c r="A331" s="9">
        <v>330</v>
      </c>
      <c r="B331" s="9" t="s">
        <v>9</v>
      </c>
      <c r="C331" s="9">
        <v>1920</v>
      </c>
      <c r="D331" s="10">
        <v>45677</v>
      </c>
      <c r="E331" s="13" t="str">
        <f>+HYPERLINK("http://trademark.i-assist.jp/data/china/image_1920th/81267867.pdf","81267867")</f>
        <v>81267867</v>
      </c>
      <c r="F331" s="9" t="s">
        <v>1062</v>
      </c>
      <c r="G331" s="12" t="s">
        <v>50</v>
      </c>
      <c r="H331" s="9" t="s">
        <v>1063</v>
      </c>
      <c r="I331" s="10">
        <v>45574</v>
      </c>
    </row>
    <row r="332" spans="1:9" x14ac:dyDescent="0.15">
      <c r="A332" s="9">
        <v>331</v>
      </c>
      <c r="B332" s="9" t="s">
        <v>9</v>
      </c>
      <c r="C332" s="9">
        <v>1920</v>
      </c>
      <c r="D332" s="10">
        <v>45677</v>
      </c>
      <c r="E332" s="13" t="str">
        <f>+HYPERLINK("http://trademark.i-assist.jp/data/china/image_1920th/81269012.pdf","81269012")</f>
        <v>81269012</v>
      </c>
      <c r="F332" s="12" t="s">
        <v>1064</v>
      </c>
      <c r="G332" s="9" t="s">
        <v>1065</v>
      </c>
      <c r="H332" s="9" t="s">
        <v>1066</v>
      </c>
      <c r="I332" s="10">
        <v>45574</v>
      </c>
    </row>
    <row r="333" spans="1:9" x14ac:dyDescent="0.15">
      <c r="A333" s="9">
        <v>332</v>
      </c>
      <c r="B333" s="9" t="s">
        <v>9</v>
      </c>
      <c r="C333" s="9">
        <v>1920</v>
      </c>
      <c r="D333" s="10">
        <v>45677</v>
      </c>
      <c r="E333" s="13" t="str">
        <f>+HYPERLINK("http://trademark.i-assist.jp/data/china/image_1920th/81269139.pdf","81269139")</f>
        <v>81269139</v>
      </c>
      <c r="F333" s="12" t="s">
        <v>1067</v>
      </c>
      <c r="G333" s="12" t="s">
        <v>1068</v>
      </c>
      <c r="H333" s="9" t="s">
        <v>1069</v>
      </c>
      <c r="I333" s="10">
        <v>45574</v>
      </c>
    </row>
    <row r="334" spans="1:9" x14ac:dyDescent="0.15">
      <c r="A334" s="9">
        <v>333</v>
      </c>
      <c r="B334" s="9" t="s">
        <v>9</v>
      </c>
      <c r="C334" s="9">
        <v>1920</v>
      </c>
      <c r="D334" s="10">
        <v>45677</v>
      </c>
      <c r="E334" s="13" t="str">
        <f>+HYPERLINK("http://trademark.i-assist.jp/data/china/image_1920th/81269321.pdf","81269321")</f>
        <v>81269321</v>
      </c>
      <c r="F334" s="9" t="s">
        <v>1070</v>
      </c>
      <c r="G334" s="9" t="s">
        <v>1071</v>
      </c>
      <c r="H334" s="9" t="s">
        <v>1072</v>
      </c>
      <c r="I334" s="10">
        <v>45574</v>
      </c>
    </row>
    <row r="335" spans="1:9" x14ac:dyDescent="0.15">
      <c r="A335" s="9">
        <v>334</v>
      </c>
      <c r="B335" s="9" t="s">
        <v>9</v>
      </c>
      <c r="C335" s="9">
        <v>1920</v>
      </c>
      <c r="D335" s="10">
        <v>45677</v>
      </c>
      <c r="E335" s="13" t="str">
        <f>+HYPERLINK("http://trademark.i-assist.jp/data/china/image_1920th/81269334.pdf","81269334")</f>
        <v>81269334</v>
      </c>
      <c r="F335" s="9" t="s">
        <v>1073</v>
      </c>
      <c r="G335" s="9" t="s">
        <v>1074</v>
      </c>
      <c r="H335" s="12" t="s">
        <v>1075</v>
      </c>
      <c r="I335" s="10">
        <v>45574</v>
      </c>
    </row>
    <row r="336" spans="1:9" x14ac:dyDescent="0.15">
      <c r="A336" s="9">
        <v>335</v>
      </c>
      <c r="B336" s="9" t="s">
        <v>9</v>
      </c>
      <c r="C336" s="9">
        <v>1920</v>
      </c>
      <c r="D336" s="10">
        <v>45677</v>
      </c>
      <c r="E336" s="13" t="str">
        <f>+HYPERLINK("http://trademark.i-assist.jp/data/china/image_1920th/81269342.pdf","81269342")</f>
        <v>81269342</v>
      </c>
      <c r="F336" s="12" t="s">
        <v>1076</v>
      </c>
      <c r="G336" s="9" t="s">
        <v>1077</v>
      </c>
      <c r="H336" s="12" t="s">
        <v>1078</v>
      </c>
      <c r="I336" s="10">
        <v>45574</v>
      </c>
    </row>
    <row r="337" spans="1:9" x14ac:dyDescent="0.15">
      <c r="A337" s="9">
        <v>336</v>
      </c>
      <c r="B337" s="9" t="s">
        <v>9</v>
      </c>
      <c r="C337" s="9">
        <v>1920</v>
      </c>
      <c r="D337" s="10">
        <v>45677</v>
      </c>
      <c r="E337" s="13" t="str">
        <f>+HYPERLINK("http://trademark.i-assist.jp/data/china/image_1920th/81269487.pdf","81269487")</f>
        <v>81269487</v>
      </c>
      <c r="F337" s="9" t="s">
        <v>1079</v>
      </c>
      <c r="G337" s="9" t="s">
        <v>1080</v>
      </c>
      <c r="H337" s="9" t="s">
        <v>1081</v>
      </c>
      <c r="I337" s="10">
        <v>45574</v>
      </c>
    </row>
    <row r="338" spans="1:9" x14ac:dyDescent="0.15">
      <c r="A338" s="9">
        <v>337</v>
      </c>
      <c r="B338" s="9" t="s">
        <v>9</v>
      </c>
      <c r="C338" s="9">
        <v>1920</v>
      </c>
      <c r="D338" s="10">
        <v>45677</v>
      </c>
      <c r="E338" s="13" t="str">
        <f>+HYPERLINK("http://trademark.i-assist.jp/data/china/image_1920th/81270663.pdf","81270663")</f>
        <v>81270663</v>
      </c>
      <c r="F338" s="9" t="s">
        <v>1082</v>
      </c>
      <c r="G338" s="12" t="s">
        <v>1083</v>
      </c>
      <c r="H338" s="9" t="s">
        <v>1084</v>
      </c>
      <c r="I338" s="10">
        <v>45574</v>
      </c>
    </row>
    <row r="339" spans="1:9" x14ac:dyDescent="0.15">
      <c r="A339" s="9">
        <v>338</v>
      </c>
      <c r="B339" s="9" t="s">
        <v>9</v>
      </c>
      <c r="C339" s="9">
        <v>1920</v>
      </c>
      <c r="D339" s="10">
        <v>45677</v>
      </c>
      <c r="E339" s="13" t="str">
        <f>+HYPERLINK("http://trademark.i-assist.jp/data/china/image_1920th/81272780.pdf","81272780")</f>
        <v>81272780</v>
      </c>
      <c r="F339" s="9" t="s">
        <v>1085</v>
      </c>
      <c r="G339" s="9" t="s">
        <v>1027</v>
      </c>
      <c r="H339" s="12" t="s">
        <v>1086</v>
      </c>
      <c r="I339" s="10">
        <v>45574</v>
      </c>
    </row>
    <row r="340" spans="1:9" x14ac:dyDescent="0.15">
      <c r="A340" s="9">
        <v>339</v>
      </c>
      <c r="B340" s="9" t="s">
        <v>9</v>
      </c>
      <c r="C340" s="9">
        <v>1920</v>
      </c>
      <c r="D340" s="10">
        <v>45677</v>
      </c>
      <c r="E340" s="13" t="str">
        <f>+HYPERLINK("http://trademark.i-assist.jp/data/china/image_1920th/81272894.pdf","81272894")</f>
        <v>81272894</v>
      </c>
      <c r="F340" s="9" t="s">
        <v>1087</v>
      </c>
      <c r="G340" s="9" t="s">
        <v>20</v>
      </c>
      <c r="H340" s="9" t="s">
        <v>1088</v>
      </c>
      <c r="I340" s="10">
        <v>45574</v>
      </c>
    </row>
    <row r="341" spans="1:9" x14ac:dyDescent="0.15">
      <c r="A341" s="9">
        <v>340</v>
      </c>
      <c r="B341" s="9" t="s">
        <v>9</v>
      </c>
      <c r="C341" s="9">
        <v>1920</v>
      </c>
      <c r="D341" s="10">
        <v>45677</v>
      </c>
      <c r="E341" s="13" t="str">
        <f>+HYPERLINK("http://trademark.i-assist.jp/data/china/image_1920th/81273167.pdf","81273167")</f>
        <v>81273167</v>
      </c>
      <c r="F341" s="9" t="s">
        <v>1089</v>
      </c>
      <c r="G341" s="12" t="s">
        <v>1090</v>
      </c>
      <c r="H341" s="9" t="s">
        <v>1091</v>
      </c>
      <c r="I341" s="10">
        <v>45574</v>
      </c>
    </row>
    <row r="342" spans="1:9" x14ac:dyDescent="0.15">
      <c r="A342" s="9">
        <v>341</v>
      </c>
      <c r="B342" s="9" t="s">
        <v>9</v>
      </c>
      <c r="C342" s="9">
        <v>1920</v>
      </c>
      <c r="D342" s="10">
        <v>45677</v>
      </c>
      <c r="E342" s="13" t="str">
        <f>+HYPERLINK("http://trademark.i-assist.jp/data/china/image_1920th/81273400.pdf","81273400")</f>
        <v>81273400</v>
      </c>
      <c r="F342" s="12" t="s">
        <v>1092</v>
      </c>
      <c r="G342" s="9" t="s">
        <v>1093</v>
      </c>
      <c r="H342" s="12" t="s">
        <v>1094</v>
      </c>
      <c r="I342" s="10">
        <v>45574</v>
      </c>
    </row>
    <row r="343" spans="1:9" x14ac:dyDescent="0.15">
      <c r="A343" s="9">
        <v>342</v>
      </c>
      <c r="B343" s="9" t="s">
        <v>9</v>
      </c>
      <c r="C343" s="9">
        <v>1920</v>
      </c>
      <c r="D343" s="10">
        <v>45677</v>
      </c>
      <c r="E343" s="13" t="str">
        <f>+HYPERLINK("http://trademark.i-assist.jp/data/china/image_1920th/81273999.pdf","81273999")</f>
        <v>81273999</v>
      </c>
      <c r="F343" s="12" t="s">
        <v>1095</v>
      </c>
      <c r="G343" s="9" t="s">
        <v>1096</v>
      </c>
      <c r="H343" s="9" t="s">
        <v>1097</v>
      </c>
      <c r="I343" s="10">
        <v>45574</v>
      </c>
    </row>
    <row r="344" spans="1:9" x14ac:dyDescent="0.15">
      <c r="A344" s="9">
        <v>343</v>
      </c>
      <c r="B344" s="9" t="s">
        <v>9</v>
      </c>
      <c r="C344" s="9">
        <v>1920</v>
      </c>
      <c r="D344" s="10">
        <v>45677</v>
      </c>
      <c r="E344" s="13" t="str">
        <f>+HYPERLINK("http://trademark.i-assist.jp/data/china/image_1920th/81274420.pdf","81274420")</f>
        <v>81274420</v>
      </c>
      <c r="F344" s="12" t="s">
        <v>1098</v>
      </c>
      <c r="G344" s="12" t="s">
        <v>22</v>
      </c>
      <c r="H344" s="9" t="s">
        <v>1099</v>
      </c>
      <c r="I344" s="10">
        <v>45574</v>
      </c>
    </row>
    <row r="345" spans="1:9" x14ac:dyDescent="0.15">
      <c r="A345" s="9">
        <v>344</v>
      </c>
      <c r="B345" s="9" t="s">
        <v>9</v>
      </c>
      <c r="C345" s="9">
        <v>1920</v>
      </c>
      <c r="D345" s="10">
        <v>45677</v>
      </c>
      <c r="E345" s="13" t="str">
        <f>+HYPERLINK("http://trademark.i-assist.jp/data/china/image_1920th/81274741.pdf","81274741")</f>
        <v>81274741</v>
      </c>
      <c r="F345" s="12" t="s">
        <v>1100</v>
      </c>
      <c r="G345" s="9" t="s">
        <v>1007</v>
      </c>
      <c r="H345" s="9" t="s">
        <v>1101</v>
      </c>
      <c r="I345" s="10">
        <v>45574</v>
      </c>
    </row>
    <row r="346" spans="1:9" x14ac:dyDescent="0.15">
      <c r="A346" s="9">
        <v>345</v>
      </c>
      <c r="B346" s="9" t="s">
        <v>9</v>
      </c>
      <c r="C346" s="9">
        <v>1920</v>
      </c>
      <c r="D346" s="10">
        <v>45677</v>
      </c>
      <c r="E346" s="13" t="str">
        <f>+HYPERLINK("http://trademark.i-assist.jp/data/china/image_1920th/81275311.pdf","81275311")</f>
        <v>81275311</v>
      </c>
      <c r="F346" s="9" t="s">
        <v>1102</v>
      </c>
      <c r="G346" s="12" t="s">
        <v>1010</v>
      </c>
      <c r="H346" s="12" t="s">
        <v>1103</v>
      </c>
      <c r="I346" s="10">
        <v>45574</v>
      </c>
    </row>
    <row r="347" spans="1:9" x14ac:dyDescent="0.15">
      <c r="A347" s="9">
        <v>346</v>
      </c>
      <c r="B347" s="9" t="s">
        <v>9</v>
      </c>
      <c r="C347" s="9">
        <v>1920</v>
      </c>
      <c r="D347" s="10">
        <v>45677</v>
      </c>
      <c r="E347" s="13" t="str">
        <f>+HYPERLINK("http://trademark.i-assist.jp/data/china/image_1920th/81280258.pdf","81280258")</f>
        <v>81280258</v>
      </c>
      <c r="F347" s="9" t="s">
        <v>1104</v>
      </c>
      <c r="G347" s="9" t="s">
        <v>1105</v>
      </c>
      <c r="H347" s="9" t="s">
        <v>1106</v>
      </c>
      <c r="I347" s="10">
        <v>45574</v>
      </c>
    </row>
    <row r="348" spans="1:9" x14ac:dyDescent="0.15">
      <c r="A348" s="9">
        <v>347</v>
      </c>
      <c r="B348" s="9" t="s">
        <v>9</v>
      </c>
      <c r="C348" s="9">
        <v>1920</v>
      </c>
      <c r="D348" s="10">
        <v>45677</v>
      </c>
      <c r="E348" s="13" t="str">
        <f>+HYPERLINK("http://trademark.i-assist.jp/data/china/image_1920th/81280420.pdf","81280420")</f>
        <v>81280420</v>
      </c>
      <c r="F348" s="12" t="s">
        <v>1107</v>
      </c>
      <c r="G348" s="9" t="s">
        <v>1108</v>
      </c>
      <c r="H348" s="9" t="s">
        <v>1109</v>
      </c>
      <c r="I348" s="10">
        <v>45574</v>
      </c>
    </row>
    <row r="349" spans="1:9" x14ac:dyDescent="0.15">
      <c r="A349" s="9">
        <v>348</v>
      </c>
      <c r="B349" s="9" t="s">
        <v>9</v>
      </c>
      <c r="C349" s="9">
        <v>1920</v>
      </c>
      <c r="D349" s="10">
        <v>45677</v>
      </c>
      <c r="E349" s="13" t="str">
        <f>+HYPERLINK("http://trademark.i-assist.jp/data/china/image_1920th/81281060.pdf","81281060")</f>
        <v>81281060</v>
      </c>
      <c r="F349" s="9" t="s">
        <v>1110</v>
      </c>
      <c r="G349" s="12" t="s">
        <v>23</v>
      </c>
      <c r="H349" s="9" t="s">
        <v>1111</v>
      </c>
      <c r="I349" s="10">
        <v>45574</v>
      </c>
    </row>
    <row r="350" spans="1:9" x14ac:dyDescent="0.15">
      <c r="A350" s="9">
        <v>349</v>
      </c>
      <c r="B350" s="9" t="s">
        <v>9</v>
      </c>
      <c r="C350" s="9">
        <v>1920</v>
      </c>
      <c r="D350" s="10">
        <v>45677</v>
      </c>
      <c r="E350" s="13" t="str">
        <f>+HYPERLINK("http://trademark.i-assist.jp/data/china/image_1920th/81281486.pdf","81281486")</f>
        <v>81281486</v>
      </c>
      <c r="F350" s="9" t="s">
        <v>1112</v>
      </c>
      <c r="G350" s="12" t="s">
        <v>1113</v>
      </c>
      <c r="H350" s="9" t="s">
        <v>1114</v>
      </c>
      <c r="I350" s="10">
        <v>45574</v>
      </c>
    </row>
    <row r="351" spans="1:9" x14ac:dyDescent="0.15">
      <c r="A351" s="9">
        <v>350</v>
      </c>
      <c r="B351" s="9" t="s">
        <v>9</v>
      </c>
      <c r="C351" s="9">
        <v>1920</v>
      </c>
      <c r="D351" s="10">
        <v>45677</v>
      </c>
      <c r="E351" s="13" t="str">
        <f>+HYPERLINK("http://trademark.i-assist.jp/data/china/image_1920th/81281508.pdf","81281508")</f>
        <v>81281508</v>
      </c>
      <c r="F351" s="9" t="s">
        <v>1115</v>
      </c>
      <c r="G351" s="9" t="s">
        <v>1116</v>
      </c>
      <c r="H351" s="9" t="s">
        <v>1117</v>
      </c>
      <c r="I351" s="10">
        <v>45574</v>
      </c>
    </row>
    <row r="352" spans="1:9" x14ac:dyDescent="0.15">
      <c r="A352" s="9">
        <v>351</v>
      </c>
      <c r="B352" s="9" t="s">
        <v>9</v>
      </c>
      <c r="C352" s="9">
        <v>1920</v>
      </c>
      <c r="D352" s="10">
        <v>45677</v>
      </c>
      <c r="E352" s="13" t="str">
        <f>+HYPERLINK("http://trademark.i-assist.jp/data/china/image_1920th/81281666.pdf","81281666")</f>
        <v>81281666</v>
      </c>
      <c r="F352" s="9" t="s">
        <v>1118</v>
      </c>
      <c r="G352" s="9" t="s">
        <v>1119</v>
      </c>
      <c r="H352" s="9" t="s">
        <v>1120</v>
      </c>
      <c r="I352" s="10">
        <v>45574</v>
      </c>
    </row>
    <row r="353" spans="1:9" x14ac:dyDescent="0.15">
      <c r="A353" s="9">
        <v>352</v>
      </c>
      <c r="B353" s="9" t="s">
        <v>9</v>
      </c>
      <c r="C353" s="9">
        <v>1920</v>
      </c>
      <c r="D353" s="10">
        <v>45677</v>
      </c>
      <c r="E353" s="13" t="str">
        <f>+HYPERLINK("http://trademark.i-assist.jp/data/china/image_1920th/81281694.pdf","81281694")</f>
        <v>81281694</v>
      </c>
      <c r="F353" s="9" t="s">
        <v>1121</v>
      </c>
      <c r="G353" s="9" t="s">
        <v>1122</v>
      </c>
      <c r="H353" s="9" t="s">
        <v>1123</v>
      </c>
      <c r="I353" s="10">
        <v>45574</v>
      </c>
    </row>
    <row r="354" spans="1:9" x14ac:dyDescent="0.15">
      <c r="A354" s="9">
        <v>353</v>
      </c>
      <c r="B354" s="9" t="s">
        <v>9</v>
      </c>
      <c r="C354" s="9">
        <v>1920</v>
      </c>
      <c r="D354" s="10">
        <v>45677</v>
      </c>
      <c r="E354" s="13" t="str">
        <f>+HYPERLINK("http://trademark.i-assist.jp/data/china/image_1920th/81281773.pdf","81281773")</f>
        <v>81281773</v>
      </c>
      <c r="F354" s="9" t="s">
        <v>1124</v>
      </c>
      <c r="G354" s="12" t="s">
        <v>1054</v>
      </c>
      <c r="H354" s="9" t="s">
        <v>1125</v>
      </c>
      <c r="I354" s="10">
        <v>45574</v>
      </c>
    </row>
    <row r="355" spans="1:9" x14ac:dyDescent="0.15">
      <c r="A355" s="9">
        <v>354</v>
      </c>
      <c r="B355" s="9" t="s">
        <v>9</v>
      </c>
      <c r="C355" s="9">
        <v>1920</v>
      </c>
      <c r="D355" s="10">
        <v>45677</v>
      </c>
      <c r="E355" s="13" t="str">
        <f>+HYPERLINK("http://trademark.i-assist.jp/data/china/image_1920th/81281868.pdf","81281868")</f>
        <v>81281868</v>
      </c>
      <c r="F355" s="9" t="s">
        <v>1126</v>
      </c>
      <c r="G355" s="12" t="s">
        <v>1127</v>
      </c>
      <c r="H355" s="9" t="s">
        <v>1128</v>
      </c>
      <c r="I355" s="10">
        <v>45574</v>
      </c>
    </row>
    <row r="356" spans="1:9" x14ac:dyDescent="0.15">
      <c r="A356" s="9">
        <v>355</v>
      </c>
      <c r="B356" s="9" t="s">
        <v>9</v>
      </c>
      <c r="C356" s="9">
        <v>1920</v>
      </c>
      <c r="D356" s="10">
        <v>45677</v>
      </c>
      <c r="E356" s="13" t="str">
        <f>+HYPERLINK("http://trademark.i-assist.jp/data/china/image_1920th/81282901.pdf","81282901")</f>
        <v>81282901</v>
      </c>
      <c r="F356" s="9" t="s">
        <v>1129</v>
      </c>
      <c r="G356" s="9" t="s">
        <v>1130</v>
      </c>
      <c r="H356" s="9" t="s">
        <v>1131</v>
      </c>
      <c r="I356" s="10">
        <v>45574</v>
      </c>
    </row>
    <row r="357" spans="1:9" x14ac:dyDescent="0.15">
      <c r="A357" s="9">
        <v>356</v>
      </c>
      <c r="B357" s="9" t="s">
        <v>9</v>
      </c>
      <c r="C357" s="9">
        <v>1920</v>
      </c>
      <c r="D357" s="10">
        <v>45677</v>
      </c>
      <c r="E357" s="13" t="str">
        <f>+HYPERLINK("http://trademark.i-assist.jp/data/china/image_1920th/81284462.pdf","81284462")</f>
        <v>81284462</v>
      </c>
      <c r="F357" s="12" t="s">
        <v>1132</v>
      </c>
      <c r="G357" s="12" t="s">
        <v>1133</v>
      </c>
      <c r="H357" s="12" t="s">
        <v>1134</v>
      </c>
      <c r="I357" s="10">
        <v>45574</v>
      </c>
    </row>
    <row r="358" spans="1:9" x14ac:dyDescent="0.15">
      <c r="A358" s="9">
        <v>357</v>
      </c>
      <c r="B358" s="9" t="s">
        <v>9</v>
      </c>
      <c r="C358" s="9">
        <v>1920</v>
      </c>
      <c r="D358" s="10">
        <v>45677</v>
      </c>
      <c r="E358" s="13" t="str">
        <f>+HYPERLINK("http://trademark.i-assist.jp/data/china/image_1920th/81284467.pdf","81284467")</f>
        <v>81284467</v>
      </c>
      <c r="F358" s="9" t="s">
        <v>1135</v>
      </c>
      <c r="G358" s="9" t="s">
        <v>1136</v>
      </c>
      <c r="H358" s="9" t="s">
        <v>1137</v>
      </c>
      <c r="I358" s="10">
        <v>45574</v>
      </c>
    </row>
    <row r="359" spans="1:9" x14ac:dyDescent="0.15">
      <c r="A359" s="9">
        <v>358</v>
      </c>
      <c r="B359" s="9" t="s">
        <v>9</v>
      </c>
      <c r="C359" s="9">
        <v>1920</v>
      </c>
      <c r="D359" s="10">
        <v>45677</v>
      </c>
      <c r="E359" s="13" t="str">
        <f>+HYPERLINK("http://trademark.i-assist.jp/data/china/image_1920th/81284751.pdf","81284751")</f>
        <v>81284751</v>
      </c>
      <c r="F359" s="9" t="s">
        <v>1138</v>
      </c>
      <c r="G359" s="11" t="s">
        <v>1139</v>
      </c>
      <c r="H359" s="9" t="s">
        <v>1140</v>
      </c>
      <c r="I359" s="10">
        <v>45575</v>
      </c>
    </row>
    <row r="360" spans="1:9" x14ac:dyDescent="0.15">
      <c r="A360" s="9">
        <v>359</v>
      </c>
      <c r="B360" s="9" t="s">
        <v>9</v>
      </c>
      <c r="C360" s="9">
        <v>1920</v>
      </c>
      <c r="D360" s="10">
        <v>45677</v>
      </c>
      <c r="E360" s="13" t="str">
        <f>+HYPERLINK("http://trademark.i-assist.jp/data/china/image_1920th/81284803.pdf","81284803")</f>
        <v>81284803</v>
      </c>
      <c r="F360" s="9" t="s">
        <v>1141</v>
      </c>
      <c r="G360" s="12" t="s">
        <v>1142</v>
      </c>
      <c r="H360" s="9" t="s">
        <v>1143</v>
      </c>
      <c r="I360" s="10">
        <v>45575</v>
      </c>
    </row>
    <row r="361" spans="1:9" x14ac:dyDescent="0.15">
      <c r="A361" s="9">
        <v>360</v>
      </c>
      <c r="B361" s="9" t="s">
        <v>9</v>
      </c>
      <c r="C361" s="9">
        <v>1920</v>
      </c>
      <c r="D361" s="10">
        <v>45677</v>
      </c>
      <c r="E361" s="13" t="str">
        <f>+HYPERLINK("http://trademark.i-assist.jp/data/china/image_1920th/81285136.pdf","81285136")</f>
        <v>81285136</v>
      </c>
      <c r="F361" s="9" t="s">
        <v>1144</v>
      </c>
      <c r="G361" s="9" t="s">
        <v>1145</v>
      </c>
      <c r="H361" s="9" t="s">
        <v>1146</v>
      </c>
      <c r="I361" s="10">
        <v>45575</v>
      </c>
    </row>
    <row r="362" spans="1:9" x14ac:dyDescent="0.15">
      <c r="A362" s="9">
        <v>361</v>
      </c>
      <c r="B362" s="9" t="s">
        <v>9</v>
      </c>
      <c r="C362" s="9">
        <v>1920</v>
      </c>
      <c r="D362" s="10">
        <v>45677</v>
      </c>
      <c r="E362" s="13" t="str">
        <f>+HYPERLINK("http://trademark.i-assist.jp/data/china/image_1920th/81285676.pdf","81285676")</f>
        <v>81285676</v>
      </c>
      <c r="F362" s="12" t="s">
        <v>1147</v>
      </c>
      <c r="G362" s="9" t="s">
        <v>1148</v>
      </c>
      <c r="H362" s="9" t="s">
        <v>1149</v>
      </c>
      <c r="I362" s="10">
        <v>45575</v>
      </c>
    </row>
    <row r="363" spans="1:9" x14ac:dyDescent="0.15">
      <c r="A363" s="9">
        <v>362</v>
      </c>
      <c r="B363" s="9" t="s">
        <v>9</v>
      </c>
      <c r="C363" s="9">
        <v>1920</v>
      </c>
      <c r="D363" s="10">
        <v>45677</v>
      </c>
      <c r="E363" s="13" t="str">
        <f>+HYPERLINK("http://trademark.i-assist.jp/data/china/image_1920th/81286422.pdf","81286422")</f>
        <v>81286422</v>
      </c>
      <c r="F363" s="12" t="s">
        <v>12</v>
      </c>
      <c r="G363" s="9" t="s">
        <v>1150</v>
      </c>
      <c r="H363" s="9" t="s">
        <v>1151</v>
      </c>
      <c r="I363" s="10">
        <v>45575</v>
      </c>
    </row>
    <row r="364" spans="1:9" x14ac:dyDescent="0.15">
      <c r="A364" s="9">
        <v>363</v>
      </c>
      <c r="B364" s="9" t="s">
        <v>9</v>
      </c>
      <c r="C364" s="9">
        <v>1920</v>
      </c>
      <c r="D364" s="10">
        <v>45677</v>
      </c>
      <c r="E364" s="13" t="str">
        <f>+HYPERLINK("http://trademark.i-assist.jp/data/china/image_1920th/81287301.pdf","81287301")</f>
        <v>81287301</v>
      </c>
      <c r="F364" s="9" t="s">
        <v>1152</v>
      </c>
      <c r="G364" s="9" t="s">
        <v>37</v>
      </c>
      <c r="H364" s="9" t="s">
        <v>1153</v>
      </c>
      <c r="I364" s="10">
        <v>45575</v>
      </c>
    </row>
    <row r="365" spans="1:9" x14ac:dyDescent="0.15">
      <c r="A365" s="9">
        <v>364</v>
      </c>
      <c r="B365" s="9" t="s">
        <v>9</v>
      </c>
      <c r="C365" s="9">
        <v>1920</v>
      </c>
      <c r="D365" s="10">
        <v>45677</v>
      </c>
      <c r="E365" s="13" t="str">
        <f>+HYPERLINK("http://trademark.i-assist.jp/data/china/image_1920th/81287342.pdf","81287342")</f>
        <v>81287342</v>
      </c>
      <c r="F365" s="12" t="s">
        <v>1154</v>
      </c>
      <c r="G365" s="11" t="s">
        <v>1139</v>
      </c>
      <c r="H365" s="9" t="s">
        <v>1155</v>
      </c>
      <c r="I365" s="10">
        <v>45575</v>
      </c>
    </row>
    <row r="366" spans="1:9" x14ac:dyDescent="0.15">
      <c r="A366" s="9">
        <v>365</v>
      </c>
      <c r="B366" s="9" t="s">
        <v>9</v>
      </c>
      <c r="C366" s="9">
        <v>1920</v>
      </c>
      <c r="D366" s="10">
        <v>45677</v>
      </c>
      <c r="E366" s="13" t="str">
        <f>+HYPERLINK("http://trademark.i-assist.jp/data/china/image_1920th/81287444.pdf","81287444")</f>
        <v>81287444</v>
      </c>
      <c r="F366" s="9" t="s">
        <v>1156</v>
      </c>
      <c r="G366" s="9" t="s">
        <v>1157</v>
      </c>
      <c r="H366" s="9" t="s">
        <v>1158</v>
      </c>
      <c r="I366" s="10">
        <v>45575</v>
      </c>
    </row>
    <row r="367" spans="1:9" x14ac:dyDescent="0.15">
      <c r="A367" s="9">
        <v>366</v>
      </c>
      <c r="B367" s="9" t="s">
        <v>9</v>
      </c>
      <c r="C367" s="9">
        <v>1920</v>
      </c>
      <c r="D367" s="10">
        <v>45677</v>
      </c>
      <c r="E367" s="13" t="str">
        <f>+HYPERLINK("http://trademark.i-assist.jp/data/china/image_1920th/81287509.pdf","81287509")</f>
        <v>81287509</v>
      </c>
      <c r="F367" s="9" t="s">
        <v>1159</v>
      </c>
      <c r="G367" s="9" t="s">
        <v>1160</v>
      </c>
      <c r="H367" s="9" t="s">
        <v>1161</v>
      </c>
      <c r="I367" s="10">
        <v>45575</v>
      </c>
    </row>
    <row r="368" spans="1:9" x14ac:dyDescent="0.15">
      <c r="A368" s="9">
        <v>367</v>
      </c>
      <c r="B368" s="9" t="s">
        <v>9</v>
      </c>
      <c r="C368" s="9">
        <v>1920</v>
      </c>
      <c r="D368" s="10">
        <v>45677</v>
      </c>
      <c r="E368" s="13" t="str">
        <f>+HYPERLINK("http://trademark.i-assist.jp/data/china/image_1920th/81287904.pdf","81287904")</f>
        <v>81287904</v>
      </c>
      <c r="F368" s="9" t="s">
        <v>1162</v>
      </c>
      <c r="G368" s="9" t="s">
        <v>1163</v>
      </c>
      <c r="H368" s="9" t="s">
        <v>1164</v>
      </c>
      <c r="I368" s="10">
        <v>45575</v>
      </c>
    </row>
    <row r="369" spans="1:9" x14ac:dyDescent="0.15">
      <c r="A369" s="9">
        <v>368</v>
      </c>
      <c r="B369" s="9" t="s">
        <v>9</v>
      </c>
      <c r="C369" s="9">
        <v>1920</v>
      </c>
      <c r="D369" s="10">
        <v>45677</v>
      </c>
      <c r="E369" s="13" t="str">
        <f>+HYPERLINK("http://trademark.i-assist.jp/data/china/image_1920th/81287913.pdf","81287913")</f>
        <v>81287913</v>
      </c>
      <c r="F369" s="9" t="s">
        <v>1165</v>
      </c>
      <c r="G369" s="9" t="s">
        <v>152</v>
      </c>
      <c r="H369" s="9" t="s">
        <v>1166</v>
      </c>
      <c r="I369" s="10">
        <v>45575</v>
      </c>
    </row>
    <row r="370" spans="1:9" x14ac:dyDescent="0.15">
      <c r="A370" s="9">
        <v>369</v>
      </c>
      <c r="B370" s="9" t="s">
        <v>9</v>
      </c>
      <c r="C370" s="9">
        <v>1920</v>
      </c>
      <c r="D370" s="10">
        <v>45677</v>
      </c>
      <c r="E370" s="13" t="str">
        <f>+HYPERLINK("http://trademark.i-assist.jp/data/china/image_1920th/81288998.pdf","81288998")</f>
        <v>81288998</v>
      </c>
      <c r="F370" s="12" t="s">
        <v>1167</v>
      </c>
      <c r="G370" s="12" t="s">
        <v>97</v>
      </c>
      <c r="H370" s="9" t="s">
        <v>1168</v>
      </c>
      <c r="I370" s="10">
        <v>45575</v>
      </c>
    </row>
    <row r="371" spans="1:9" x14ac:dyDescent="0.15">
      <c r="A371" s="9">
        <v>370</v>
      </c>
      <c r="B371" s="9" t="s">
        <v>9</v>
      </c>
      <c r="C371" s="9">
        <v>1920</v>
      </c>
      <c r="D371" s="10">
        <v>45677</v>
      </c>
      <c r="E371" s="13" t="str">
        <f>+HYPERLINK("http://trademark.i-assist.jp/data/china/image_1920th/81289020.pdf","81289020")</f>
        <v>81289020</v>
      </c>
      <c r="F371" s="12" t="s">
        <v>1169</v>
      </c>
      <c r="G371" s="12" t="s">
        <v>1170</v>
      </c>
      <c r="H371" s="9" t="s">
        <v>1171</v>
      </c>
      <c r="I371" s="10">
        <v>45575</v>
      </c>
    </row>
    <row r="372" spans="1:9" x14ac:dyDescent="0.15">
      <c r="A372" s="9">
        <v>371</v>
      </c>
      <c r="B372" s="9" t="s">
        <v>9</v>
      </c>
      <c r="C372" s="9">
        <v>1920</v>
      </c>
      <c r="D372" s="10">
        <v>45677</v>
      </c>
      <c r="E372" s="13" t="str">
        <f>+HYPERLINK("http://trademark.i-assist.jp/data/china/image_1920th/81289369.pdf","81289369")</f>
        <v>81289369</v>
      </c>
      <c r="F372" s="9" t="s">
        <v>1172</v>
      </c>
      <c r="G372" s="9" t="s">
        <v>1173</v>
      </c>
      <c r="H372" s="9" t="s">
        <v>1174</v>
      </c>
      <c r="I372" s="10">
        <v>45575</v>
      </c>
    </row>
    <row r="373" spans="1:9" x14ac:dyDescent="0.15">
      <c r="A373" s="9">
        <v>372</v>
      </c>
      <c r="B373" s="9" t="s">
        <v>9</v>
      </c>
      <c r="C373" s="9">
        <v>1920</v>
      </c>
      <c r="D373" s="10">
        <v>45677</v>
      </c>
      <c r="E373" s="13" t="str">
        <f>+HYPERLINK("http://trademark.i-assist.jp/data/china/image_1920th/81289809.pdf","81289809")</f>
        <v>81289809</v>
      </c>
      <c r="F373" s="9" t="s">
        <v>1175</v>
      </c>
      <c r="G373" s="9" t="s">
        <v>1176</v>
      </c>
      <c r="H373" s="9" t="s">
        <v>1177</v>
      </c>
      <c r="I373" s="10">
        <v>45575</v>
      </c>
    </row>
    <row r="374" spans="1:9" x14ac:dyDescent="0.15">
      <c r="A374" s="9">
        <v>373</v>
      </c>
      <c r="B374" s="9" t="s">
        <v>9</v>
      </c>
      <c r="C374" s="9">
        <v>1920</v>
      </c>
      <c r="D374" s="10">
        <v>45677</v>
      </c>
      <c r="E374" s="13" t="str">
        <f>+HYPERLINK("http://trademark.i-assist.jp/data/china/image_1920th/81290104.pdf","81290104")</f>
        <v>81290104</v>
      </c>
      <c r="F374" s="12" t="s">
        <v>1178</v>
      </c>
      <c r="G374" s="9" t="s">
        <v>1148</v>
      </c>
      <c r="H374" s="9" t="s">
        <v>1179</v>
      </c>
      <c r="I374" s="10">
        <v>45575</v>
      </c>
    </row>
    <row r="375" spans="1:9" x14ac:dyDescent="0.15">
      <c r="A375" s="9">
        <v>374</v>
      </c>
      <c r="B375" s="9" t="s">
        <v>9</v>
      </c>
      <c r="C375" s="9">
        <v>1920</v>
      </c>
      <c r="D375" s="10">
        <v>45677</v>
      </c>
      <c r="E375" s="13" t="str">
        <f>+HYPERLINK("http://trademark.i-assist.jp/data/china/image_1920th/81290323.pdf","81290323")</f>
        <v>81290323</v>
      </c>
      <c r="F375" s="9" t="s">
        <v>1180</v>
      </c>
      <c r="G375" s="12" t="s">
        <v>1142</v>
      </c>
      <c r="H375" s="9" t="s">
        <v>1181</v>
      </c>
      <c r="I375" s="10">
        <v>45575</v>
      </c>
    </row>
    <row r="376" spans="1:9" x14ac:dyDescent="0.15">
      <c r="A376" s="9">
        <v>375</v>
      </c>
      <c r="B376" s="9" t="s">
        <v>9</v>
      </c>
      <c r="C376" s="9">
        <v>1920</v>
      </c>
      <c r="D376" s="10">
        <v>45677</v>
      </c>
      <c r="E376" s="13" t="str">
        <f>+HYPERLINK("http://trademark.i-assist.jp/data/china/image_1920th/81290733.pdf","81290733")</f>
        <v>81290733</v>
      </c>
      <c r="F376" s="9" t="s">
        <v>1182</v>
      </c>
      <c r="G376" s="9" t="s">
        <v>1183</v>
      </c>
      <c r="H376" s="9" t="s">
        <v>1184</v>
      </c>
      <c r="I376" s="10">
        <v>45575</v>
      </c>
    </row>
    <row r="377" spans="1:9" x14ac:dyDescent="0.15">
      <c r="A377" s="9">
        <v>376</v>
      </c>
      <c r="B377" s="9" t="s">
        <v>9</v>
      </c>
      <c r="C377" s="9">
        <v>1920</v>
      </c>
      <c r="D377" s="10">
        <v>45677</v>
      </c>
      <c r="E377" s="13" t="str">
        <f>+HYPERLINK("http://trademark.i-assist.jp/data/china/image_1920th/81290854.pdf","81290854")</f>
        <v>81290854</v>
      </c>
      <c r="F377" s="9" t="s">
        <v>1185</v>
      </c>
      <c r="G377" s="9" t="s">
        <v>1186</v>
      </c>
      <c r="H377" s="9" t="s">
        <v>1187</v>
      </c>
      <c r="I377" s="10">
        <v>45575</v>
      </c>
    </row>
    <row r="378" spans="1:9" x14ac:dyDescent="0.15">
      <c r="A378" s="9">
        <v>377</v>
      </c>
      <c r="B378" s="9" t="s">
        <v>9</v>
      </c>
      <c r="C378" s="9">
        <v>1920</v>
      </c>
      <c r="D378" s="10">
        <v>45677</v>
      </c>
      <c r="E378" s="13" t="str">
        <f>+HYPERLINK("http://trademark.i-assist.jp/data/china/image_1920th/81290933.pdf","81290933")</f>
        <v>81290933</v>
      </c>
      <c r="F378" s="9" t="s">
        <v>1188</v>
      </c>
      <c r="G378" s="9" t="s">
        <v>1189</v>
      </c>
      <c r="H378" s="9" t="s">
        <v>1190</v>
      </c>
      <c r="I378" s="10">
        <v>45575</v>
      </c>
    </row>
    <row r="379" spans="1:9" x14ac:dyDescent="0.15">
      <c r="A379" s="9">
        <v>378</v>
      </c>
      <c r="B379" s="9" t="s">
        <v>9</v>
      </c>
      <c r="C379" s="9">
        <v>1920</v>
      </c>
      <c r="D379" s="10">
        <v>45677</v>
      </c>
      <c r="E379" s="13" t="str">
        <f>+HYPERLINK("http://trademark.i-assist.jp/data/china/image_1920th/81291219.pdf","81291219")</f>
        <v>81291219</v>
      </c>
      <c r="F379" s="9" t="s">
        <v>1191</v>
      </c>
      <c r="G379" s="9" t="s">
        <v>1192</v>
      </c>
      <c r="H379" s="9" t="s">
        <v>1193</v>
      </c>
      <c r="I379" s="10">
        <v>45575</v>
      </c>
    </row>
    <row r="380" spans="1:9" x14ac:dyDescent="0.15">
      <c r="A380" s="9">
        <v>379</v>
      </c>
      <c r="B380" s="9" t="s">
        <v>9</v>
      </c>
      <c r="C380" s="9">
        <v>1920</v>
      </c>
      <c r="D380" s="10">
        <v>45677</v>
      </c>
      <c r="E380" s="13" t="str">
        <f>+HYPERLINK("http://trademark.i-assist.jp/data/china/image_1920th/81291637.pdf","81291637")</f>
        <v>81291637</v>
      </c>
      <c r="F380" s="12" t="s">
        <v>1194</v>
      </c>
      <c r="G380" s="12" t="s">
        <v>97</v>
      </c>
      <c r="H380" s="9" t="s">
        <v>1195</v>
      </c>
      <c r="I380" s="10">
        <v>45575</v>
      </c>
    </row>
    <row r="381" spans="1:9" x14ac:dyDescent="0.15">
      <c r="A381" s="9">
        <v>380</v>
      </c>
      <c r="B381" s="9" t="s">
        <v>9</v>
      </c>
      <c r="C381" s="9">
        <v>1920</v>
      </c>
      <c r="D381" s="10">
        <v>45677</v>
      </c>
      <c r="E381" s="13" t="str">
        <f>+HYPERLINK("http://trademark.i-assist.jp/data/china/image_1920th/81292860.pdf","81292860")</f>
        <v>81292860</v>
      </c>
      <c r="F381" s="9" t="s">
        <v>1196</v>
      </c>
      <c r="G381" s="9" t="s">
        <v>1197</v>
      </c>
      <c r="H381" s="9" t="s">
        <v>1198</v>
      </c>
      <c r="I381" s="10">
        <v>45575</v>
      </c>
    </row>
    <row r="382" spans="1:9" x14ac:dyDescent="0.15">
      <c r="A382" s="9">
        <v>381</v>
      </c>
      <c r="B382" s="9" t="s">
        <v>9</v>
      </c>
      <c r="C382" s="9">
        <v>1920</v>
      </c>
      <c r="D382" s="10">
        <v>45677</v>
      </c>
      <c r="E382" s="13" t="str">
        <f>+HYPERLINK("http://trademark.i-assist.jp/data/china/image_1920th/81294434.pdf","81294434")</f>
        <v>81294434</v>
      </c>
      <c r="F382" s="12" t="s">
        <v>1199</v>
      </c>
      <c r="G382" s="12" t="s">
        <v>97</v>
      </c>
      <c r="H382" s="9" t="s">
        <v>1200</v>
      </c>
      <c r="I382" s="10">
        <v>45575</v>
      </c>
    </row>
    <row r="383" spans="1:9" x14ac:dyDescent="0.15">
      <c r="A383" s="9">
        <v>382</v>
      </c>
      <c r="B383" s="9" t="s">
        <v>9</v>
      </c>
      <c r="C383" s="9">
        <v>1920</v>
      </c>
      <c r="D383" s="10">
        <v>45677</v>
      </c>
      <c r="E383" s="13" t="str">
        <f>+HYPERLINK("http://trademark.i-assist.jp/data/china/image_1920th/81294726.pdf","81294726")</f>
        <v>81294726</v>
      </c>
      <c r="F383" s="9" t="s">
        <v>1201</v>
      </c>
      <c r="G383" s="9" t="s">
        <v>1176</v>
      </c>
      <c r="H383" s="12" t="s">
        <v>1202</v>
      </c>
      <c r="I383" s="10">
        <v>45575</v>
      </c>
    </row>
    <row r="384" spans="1:9" x14ac:dyDescent="0.15">
      <c r="A384" s="9">
        <v>383</v>
      </c>
      <c r="B384" s="9" t="s">
        <v>9</v>
      </c>
      <c r="C384" s="9">
        <v>1920</v>
      </c>
      <c r="D384" s="10">
        <v>45677</v>
      </c>
      <c r="E384" s="13" t="str">
        <f>+HYPERLINK("http://trademark.i-assist.jp/data/china/image_1920th/81295312.pdf","81295312")</f>
        <v>81295312</v>
      </c>
      <c r="F384" s="9" t="s">
        <v>1203</v>
      </c>
      <c r="G384" s="9" t="s">
        <v>1176</v>
      </c>
      <c r="H384" s="9" t="s">
        <v>1204</v>
      </c>
      <c r="I384" s="10">
        <v>45575</v>
      </c>
    </row>
    <row r="385" spans="1:9" x14ac:dyDescent="0.15">
      <c r="A385" s="9">
        <v>384</v>
      </c>
      <c r="B385" s="9" t="s">
        <v>9</v>
      </c>
      <c r="C385" s="9">
        <v>1920</v>
      </c>
      <c r="D385" s="10">
        <v>45677</v>
      </c>
      <c r="E385" s="13" t="str">
        <f>+HYPERLINK("http://trademark.i-assist.jp/data/china/image_1920th/81295317.pdf","81295317")</f>
        <v>81295317</v>
      </c>
      <c r="F385" s="9" t="s">
        <v>1205</v>
      </c>
      <c r="G385" s="9" t="s">
        <v>1206</v>
      </c>
      <c r="H385" s="9" t="s">
        <v>1207</v>
      </c>
      <c r="I385" s="10">
        <v>45575</v>
      </c>
    </row>
    <row r="386" spans="1:9" x14ac:dyDescent="0.15">
      <c r="A386" s="9">
        <v>385</v>
      </c>
      <c r="B386" s="9" t="s">
        <v>9</v>
      </c>
      <c r="C386" s="9">
        <v>1920</v>
      </c>
      <c r="D386" s="10">
        <v>45677</v>
      </c>
      <c r="E386" s="13" t="str">
        <f>+HYPERLINK("http://trademark.i-assist.jp/data/china/image_1920th/81296035.pdf","81296035")</f>
        <v>81296035</v>
      </c>
      <c r="F386" s="9" t="s">
        <v>1208</v>
      </c>
      <c r="G386" s="12" t="s">
        <v>108</v>
      </c>
      <c r="H386" s="9" t="s">
        <v>1209</v>
      </c>
      <c r="I386" s="10">
        <v>45575</v>
      </c>
    </row>
    <row r="387" spans="1:9" x14ac:dyDescent="0.15">
      <c r="A387" s="9">
        <v>386</v>
      </c>
      <c r="B387" s="9" t="s">
        <v>9</v>
      </c>
      <c r="C387" s="9">
        <v>1920</v>
      </c>
      <c r="D387" s="10">
        <v>45677</v>
      </c>
      <c r="E387" s="13" t="str">
        <f>+HYPERLINK("http://trademark.i-assist.jp/data/china/image_1920th/81296498.pdf","81296498")</f>
        <v>81296498</v>
      </c>
      <c r="F387" s="9" t="s">
        <v>1210</v>
      </c>
      <c r="G387" s="12" t="s">
        <v>1211</v>
      </c>
      <c r="H387" s="9" t="s">
        <v>1212</v>
      </c>
      <c r="I387" s="10">
        <v>45575</v>
      </c>
    </row>
    <row r="388" spans="1:9" x14ac:dyDescent="0.15">
      <c r="A388" s="9">
        <v>387</v>
      </c>
      <c r="B388" s="9" t="s">
        <v>9</v>
      </c>
      <c r="C388" s="9">
        <v>1920</v>
      </c>
      <c r="D388" s="10">
        <v>45677</v>
      </c>
      <c r="E388" s="13" t="str">
        <f>+HYPERLINK("http://trademark.i-assist.jp/data/china/image_1920th/81296506.pdf","81296506")</f>
        <v>81296506</v>
      </c>
      <c r="F388" s="9" t="s">
        <v>1213</v>
      </c>
      <c r="G388" s="9" t="s">
        <v>1214</v>
      </c>
      <c r="H388" s="9" t="s">
        <v>1215</v>
      </c>
      <c r="I388" s="10">
        <v>45575</v>
      </c>
    </row>
    <row r="389" spans="1:9" x14ac:dyDescent="0.15">
      <c r="A389" s="9">
        <v>388</v>
      </c>
      <c r="B389" s="9" t="s">
        <v>9</v>
      </c>
      <c r="C389" s="9">
        <v>1920</v>
      </c>
      <c r="D389" s="10">
        <v>45677</v>
      </c>
      <c r="E389" s="13" t="str">
        <f>+HYPERLINK("http://trademark.i-assist.jp/data/china/image_1920th/81296527.pdf","81296527")</f>
        <v>81296527</v>
      </c>
      <c r="F389" s="12" t="s">
        <v>1216</v>
      </c>
      <c r="G389" s="12" t="s">
        <v>1217</v>
      </c>
      <c r="H389" s="9" t="s">
        <v>1218</v>
      </c>
      <c r="I389" s="10">
        <v>45575</v>
      </c>
    </row>
    <row r="390" spans="1:9" x14ac:dyDescent="0.15">
      <c r="A390" s="9">
        <v>389</v>
      </c>
      <c r="B390" s="9" t="s">
        <v>9</v>
      </c>
      <c r="C390" s="9">
        <v>1920</v>
      </c>
      <c r="D390" s="10">
        <v>45677</v>
      </c>
      <c r="E390" s="13" t="str">
        <f>+HYPERLINK("http://trademark.i-assist.jp/data/china/image_1920th/81297055.pdf","81297055")</f>
        <v>81297055</v>
      </c>
      <c r="F390" s="12" t="s">
        <v>1219</v>
      </c>
      <c r="G390" s="9" t="s">
        <v>1197</v>
      </c>
      <c r="H390" s="9" t="s">
        <v>1220</v>
      </c>
      <c r="I390" s="10">
        <v>45575</v>
      </c>
    </row>
    <row r="391" spans="1:9" x14ac:dyDescent="0.15">
      <c r="A391" s="9">
        <v>390</v>
      </c>
      <c r="B391" s="9" t="s">
        <v>9</v>
      </c>
      <c r="C391" s="9">
        <v>1920</v>
      </c>
      <c r="D391" s="10">
        <v>45677</v>
      </c>
      <c r="E391" s="13" t="str">
        <f>+HYPERLINK("http://trademark.i-assist.jp/data/china/image_1920th/81297064.pdf","81297064")</f>
        <v>81297064</v>
      </c>
      <c r="F391" s="9" t="s">
        <v>1221</v>
      </c>
      <c r="G391" s="9" t="s">
        <v>1222</v>
      </c>
      <c r="H391" s="9" t="s">
        <v>1223</v>
      </c>
      <c r="I391" s="10">
        <v>45575</v>
      </c>
    </row>
    <row r="392" spans="1:9" x14ac:dyDescent="0.15">
      <c r="A392" s="9">
        <v>391</v>
      </c>
      <c r="B392" s="9" t="s">
        <v>9</v>
      </c>
      <c r="C392" s="9">
        <v>1920</v>
      </c>
      <c r="D392" s="10">
        <v>45677</v>
      </c>
      <c r="E392" s="13" t="str">
        <f>+HYPERLINK("http://trademark.i-assist.jp/data/china/image_1920th/81297224.pdf","81297224")</f>
        <v>81297224</v>
      </c>
      <c r="F392" s="12" t="s">
        <v>1224</v>
      </c>
      <c r="G392" s="9" t="s">
        <v>1148</v>
      </c>
      <c r="H392" s="9" t="s">
        <v>1225</v>
      </c>
      <c r="I392" s="10">
        <v>45575</v>
      </c>
    </row>
    <row r="393" spans="1:9" x14ac:dyDescent="0.15">
      <c r="A393" s="9">
        <v>392</v>
      </c>
      <c r="B393" s="9" t="s">
        <v>9</v>
      </c>
      <c r="C393" s="9">
        <v>1920</v>
      </c>
      <c r="D393" s="10">
        <v>45677</v>
      </c>
      <c r="E393" s="13" t="str">
        <f>+HYPERLINK("http://trademark.i-assist.jp/data/china/image_1920th/81298159.pdf","81298159")</f>
        <v>81298159</v>
      </c>
      <c r="F393" s="9" t="s">
        <v>1226</v>
      </c>
      <c r="G393" s="9" t="s">
        <v>1227</v>
      </c>
      <c r="H393" s="9" t="s">
        <v>1228</v>
      </c>
      <c r="I393" s="10">
        <v>45575</v>
      </c>
    </row>
    <row r="394" spans="1:9" x14ac:dyDescent="0.15">
      <c r="A394" s="9">
        <v>393</v>
      </c>
      <c r="B394" s="9" t="s">
        <v>9</v>
      </c>
      <c r="C394" s="9">
        <v>1920</v>
      </c>
      <c r="D394" s="10">
        <v>45677</v>
      </c>
      <c r="E394" s="13" t="str">
        <f>+HYPERLINK("http://trademark.i-assist.jp/data/china/image_1920th/81298387.pdf","81298387")</f>
        <v>81298387</v>
      </c>
      <c r="F394" s="12" t="s">
        <v>1229</v>
      </c>
      <c r="G394" s="9" t="s">
        <v>1230</v>
      </c>
      <c r="H394" s="9" t="s">
        <v>1231</v>
      </c>
      <c r="I394" s="10">
        <v>45575</v>
      </c>
    </row>
    <row r="395" spans="1:9" x14ac:dyDescent="0.15">
      <c r="A395" s="9">
        <v>394</v>
      </c>
      <c r="B395" s="9" t="s">
        <v>9</v>
      </c>
      <c r="C395" s="9">
        <v>1920</v>
      </c>
      <c r="D395" s="10">
        <v>45677</v>
      </c>
      <c r="E395" s="13" t="str">
        <f>+HYPERLINK("http://trademark.i-assist.jp/data/china/image_1920th/81298411.pdf","81298411")</f>
        <v>81298411</v>
      </c>
      <c r="F395" s="12" t="s">
        <v>1232</v>
      </c>
      <c r="G395" s="12" t="s">
        <v>59</v>
      </c>
      <c r="H395" s="9" t="s">
        <v>1233</v>
      </c>
      <c r="I395" s="10">
        <v>45575</v>
      </c>
    </row>
    <row r="396" spans="1:9" x14ac:dyDescent="0.15">
      <c r="A396" s="9">
        <v>395</v>
      </c>
      <c r="B396" s="9" t="s">
        <v>9</v>
      </c>
      <c r="C396" s="9">
        <v>1920</v>
      </c>
      <c r="D396" s="10">
        <v>45677</v>
      </c>
      <c r="E396" s="13" t="str">
        <f>+HYPERLINK("http://trademark.i-assist.jp/data/china/image_1920th/81298412.pdf","81298412")</f>
        <v>81298412</v>
      </c>
      <c r="F396" s="11" t="s">
        <v>1234</v>
      </c>
      <c r="G396" s="9" t="s">
        <v>58</v>
      </c>
      <c r="H396" s="9" t="s">
        <v>1235</v>
      </c>
      <c r="I396" s="10">
        <v>45575</v>
      </c>
    </row>
    <row r="397" spans="1:9" x14ac:dyDescent="0.15">
      <c r="A397" s="9">
        <v>396</v>
      </c>
      <c r="B397" s="9" t="s">
        <v>9</v>
      </c>
      <c r="C397" s="9">
        <v>1920</v>
      </c>
      <c r="D397" s="10">
        <v>45677</v>
      </c>
      <c r="E397" s="13" t="str">
        <f>+HYPERLINK("http://trademark.i-assist.jp/data/china/image_1920th/81298476.pdf","81298476")</f>
        <v>81298476</v>
      </c>
      <c r="F397" s="9" t="s">
        <v>1236</v>
      </c>
      <c r="G397" s="9" t="s">
        <v>1237</v>
      </c>
      <c r="H397" s="9" t="s">
        <v>1238</v>
      </c>
      <c r="I397" s="10">
        <v>45575</v>
      </c>
    </row>
    <row r="398" spans="1:9" x14ac:dyDescent="0.15">
      <c r="A398" s="9">
        <v>397</v>
      </c>
      <c r="B398" s="9" t="s">
        <v>9</v>
      </c>
      <c r="C398" s="9">
        <v>1920</v>
      </c>
      <c r="D398" s="10">
        <v>45677</v>
      </c>
      <c r="E398" s="13" t="str">
        <f>+HYPERLINK("http://trademark.i-assist.jp/data/china/image_1920th/81298559.pdf","81298559")</f>
        <v>81298559</v>
      </c>
      <c r="F398" s="12" t="s">
        <v>1239</v>
      </c>
      <c r="G398" s="9" t="s">
        <v>1240</v>
      </c>
      <c r="H398" s="9" t="s">
        <v>1241</v>
      </c>
      <c r="I398" s="10">
        <v>45575</v>
      </c>
    </row>
    <row r="399" spans="1:9" x14ac:dyDescent="0.15">
      <c r="A399" s="9">
        <v>398</v>
      </c>
      <c r="B399" s="9" t="s">
        <v>9</v>
      </c>
      <c r="C399" s="9">
        <v>1920</v>
      </c>
      <c r="D399" s="10">
        <v>45677</v>
      </c>
      <c r="E399" s="13" t="str">
        <f>+HYPERLINK("http://trademark.i-assist.jp/data/china/image_1920th/81299451.pdf","81299451")</f>
        <v>81299451</v>
      </c>
      <c r="F399" s="9" t="s">
        <v>1242</v>
      </c>
      <c r="G399" s="12" t="s">
        <v>1243</v>
      </c>
      <c r="H399" s="9" t="s">
        <v>1244</v>
      </c>
      <c r="I399" s="10">
        <v>45575</v>
      </c>
    </row>
    <row r="400" spans="1:9" x14ac:dyDescent="0.15">
      <c r="A400" s="9">
        <v>399</v>
      </c>
      <c r="B400" s="9" t="s">
        <v>9</v>
      </c>
      <c r="C400" s="9">
        <v>1920</v>
      </c>
      <c r="D400" s="10">
        <v>45677</v>
      </c>
      <c r="E400" s="13" t="str">
        <f>+HYPERLINK("http://trademark.i-assist.jp/data/china/image_1920th/81299494.pdf","81299494")</f>
        <v>81299494</v>
      </c>
      <c r="F400" s="9" t="s">
        <v>1245</v>
      </c>
      <c r="G400" s="9" t="s">
        <v>1206</v>
      </c>
      <c r="H400" s="9" t="s">
        <v>1246</v>
      </c>
      <c r="I400" s="10">
        <v>45575</v>
      </c>
    </row>
    <row r="401" spans="1:9" x14ac:dyDescent="0.15">
      <c r="A401" s="9">
        <v>400</v>
      </c>
      <c r="B401" s="9" t="s">
        <v>9</v>
      </c>
      <c r="C401" s="9">
        <v>1920</v>
      </c>
      <c r="D401" s="10">
        <v>45677</v>
      </c>
      <c r="E401" s="13" t="str">
        <f>+HYPERLINK("http://trademark.i-assist.jp/data/china/image_1920th/81300180.pdf","81300180")</f>
        <v>81300180</v>
      </c>
      <c r="F401" s="9" t="s">
        <v>1247</v>
      </c>
      <c r="G401" s="12" t="s">
        <v>97</v>
      </c>
      <c r="H401" s="9" t="s">
        <v>1248</v>
      </c>
      <c r="I401" s="10">
        <v>45575</v>
      </c>
    </row>
    <row r="402" spans="1:9" x14ac:dyDescent="0.15">
      <c r="A402" s="9">
        <v>401</v>
      </c>
      <c r="B402" s="9" t="s">
        <v>9</v>
      </c>
      <c r="C402" s="9">
        <v>1920</v>
      </c>
      <c r="D402" s="10">
        <v>45677</v>
      </c>
      <c r="E402" s="13" t="str">
        <f>+HYPERLINK("http://trademark.i-assist.jp/data/china/image_1920th/81300276.pdf","81300276")</f>
        <v>81300276</v>
      </c>
      <c r="F402" s="12" t="s">
        <v>12</v>
      </c>
      <c r="G402" s="12" t="s">
        <v>1249</v>
      </c>
      <c r="H402" s="9" t="s">
        <v>1250</v>
      </c>
      <c r="I402" s="10">
        <v>45575</v>
      </c>
    </row>
    <row r="403" spans="1:9" x14ac:dyDescent="0.15">
      <c r="A403" s="9">
        <v>402</v>
      </c>
      <c r="B403" s="9" t="s">
        <v>9</v>
      </c>
      <c r="C403" s="9">
        <v>1920</v>
      </c>
      <c r="D403" s="10">
        <v>45677</v>
      </c>
      <c r="E403" s="13" t="str">
        <f>+HYPERLINK("http://trademark.i-assist.jp/data/china/image_1920th/81300404.pdf","81300404")</f>
        <v>81300404</v>
      </c>
      <c r="F403" s="9" t="s">
        <v>1251</v>
      </c>
      <c r="G403" s="9" t="s">
        <v>1252</v>
      </c>
      <c r="H403" s="9" t="s">
        <v>1253</v>
      </c>
      <c r="I403" s="10">
        <v>45575</v>
      </c>
    </row>
    <row r="404" spans="1:9" x14ac:dyDescent="0.15">
      <c r="A404" s="9">
        <v>403</v>
      </c>
      <c r="B404" s="9" t="s">
        <v>9</v>
      </c>
      <c r="C404" s="9">
        <v>1920</v>
      </c>
      <c r="D404" s="10">
        <v>45677</v>
      </c>
      <c r="E404" s="13" t="str">
        <f>+HYPERLINK("http://trademark.i-assist.jp/data/china/image_1920th/81302358.pdf","81302358")</f>
        <v>81302358</v>
      </c>
      <c r="F404" s="12" t="s">
        <v>1254</v>
      </c>
      <c r="G404" s="12" t="s">
        <v>59</v>
      </c>
      <c r="H404" s="12" t="s">
        <v>1255</v>
      </c>
      <c r="I404" s="10">
        <v>45575</v>
      </c>
    </row>
    <row r="405" spans="1:9" x14ac:dyDescent="0.15">
      <c r="A405" s="9">
        <v>404</v>
      </c>
      <c r="B405" s="9" t="s">
        <v>9</v>
      </c>
      <c r="C405" s="9">
        <v>1920</v>
      </c>
      <c r="D405" s="10">
        <v>45677</v>
      </c>
      <c r="E405" s="13" t="str">
        <f>+HYPERLINK("http://trademark.i-assist.jp/data/china/image_1920th/81302701.pdf","81302701")</f>
        <v>81302701</v>
      </c>
      <c r="F405" s="9" t="s">
        <v>1256</v>
      </c>
      <c r="G405" s="9" t="s">
        <v>37</v>
      </c>
      <c r="H405" s="9" t="s">
        <v>1257</v>
      </c>
      <c r="I405" s="10">
        <v>45575</v>
      </c>
    </row>
    <row r="406" spans="1:9" x14ac:dyDescent="0.15">
      <c r="A406" s="9">
        <v>405</v>
      </c>
      <c r="B406" s="9" t="s">
        <v>9</v>
      </c>
      <c r="C406" s="9">
        <v>1920</v>
      </c>
      <c r="D406" s="10">
        <v>45677</v>
      </c>
      <c r="E406" s="13" t="str">
        <f>+HYPERLINK("http://trademark.i-assist.jp/data/china/image_1920th/81303995.pdf","81303995")</f>
        <v>81303995</v>
      </c>
      <c r="F406" s="12" t="s">
        <v>1258</v>
      </c>
      <c r="G406" s="12" t="s">
        <v>59</v>
      </c>
      <c r="H406" s="9" t="s">
        <v>1259</v>
      </c>
      <c r="I406" s="10">
        <v>45575</v>
      </c>
    </row>
    <row r="407" spans="1:9" x14ac:dyDescent="0.15">
      <c r="A407" s="9">
        <v>406</v>
      </c>
      <c r="B407" s="9" t="s">
        <v>9</v>
      </c>
      <c r="C407" s="9">
        <v>1920</v>
      </c>
      <c r="D407" s="10">
        <v>45677</v>
      </c>
      <c r="E407" s="13" t="str">
        <f>+HYPERLINK("http://trademark.i-assist.jp/data/china/image_1920th/81304164.pdf","81304164")</f>
        <v>81304164</v>
      </c>
      <c r="F407" s="9" t="s">
        <v>1260</v>
      </c>
      <c r="G407" s="12" t="s">
        <v>1261</v>
      </c>
      <c r="H407" s="9" t="s">
        <v>1262</v>
      </c>
      <c r="I407" s="10">
        <v>45575</v>
      </c>
    </row>
    <row r="408" spans="1:9" x14ac:dyDescent="0.15">
      <c r="A408" s="9">
        <v>407</v>
      </c>
      <c r="B408" s="9" t="s">
        <v>9</v>
      </c>
      <c r="C408" s="9">
        <v>1920</v>
      </c>
      <c r="D408" s="10">
        <v>45677</v>
      </c>
      <c r="E408" s="13" t="str">
        <f>+HYPERLINK("http://trademark.i-assist.jp/data/china/image_1920th/81304536.pdf","81304536")</f>
        <v>81304536</v>
      </c>
      <c r="F408" s="12" t="s">
        <v>1263</v>
      </c>
      <c r="G408" s="9" t="s">
        <v>1264</v>
      </c>
      <c r="H408" s="9" t="s">
        <v>1265</v>
      </c>
      <c r="I408" s="10">
        <v>45575</v>
      </c>
    </row>
    <row r="409" spans="1:9" x14ac:dyDescent="0.15">
      <c r="A409" s="9">
        <v>408</v>
      </c>
      <c r="B409" s="9" t="s">
        <v>9</v>
      </c>
      <c r="C409" s="9">
        <v>1920</v>
      </c>
      <c r="D409" s="10">
        <v>45677</v>
      </c>
      <c r="E409" s="13" t="str">
        <f>+HYPERLINK("http://trademark.i-assist.jp/data/china/image_1920th/81304881.pdf","81304881")</f>
        <v>81304881</v>
      </c>
      <c r="F409" s="9" t="s">
        <v>1266</v>
      </c>
      <c r="G409" s="12" t="s">
        <v>1267</v>
      </c>
      <c r="H409" s="9" t="s">
        <v>1268</v>
      </c>
      <c r="I409" s="10">
        <v>45575</v>
      </c>
    </row>
    <row r="410" spans="1:9" x14ac:dyDescent="0.15">
      <c r="A410" s="9">
        <v>409</v>
      </c>
      <c r="B410" s="9" t="s">
        <v>9</v>
      </c>
      <c r="C410" s="9">
        <v>1920</v>
      </c>
      <c r="D410" s="10">
        <v>45677</v>
      </c>
      <c r="E410" s="13" t="str">
        <f>+HYPERLINK("http://trademark.i-assist.jp/data/china/image_1920th/81304992.pdf","81304992")</f>
        <v>81304992</v>
      </c>
      <c r="F410" s="9" t="s">
        <v>1269</v>
      </c>
      <c r="G410" s="9" t="s">
        <v>1270</v>
      </c>
      <c r="H410" s="12" t="s">
        <v>1271</v>
      </c>
      <c r="I410" s="10">
        <v>45575</v>
      </c>
    </row>
    <row r="411" spans="1:9" x14ac:dyDescent="0.15">
      <c r="A411" s="9">
        <v>410</v>
      </c>
      <c r="B411" s="9" t="s">
        <v>9</v>
      </c>
      <c r="C411" s="9">
        <v>1920</v>
      </c>
      <c r="D411" s="10">
        <v>45677</v>
      </c>
      <c r="E411" s="13" t="str">
        <f>+HYPERLINK("http://trademark.i-assist.jp/data/china/image_1920th/81306985.pdf","81306985")</f>
        <v>81306985</v>
      </c>
      <c r="F411" s="9" t="s">
        <v>1272</v>
      </c>
      <c r="G411" s="9" t="s">
        <v>1273</v>
      </c>
      <c r="H411" s="9" t="s">
        <v>1274</v>
      </c>
      <c r="I411" s="10">
        <v>45575</v>
      </c>
    </row>
    <row r="412" spans="1:9" x14ac:dyDescent="0.15">
      <c r="A412" s="9">
        <v>411</v>
      </c>
      <c r="B412" s="9" t="s">
        <v>9</v>
      </c>
      <c r="C412" s="9">
        <v>1920</v>
      </c>
      <c r="D412" s="10">
        <v>45677</v>
      </c>
      <c r="E412" s="13" t="str">
        <f>+HYPERLINK("http://trademark.i-assist.jp/data/china/image_1920th/81308501.pdf","81308501")</f>
        <v>81308501</v>
      </c>
      <c r="F412" s="12" t="s">
        <v>1275</v>
      </c>
      <c r="G412" s="9" t="s">
        <v>1276</v>
      </c>
      <c r="H412" s="9" t="s">
        <v>1277</v>
      </c>
      <c r="I412" s="10">
        <v>45575</v>
      </c>
    </row>
    <row r="413" spans="1:9" x14ac:dyDescent="0.15">
      <c r="A413" s="9">
        <v>412</v>
      </c>
      <c r="B413" s="9" t="s">
        <v>9</v>
      </c>
      <c r="C413" s="9">
        <v>1920</v>
      </c>
      <c r="D413" s="10">
        <v>45677</v>
      </c>
      <c r="E413" s="13" t="str">
        <f>+HYPERLINK("http://trademark.i-assist.jp/data/china/image_1920th/81309288.pdf","81309288")</f>
        <v>81309288</v>
      </c>
      <c r="F413" s="12" t="s">
        <v>1278</v>
      </c>
      <c r="G413" s="12" t="s">
        <v>77</v>
      </c>
      <c r="H413" s="9" t="s">
        <v>1279</v>
      </c>
      <c r="I413" s="10">
        <v>45575</v>
      </c>
    </row>
    <row r="414" spans="1:9" x14ac:dyDescent="0.15">
      <c r="A414" s="9">
        <v>413</v>
      </c>
      <c r="B414" s="9" t="s">
        <v>9</v>
      </c>
      <c r="C414" s="9">
        <v>1920</v>
      </c>
      <c r="D414" s="10">
        <v>45677</v>
      </c>
      <c r="E414" s="13" t="str">
        <f>+HYPERLINK("http://trademark.i-assist.jp/data/china/image_1920th/81309360.pdf","81309360")</f>
        <v>81309360</v>
      </c>
      <c r="F414" s="9" t="s">
        <v>1280</v>
      </c>
      <c r="G414" s="12" t="s">
        <v>1281</v>
      </c>
      <c r="H414" s="9" t="s">
        <v>1282</v>
      </c>
      <c r="I414" s="10">
        <v>45575</v>
      </c>
    </row>
    <row r="415" spans="1:9" x14ac:dyDescent="0.15">
      <c r="A415" s="9">
        <v>414</v>
      </c>
      <c r="B415" s="9" t="s">
        <v>9</v>
      </c>
      <c r="C415" s="9">
        <v>1920</v>
      </c>
      <c r="D415" s="10">
        <v>45677</v>
      </c>
      <c r="E415" s="13" t="str">
        <f>+HYPERLINK("http://trademark.i-assist.jp/data/china/image_1920th/81310260.pdf","81310260")</f>
        <v>81310260</v>
      </c>
      <c r="F415" s="9" t="s">
        <v>1283</v>
      </c>
      <c r="G415" s="12" t="s">
        <v>1284</v>
      </c>
      <c r="H415" s="9" t="s">
        <v>1285</v>
      </c>
      <c r="I415" s="10">
        <v>45575</v>
      </c>
    </row>
    <row r="416" spans="1:9" x14ac:dyDescent="0.15">
      <c r="A416" s="9">
        <v>415</v>
      </c>
      <c r="B416" s="9" t="s">
        <v>9</v>
      </c>
      <c r="C416" s="9">
        <v>1920</v>
      </c>
      <c r="D416" s="10">
        <v>45677</v>
      </c>
      <c r="E416" s="13" t="str">
        <f>+HYPERLINK("http://trademark.i-assist.jp/data/china/image_1920th/81310458.pdf","81310458")</f>
        <v>81310458</v>
      </c>
      <c r="F416" s="9" t="s">
        <v>1286</v>
      </c>
      <c r="G416" s="9" t="s">
        <v>19</v>
      </c>
      <c r="H416" s="9" t="s">
        <v>1287</v>
      </c>
      <c r="I416" s="10">
        <v>45576</v>
      </c>
    </row>
    <row r="417" spans="1:9" x14ac:dyDescent="0.15">
      <c r="A417" s="9">
        <v>416</v>
      </c>
      <c r="B417" s="9" t="s">
        <v>9</v>
      </c>
      <c r="C417" s="9">
        <v>1920</v>
      </c>
      <c r="D417" s="10">
        <v>45677</v>
      </c>
      <c r="E417" s="13" t="str">
        <f>+HYPERLINK("http://trademark.i-assist.jp/data/china/image_1920th/81310835.pdf","81310835")</f>
        <v>81310835</v>
      </c>
      <c r="F417" s="9" t="s">
        <v>1288</v>
      </c>
      <c r="G417" s="9" t="s">
        <v>1289</v>
      </c>
      <c r="H417" s="9" t="s">
        <v>1290</v>
      </c>
      <c r="I417" s="10">
        <v>45576</v>
      </c>
    </row>
    <row r="418" spans="1:9" x14ac:dyDescent="0.15">
      <c r="A418" s="9">
        <v>417</v>
      </c>
      <c r="B418" s="9" t="s">
        <v>9</v>
      </c>
      <c r="C418" s="9">
        <v>1920</v>
      </c>
      <c r="D418" s="10">
        <v>45677</v>
      </c>
      <c r="E418" s="13" t="str">
        <f>+HYPERLINK("http://trademark.i-assist.jp/data/china/image_1920th/81310877.pdf","81310877")</f>
        <v>81310877</v>
      </c>
      <c r="F418" s="9" t="s">
        <v>1291</v>
      </c>
      <c r="G418" s="9" t="s">
        <v>26</v>
      </c>
      <c r="H418" s="9" t="s">
        <v>1292</v>
      </c>
      <c r="I418" s="10">
        <v>45576</v>
      </c>
    </row>
    <row r="419" spans="1:9" x14ac:dyDescent="0.15">
      <c r="A419" s="9">
        <v>418</v>
      </c>
      <c r="B419" s="9" t="s">
        <v>9</v>
      </c>
      <c r="C419" s="9">
        <v>1920</v>
      </c>
      <c r="D419" s="10">
        <v>45677</v>
      </c>
      <c r="E419" s="13" t="str">
        <f>+HYPERLINK("http://trademark.i-assist.jp/data/china/image_1920th/81311000.pdf","81311000")</f>
        <v>81311000</v>
      </c>
      <c r="F419" s="9" t="s">
        <v>1293</v>
      </c>
      <c r="G419" s="9" t="s">
        <v>1294</v>
      </c>
      <c r="H419" s="9" t="s">
        <v>1295</v>
      </c>
      <c r="I419" s="10">
        <v>45576</v>
      </c>
    </row>
    <row r="420" spans="1:9" x14ac:dyDescent="0.15">
      <c r="A420" s="9">
        <v>419</v>
      </c>
      <c r="B420" s="9" t="s">
        <v>9</v>
      </c>
      <c r="C420" s="9">
        <v>1920</v>
      </c>
      <c r="D420" s="10">
        <v>45677</v>
      </c>
      <c r="E420" s="13" t="str">
        <f>+HYPERLINK("http://trademark.i-assist.jp/data/china/image_1920th/81311778.pdf","81311778")</f>
        <v>81311778</v>
      </c>
      <c r="F420" s="12" t="s">
        <v>1296</v>
      </c>
      <c r="G420" s="12" t="s">
        <v>1083</v>
      </c>
      <c r="H420" s="9" t="s">
        <v>1297</v>
      </c>
      <c r="I420" s="10">
        <v>45576</v>
      </c>
    </row>
    <row r="421" spans="1:9" x14ac:dyDescent="0.15">
      <c r="A421" s="9">
        <v>420</v>
      </c>
      <c r="B421" s="9" t="s">
        <v>9</v>
      </c>
      <c r="C421" s="9">
        <v>1920</v>
      </c>
      <c r="D421" s="10">
        <v>45677</v>
      </c>
      <c r="E421" s="13" t="str">
        <f>+HYPERLINK("http://trademark.i-assist.jp/data/china/image_1920th/81312248.pdf","81312248")</f>
        <v>81312248</v>
      </c>
      <c r="F421" s="9" t="s">
        <v>1298</v>
      </c>
      <c r="G421" s="9" t="s">
        <v>1299</v>
      </c>
      <c r="H421" s="9" t="s">
        <v>1300</v>
      </c>
      <c r="I421" s="10">
        <v>45576</v>
      </c>
    </row>
    <row r="422" spans="1:9" x14ac:dyDescent="0.15">
      <c r="A422" s="9">
        <v>421</v>
      </c>
      <c r="B422" s="9" t="s">
        <v>9</v>
      </c>
      <c r="C422" s="9">
        <v>1920</v>
      </c>
      <c r="D422" s="10">
        <v>45677</v>
      </c>
      <c r="E422" s="13" t="str">
        <f>+HYPERLINK("http://trademark.i-assist.jp/data/china/image_1920th/81312657.pdf","81312657")</f>
        <v>81312657</v>
      </c>
      <c r="F422" s="9" t="s">
        <v>1301</v>
      </c>
      <c r="G422" s="9" t="s">
        <v>75</v>
      </c>
      <c r="H422" s="9" t="s">
        <v>1302</v>
      </c>
      <c r="I422" s="10">
        <v>45576</v>
      </c>
    </row>
    <row r="423" spans="1:9" x14ac:dyDescent="0.15">
      <c r="A423" s="9">
        <v>422</v>
      </c>
      <c r="B423" s="9" t="s">
        <v>9</v>
      </c>
      <c r="C423" s="9">
        <v>1920</v>
      </c>
      <c r="D423" s="10">
        <v>45677</v>
      </c>
      <c r="E423" s="13" t="str">
        <f>+HYPERLINK("http://trademark.i-assist.jp/data/china/image_1920th/81313593.pdf","81313593")</f>
        <v>81313593</v>
      </c>
      <c r="F423" s="9" t="s">
        <v>1303</v>
      </c>
      <c r="G423" s="9" t="s">
        <v>1304</v>
      </c>
      <c r="H423" s="9" t="s">
        <v>1305</v>
      </c>
      <c r="I423" s="10">
        <v>45576</v>
      </c>
    </row>
    <row r="424" spans="1:9" x14ac:dyDescent="0.15">
      <c r="A424" s="9">
        <v>423</v>
      </c>
      <c r="B424" s="9" t="s">
        <v>9</v>
      </c>
      <c r="C424" s="9">
        <v>1920</v>
      </c>
      <c r="D424" s="10">
        <v>45677</v>
      </c>
      <c r="E424" s="13" t="str">
        <f>+HYPERLINK("http://trademark.i-assist.jp/data/china/image_1920th/81314177.pdf","81314177")</f>
        <v>81314177</v>
      </c>
      <c r="F424" s="9" t="s">
        <v>1306</v>
      </c>
      <c r="G424" s="12" t="s">
        <v>1307</v>
      </c>
      <c r="H424" s="9" t="s">
        <v>1308</v>
      </c>
      <c r="I424" s="10">
        <v>45576</v>
      </c>
    </row>
    <row r="425" spans="1:9" x14ac:dyDescent="0.15">
      <c r="A425" s="9">
        <v>424</v>
      </c>
      <c r="B425" s="9" t="s">
        <v>9</v>
      </c>
      <c r="C425" s="9">
        <v>1920</v>
      </c>
      <c r="D425" s="10">
        <v>45677</v>
      </c>
      <c r="E425" s="13" t="str">
        <f>+HYPERLINK("http://trademark.i-assist.jp/data/china/image_1920th/81314332.pdf","81314332")</f>
        <v>81314332</v>
      </c>
      <c r="F425" s="9" t="s">
        <v>1309</v>
      </c>
      <c r="G425" s="9" t="s">
        <v>1310</v>
      </c>
      <c r="H425" s="9" t="s">
        <v>1311</v>
      </c>
      <c r="I425" s="10">
        <v>45576</v>
      </c>
    </row>
    <row r="426" spans="1:9" x14ac:dyDescent="0.15">
      <c r="A426" s="9">
        <v>425</v>
      </c>
      <c r="B426" s="9" t="s">
        <v>9</v>
      </c>
      <c r="C426" s="9">
        <v>1920</v>
      </c>
      <c r="D426" s="10">
        <v>45677</v>
      </c>
      <c r="E426" s="13" t="str">
        <f>+HYPERLINK("http://trademark.i-assist.jp/data/china/image_1920th/81314923.pdf","81314923")</f>
        <v>81314923</v>
      </c>
      <c r="F426" s="12" t="s">
        <v>1312</v>
      </c>
      <c r="G426" s="12" t="s">
        <v>1313</v>
      </c>
      <c r="H426" s="9" t="s">
        <v>1314</v>
      </c>
      <c r="I426" s="10">
        <v>45576</v>
      </c>
    </row>
    <row r="427" spans="1:9" x14ac:dyDescent="0.15">
      <c r="A427" s="9">
        <v>426</v>
      </c>
      <c r="B427" s="9" t="s">
        <v>9</v>
      </c>
      <c r="C427" s="9">
        <v>1920</v>
      </c>
      <c r="D427" s="10">
        <v>45677</v>
      </c>
      <c r="E427" s="13" t="str">
        <f>+HYPERLINK("http://trademark.i-assist.jp/data/china/image_1920th/81315321.pdf","81315321")</f>
        <v>81315321</v>
      </c>
      <c r="F427" s="9" t="s">
        <v>1315</v>
      </c>
      <c r="G427" s="9" t="s">
        <v>1316</v>
      </c>
      <c r="H427" s="9" t="s">
        <v>1317</v>
      </c>
      <c r="I427" s="10">
        <v>45576</v>
      </c>
    </row>
    <row r="428" spans="1:9" x14ac:dyDescent="0.15">
      <c r="A428" s="9">
        <v>427</v>
      </c>
      <c r="B428" s="9" t="s">
        <v>9</v>
      </c>
      <c r="C428" s="9">
        <v>1920</v>
      </c>
      <c r="D428" s="10">
        <v>45677</v>
      </c>
      <c r="E428" s="13" t="str">
        <f>+HYPERLINK("http://trademark.i-assist.jp/data/china/image_1920th/81317162.pdf","81317162")</f>
        <v>81317162</v>
      </c>
      <c r="F428" s="9" t="s">
        <v>1318</v>
      </c>
      <c r="G428" s="9" t="s">
        <v>1319</v>
      </c>
      <c r="H428" s="9" t="s">
        <v>1320</v>
      </c>
      <c r="I428" s="10">
        <v>45576</v>
      </c>
    </row>
    <row r="429" spans="1:9" x14ac:dyDescent="0.15">
      <c r="A429" s="9">
        <v>428</v>
      </c>
      <c r="B429" s="9" t="s">
        <v>9</v>
      </c>
      <c r="C429" s="9">
        <v>1920</v>
      </c>
      <c r="D429" s="10">
        <v>45677</v>
      </c>
      <c r="E429" s="13" t="str">
        <f>+HYPERLINK("http://trademark.i-assist.jp/data/china/image_1920th/81318529.pdf","81318529")</f>
        <v>81318529</v>
      </c>
      <c r="F429" s="12" t="s">
        <v>12</v>
      </c>
      <c r="G429" s="9" t="s">
        <v>1321</v>
      </c>
      <c r="H429" s="9" t="s">
        <v>1322</v>
      </c>
      <c r="I429" s="10">
        <v>45576</v>
      </c>
    </row>
    <row r="430" spans="1:9" x14ac:dyDescent="0.15">
      <c r="A430" s="9">
        <v>429</v>
      </c>
      <c r="B430" s="9" t="s">
        <v>9</v>
      </c>
      <c r="C430" s="9">
        <v>1920</v>
      </c>
      <c r="D430" s="10">
        <v>45677</v>
      </c>
      <c r="E430" s="13" t="str">
        <f>+HYPERLINK("http://trademark.i-assist.jp/data/china/image_1920th/81318558.pdf","81318558")</f>
        <v>81318558</v>
      </c>
      <c r="F430" s="9" t="s">
        <v>1323</v>
      </c>
      <c r="G430" s="12" t="s">
        <v>1324</v>
      </c>
      <c r="H430" s="9" t="s">
        <v>1325</v>
      </c>
      <c r="I430" s="10">
        <v>45576</v>
      </c>
    </row>
    <row r="431" spans="1:9" x14ac:dyDescent="0.15">
      <c r="A431" s="9">
        <v>430</v>
      </c>
      <c r="B431" s="9" t="s">
        <v>9</v>
      </c>
      <c r="C431" s="9">
        <v>1920</v>
      </c>
      <c r="D431" s="10">
        <v>45677</v>
      </c>
      <c r="E431" s="13" t="str">
        <f>+HYPERLINK("http://trademark.i-assist.jp/data/china/image_1920th/81318916.pdf","81318916")</f>
        <v>81318916</v>
      </c>
      <c r="F431" s="12" t="s">
        <v>1326</v>
      </c>
      <c r="G431" s="9" t="s">
        <v>784</v>
      </c>
      <c r="H431" s="9" t="s">
        <v>1327</v>
      </c>
      <c r="I431" s="10">
        <v>45576</v>
      </c>
    </row>
    <row r="432" spans="1:9" x14ac:dyDescent="0.15">
      <c r="A432" s="9">
        <v>431</v>
      </c>
      <c r="B432" s="9" t="s">
        <v>9</v>
      </c>
      <c r="C432" s="9">
        <v>1920</v>
      </c>
      <c r="D432" s="10">
        <v>45677</v>
      </c>
      <c r="E432" s="13" t="str">
        <f>+HYPERLINK("http://trademark.i-assist.jp/data/china/image_1920th/81319078.pdf","81319078")</f>
        <v>81319078</v>
      </c>
      <c r="F432" s="12" t="s">
        <v>12</v>
      </c>
      <c r="G432" s="9" t="s">
        <v>1328</v>
      </c>
      <c r="H432" s="9" t="s">
        <v>1329</v>
      </c>
      <c r="I432" s="10">
        <v>45576</v>
      </c>
    </row>
    <row r="433" spans="1:9" x14ac:dyDescent="0.15">
      <c r="A433" s="9">
        <v>432</v>
      </c>
      <c r="B433" s="9" t="s">
        <v>9</v>
      </c>
      <c r="C433" s="9">
        <v>1920</v>
      </c>
      <c r="D433" s="10">
        <v>45677</v>
      </c>
      <c r="E433" s="13" t="str">
        <f>+HYPERLINK("http://trademark.i-assist.jp/data/china/image_1920th/81320351.pdf","81320351")</f>
        <v>81320351</v>
      </c>
      <c r="F433" s="9" t="s">
        <v>1330</v>
      </c>
      <c r="G433" s="9" t="s">
        <v>1331</v>
      </c>
      <c r="H433" s="9" t="s">
        <v>1332</v>
      </c>
      <c r="I433" s="10">
        <v>45576</v>
      </c>
    </row>
    <row r="434" spans="1:9" x14ac:dyDescent="0.15">
      <c r="A434" s="9">
        <v>433</v>
      </c>
      <c r="B434" s="9" t="s">
        <v>9</v>
      </c>
      <c r="C434" s="9">
        <v>1920</v>
      </c>
      <c r="D434" s="10">
        <v>45677</v>
      </c>
      <c r="E434" s="13" t="str">
        <f>+HYPERLINK("http://trademark.i-assist.jp/data/china/image_1920th/81320699.pdf","81320699")</f>
        <v>81320699</v>
      </c>
      <c r="F434" s="9" t="s">
        <v>1333</v>
      </c>
      <c r="G434" s="12" t="s">
        <v>1307</v>
      </c>
      <c r="H434" s="9" t="s">
        <v>1334</v>
      </c>
      <c r="I434" s="10">
        <v>45576</v>
      </c>
    </row>
    <row r="435" spans="1:9" x14ac:dyDescent="0.15">
      <c r="A435" s="9">
        <v>434</v>
      </c>
      <c r="B435" s="9" t="s">
        <v>9</v>
      </c>
      <c r="C435" s="9">
        <v>1920</v>
      </c>
      <c r="D435" s="10">
        <v>45677</v>
      </c>
      <c r="E435" s="13" t="str">
        <f>+HYPERLINK("http://trademark.i-assist.jp/data/china/image_1920th/81320921.pdf","81320921")</f>
        <v>81320921</v>
      </c>
      <c r="F435" s="9" t="s">
        <v>1335</v>
      </c>
      <c r="G435" s="9" t="s">
        <v>1336</v>
      </c>
      <c r="H435" s="9" t="s">
        <v>1337</v>
      </c>
      <c r="I435" s="10">
        <v>45576</v>
      </c>
    </row>
    <row r="436" spans="1:9" x14ac:dyDescent="0.15">
      <c r="A436" s="9">
        <v>435</v>
      </c>
      <c r="B436" s="9" t="s">
        <v>9</v>
      </c>
      <c r="C436" s="9">
        <v>1920</v>
      </c>
      <c r="D436" s="10">
        <v>45677</v>
      </c>
      <c r="E436" s="13" t="str">
        <f>+HYPERLINK("http://trademark.i-assist.jp/data/china/image_1920th/81321525.pdf","81321525")</f>
        <v>81321525</v>
      </c>
      <c r="F436" s="9" t="s">
        <v>1338</v>
      </c>
      <c r="G436" s="9" t="s">
        <v>75</v>
      </c>
      <c r="H436" s="9" t="s">
        <v>1339</v>
      </c>
      <c r="I436" s="10">
        <v>45576</v>
      </c>
    </row>
    <row r="437" spans="1:9" x14ac:dyDescent="0.15">
      <c r="A437" s="9">
        <v>436</v>
      </c>
      <c r="B437" s="9" t="s">
        <v>9</v>
      </c>
      <c r="C437" s="9">
        <v>1920</v>
      </c>
      <c r="D437" s="10">
        <v>45677</v>
      </c>
      <c r="E437" s="13" t="str">
        <f>+HYPERLINK("http://trademark.i-assist.jp/data/china/image_1920th/81323094.pdf","81323094")</f>
        <v>81323094</v>
      </c>
      <c r="F437" s="9" t="s">
        <v>1340</v>
      </c>
      <c r="G437" s="9" t="s">
        <v>1341</v>
      </c>
      <c r="H437" s="9" t="s">
        <v>1342</v>
      </c>
      <c r="I437" s="10">
        <v>45576</v>
      </c>
    </row>
    <row r="438" spans="1:9" x14ac:dyDescent="0.15">
      <c r="A438" s="9">
        <v>437</v>
      </c>
      <c r="B438" s="9" t="s">
        <v>9</v>
      </c>
      <c r="C438" s="9">
        <v>1920</v>
      </c>
      <c r="D438" s="10">
        <v>45677</v>
      </c>
      <c r="E438" s="13" t="str">
        <f>+HYPERLINK("http://trademark.i-assist.jp/data/china/image_1920th/81323926.pdf","81323926")</f>
        <v>81323926</v>
      </c>
      <c r="F438" s="9" t="s">
        <v>1343</v>
      </c>
      <c r="G438" s="9" t="s">
        <v>1344</v>
      </c>
      <c r="H438" s="9" t="s">
        <v>1345</v>
      </c>
      <c r="I438" s="10">
        <v>45576</v>
      </c>
    </row>
    <row r="439" spans="1:9" x14ac:dyDescent="0.15">
      <c r="A439" s="9">
        <v>438</v>
      </c>
      <c r="B439" s="9" t="s">
        <v>9</v>
      </c>
      <c r="C439" s="9">
        <v>1920</v>
      </c>
      <c r="D439" s="10">
        <v>45677</v>
      </c>
      <c r="E439" s="13" t="str">
        <f>+HYPERLINK("http://trademark.i-assist.jp/data/china/image_1920th/81324119.pdf","81324119")</f>
        <v>81324119</v>
      </c>
      <c r="F439" s="9" t="s">
        <v>1346</v>
      </c>
      <c r="G439" s="12" t="s">
        <v>1347</v>
      </c>
      <c r="H439" s="9" t="s">
        <v>1348</v>
      </c>
      <c r="I439" s="10">
        <v>45576</v>
      </c>
    </row>
    <row r="440" spans="1:9" x14ac:dyDescent="0.15">
      <c r="A440" s="9">
        <v>439</v>
      </c>
      <c r="B440" s="9" t="s">
        <v>9</v>
      </c>
      <c r="C440" s="9">
        <v>1920</v>
      </c>
      <c r="D440" s="10">
        <v>45677</v>
      </c>
      <c r="E440" s="13" t="str">
        <f>+HYPERLINK("http://trademark.i-assist.jp/data/china/image_1920th/81324149.pdf","81324149")</f>
        <v>81324149</v>
      </c>
      <c r="F440" s="9" t="s">
        <v>1349</v>
      </c>
      <c r="G440" s="12" t="s">
        <v>63</v>
      </c>
      <c r="H440" s="12" t="s">
        <v>1350</v>
      </c>
      <c r="I440" s="10">
        <v>45576</v>
      </c>
    </row>
    <row r="441" spans="1:9" x14ac:dyDescent="0.15">
      <c r="A441" s="9">
        <v>440</v>
      </c>
      <c r="B441" s="9" t="s">
        <v>9</v>
      </c>
      <c r="C441" s="9">
        <v>1920</v>
      </c>
      <c r="D441" s="10">
        <v>45677</v>
      </c>
      <c r="E441" s="13" t="str">
        <f>+HYPERLINK("http://trademark.i-assist.jp/data/china/image_1920th/81325584.pdf","81325584")</f>
        <v>81325584</v>
      </c>
      <c r="F441" s="9" t="s">
        <v>1351</v>
      </c>
      <c r="G441" s="9" t="s">
        <v>1352</v>
      </c>
      <c r="H441" s="9" t="s">
        <v>1353</v>
      </c>
      <c r="I441" s="10">
        <v>45576</v>
      </c>
    </row>
    <row r="442" spans="1:9" x14ac:dyDescent="0.15">
      <c r="A442" s="9">
        <v>441</v>
      </c>
      <c r="B442" s="9" t="s">
        <v>9</v>
      </c>
      <c r="C442" s="9">
        <v>1920</v>
      </c>
      <c r="D442" s="10">
        <v>45677</v>
      </c>
      <c r="E442" s="13" t="str">
        <f>+HYPERLINK("http://trademark.i-assist.jp/data/china/image_1920th/81325696.pdf","81325696")</f>
        <v>81325696</v>
      </c>
      <c r="F442" s="9" t="s">
        <v>1354</v>
      </c>
      <c r="G442" s="9" t="s">
        <v>1355</v>
      </c>
      <c r="H442" s="9" t="s">
        <v>1356</v>
      </c>
      <c r="I442" s="10">
        <v>45576</v>
      </c>
    </row>
    <row r="443" spans="1:9" x14ac:dyDescent="0.15">
      <c r="A443" s="9">
        <v>442</v>
      </c>
      <c r="B443" s="9" t="s">
        <v>9</v>
      </c>
      <c r="C443" s="9">
        <v>1920</v>
      </c>
      <c r="D443" s="10">
        <v>45677</v>
      </c>
      <c r="E443" s="13" t="str">
        <f>+HYPERLINK("http://trademark.i-assist.jp/data/china/image_1920th/81325884.pdf","81325884")</f>
        <v>81325884</v>
      </c>
      <c r="F443" s="9" t="s">
        <v>1357</v>
      </c>
      <c r="G443" s="12" t="s">
        <v>63</v>
      </c>
      <c r="H443" s="9" t="s">
        <v>1358</v>
      </c>
      <c r="I443" s="10">
        <v>45576</v>
      </c>
    </row>
    <row r="444" spans="1:9" x14ac:dyDescent="0.15">
      <c r="A444" s="9">
        <v>443</v>
      </c>
      <c r="B444" s="9" t="s">
        <v>9</v>
      </c>
      <c r="C444" s="9">
        <v>1920</v>
      </c>
      <c r="D444" s="10">
        <v>45677</v>
      </c>
      <c r="E444" s="13" t="str">
        <f>+HYPERLINK("http://trademark.i-assist.jp/data/china/image_1920th/81326236.pdf","81326236")</f>
        <v>81326236</v>
      </c>
      <c r="F444" s="9" t="s">
        <v>1359</v>
      </c>
      <c r="G444" s="9" t="s">
        <v>1360</v>
      </c>
      <c r="H444" s="9" t="s">
        <v>1361</v>
      </c>
      <c r="I444" s="10">
        <v>45576</v>
      </c>
    </row>
    <row r="445" spans="1:9" x14ac:dyDescent="0.15">
      <c r="A445" s="9">
        <v>444</v>
      </c>
      <c r="B445" s="9" t="s">
        <v>9</v>
      </c>
      <c r="C445" s="9">
        <v>1920</v>
      </c>
      <c r="D445" s="10">
        <v>45677</v>
      </c>
      <c r="E445" s="13" t="str">
        <f>+HYPERLINK("http://trademark.i-assist.jp/data/china/image_1920th/81326790.pdf","81326790")</f>
        <v>81326790</v>
      </c>
      <c r="F445" s="12" t="s">
        <v>12</v>
      </c>
      <c r="G445" s="9" t="s">
        <v>1362</v>
      </c>
      <c r="H445" s="9" t="s">
        <v>1363</v>
      </c>
      <c r="I445" s="10">
        <v>45576</v>
      </c>
    </row>
    <row r="446" spans="1:9" x14ac:dyDescent="0.15">
      <c r="A446" s="9">
        <v>445</v>
      </c>
      <c r="B446" s="9" t="s">
        <v>9</v>
      </c>
      <c r="C446" s="9">
        <v>1920</v>
      </c>
      <c r="D446" s="10">
        <v>45677</v>
      </c>
      <c r="E446" s="13" t="str">
        <f>+HYPERLINK("http://trademark.i-assist.jp/data/china/image_1920th/81327377.pdf","81327377")</f>
        <v>81327377</v>
      </c>
      <c r="F446" s="12" t="s">
        <v>1364</v>
      </c>
      <c r="G446" s="9" t="s">
        <v>1365</v>
      </c>
      <c r="H446" s="9" t="s">
        <v>1366</v>
      </c>
      <c r="I446" s="10">
        <v>45576</v>
      </c>
    </row>
    <row r="447" spans="1:9" x14ac:dyDescent="0.15">
      <c r="A447" s="9">
        <v>446</v>
      </c>
      <c r="B447" s="9" t="s">
        <v>9</v>
      </c>
      <c r="C447" s="9">
        <v>1920</v>
      </c>
      <c r="D447" s="10">
        <v>45677</v>
      </c>
      <c r="E447" s="13" t="str">
        <f>+HYPERLINK("http://trademark.i-assist.jp/data/china/image_1920th/81329764.pdf","81329764")</f>
        <v>81329764</v>
      </c>
      <c r="F447" s="9" t="s">
        <v>1367</v>
      </c>
      <c r="G447" s="12" t="s">
        <v>1368</v>
      </c>
      <c r="H447" s="9" t="s">
        <v>1369</v>
      </c>
      <c r="I447" s="10">
        <v>45576</v>
      </c>
    </row>
    <row r="448" spans="1:9" x14ac:dyDescent="0.15">
      <c r="A448" s="9">
        <v>447</v>
      </c>
      <c r="B448" s="9" t="s">
        <v>9</v>
      </c>
      <c r="C448" s="9">
        <v>1920</v>
      </c>
      <c r="D448" s="10">
        <v>45677</v>
      </c>
      <c r="E448" s="13" t="str">
        <f>+HYPERLINK("http://trademark.i-assist.jp/data/china/image_1920th/81330282.pdf","81330282")</f>
        <v>81330282</v>
      </c>
      <c r="F448" s="11" t="s">
        <v>1370</v>
      </c>
      <c r="G448" s="9" t="s">
        <v>1371</v>
      </c>
      <c r="H448" s="9" t="s">
        <v>1372</v>
      </c>
      <c r="I448" s="10">
        <v>45576</v>
      </c>
    </row>
    <row r="449" spans="1:9" x14ac:dyDescent="0.15">
      <c r="A449" s="9">
        <v>448</v>
      </c>
      <c r="B449" s="9" t="s">
        <v>9</v>
      </c>
      <c r="C449" s="9">
        <v>1920</v>
      </c>
      <c r="D449" s="10">
        <v>45677</v>
      </c>
      <c r="E449" s="13" t="str">
        <f>+HYPERLINK("http://trademark.i-assist.jp/data/china/image_1920th/81330463.pdf","81330463")</f>
        <v>81330463</v>
      </c>
      <c r="F449" s="9" t="s">
        <v>1373</v>
      </c>
      <c r="G449" s="12" t="s">
        <v>63</v>
      </c>
      <c r="H449" s="9" t="s">
        <v>1374</v>
      </c>
      <c r="I449" s="10">
        <v>45576</v>
      </c>
    </row>
    <row r="450" spans="1:9" x14ac:dyDescent="0.15">
      <c r="A450" s="9">
        <v>449</v>
      </c>
      <c r="B450" s="9" t="s">
        <v>9</v>
      </c>
      <c r="C450" s="9">
        <v>1920</v>
      </c>
      <c r="D450" s="10">
        <v>45677</v>
      </c>
      <c r="E450" s="13" t="str">
        <f>+HYPERLINK("http://trademark.i-assist.jp/data/china/image_1920th/81330932.pdf","81330932")</f>
        <v>81330932</v>
      </c>
      <c r="F450" s="9" t="s">
        <v>1375</v>
      </c>
      <c r="G450" s="9" t="s">
        <v>1376</v>
      </c>
      <c r="H450" s="9" t="s">
        <v>1377</v>
      </c>
      <c r="I450" s="10">
        <v>45576</v>
      </c>
    </row>
    <row r="451" spans="1:9" x14ac:dyDescent="0.15">
      <c r="A451" s="9">
        <v>450</v>
      </c>
      <c r="B451" s="9" t="s">
        <v>9</v>
      </c>
      <c r="C451" s="9">
        <v>1920</v>
      </c>
      <c r="D451" s="10">
        <v>45677</v>
      </c>
      <c r="E451" s="13" t="str">
        <f>+HYPERLINK("http://trademark.i-assist.jp/data/china/image_1920th/81331229.pdf","81331229")</f>
        <v>81331229</v>
      </c>
      <c r="F451" s="12" t="s">
        <v>1378</v>
      </c>
      <c r="G451" s="9" t="s">
        <v>1379</v>
      </c>
      <c r="H451" s="9" t="s">
        <v>1380</v>
      </c>
      <c r="I451" s="10">
        <v>45576</v>
      </c>
    </row>
    <row r="452" spans="1:9" x14ac:dyDescent="0.15">
      <c r="A452" s="9">
        <v>451</v>
      </c>
      <c r="B452" s="9" t="s">
        <v>9</v>
      </c>
      <c r="C452" s="9">
        <v>1920</v>
      </c>
      <c r="D452" s="10">
        <v>45677</v>
      </c>
      <c r="E452" s="13" t="str">
        <f>+HYPERLINK("http://trademark.i-assist.jp/data/china/image_1920th/81331369.pdf","81331369")</f>
        <v>81331369</v>
      </c>
      <c r="F452" s="12" t="s">
        <v>1381</v>
      </c>
      <c r="G452" s="9" t="s">
        <v>1382</v>
      </c>
      <c r="H452" s="9" t="s">
        <v>1383</v>
      </c>
      <c r="I452" s="10">
        <v>45576</v>
      </c>
    </row>
    <row r="453" spans="1:9" x14ac:dyDescent="0.15">
      <c r="A453" s="9">
        <v>452</v>
      </c>
      <c r="B453" s="9" t="s">
        <v>9</v>
      </c>
      <c r="C453" s="9">
        <v>1920</v>
      </c>
      <c r="D453" s="10">
        <v>45677</v>
      </c>
      <c r="E453" s="13" t="str">
        <f>+HYPERLINK("http://trademark.i-assist.jp/data/china/image_1920th/81331818.pdf","81331818")</f>
        <v>81331818</v>
      </c>
      <c r="F453" s="12" t="s">
        <v>1384</v>
      </c>
      <c r="G453" s="9" t="s">
        <v>1385</v>
      </c>
      <c r="H453" s="9" t="s">
        <v>1386</v>
      </c>
      <c r="I453" s="10">
        <v>45576</v>
      </c>
    </row>
    <row r="454" spans="1:9" x14ac:dyDescent="0.15">
      <c r="A454" s="9">
        <v>453</v>
      </c>
      <c r="B454" s="9" t="s">
        <v>9</v>
      </c>
      <c r="C454" s="9">
        <v>1920</v>
      </c>
      <c r="D454" s="10">
        <v>45677</v>
      </c>
      <c r="E454" s="13" t="str">
        <f>+HYPERLINK("http://trademark.i-assist.jp/data/china/image_1920th/81331977.pdf","81331977")</f>
        <v>81331977</v>
      </c>
      <c r="F454" s="9" t="s">
        <v>1387</v>
      </c>
      <c r="G454" s="12" t="s">
        <v>1388</v>
      </c>
      <c r="H454" s="9" t="s">
        <v>1389</v>
      </c>
      <c r="I454" s="10">
        <v>45576</v>
      </c>
    </row>
    <row r="455" spans="1:9" x14ac:dyDescent="0.15">
      <c r="A455" s="9">
        <v>454</v>
      </c>
      <c r="B455" s="9" t="s">
        <v>9</v>
      </c>
      <c r="C455" s="9">
        <v>1920</v>
      </c>
      <c r="D455" s="10">
        <v>45677</v>
      </c>
      <c r="E455" s="13" t="str">
        <f>+HYPERLINK("http://trademark.i-assist.jp/data/china/image_1920th/81332126.pdf","81332126")</f>
        <v>81332126</v>
      </c>
      <c r="F455" s="9" t="s">
        <v>1390</v>
      </c>
      <c r="G455" s="9" t="s">
        <v>139</v>
      </c>
      <c r="H455" s="9" t="s">
        <v>1391</v>
      </c>
      <c r="I455" s="10">
        <v>45576</v>
      </c>
    </row>
    <row r="456" spans="1:9" x14ac:dyDescent="0.15">
      <c r="A456" s="9">
        <v>455</v>
      </c>
      <c r="B456" s="9" t="s">
        <v>9</v>
      </c>
      <c r="C456" s="9">
        <v>1920</v>
      </c>
      <c r="D456" s="10">
        <v>45677</v>
      </c>
      <c r="E456" s="13" t="str">
        <f>+HYPERLINK("http://trademark.i-assist.jp/data/china/image_1920th/81332441.pdf","81332441")</f>
        <v>81332441</v>
      </c>
      <c r="F456" s="9" t="s">
        <v>1392</v>
      </c>
      <c r="G456" s="12" t="s">
        <v>64</v>
      </c>
      <c r="H456" s="9" t="s">
        <v>1393</v>
      </c>
      <c r="I456" s="10">
        <v>45576</v>
      </c>
    </row>
    <row r="457" spans="1:9" x14ac:dyDescent="0.15">
      <c r="A457" s="9">
        <v>456</v>
      </c>
      <c r="B457" s="9" t="s">
        <v>9</v>
      </c>
      <c r="C457" s="9">
        <v>1920</v>
      </c>
      <c r="D457" s="10">
        <v>45677</v>
      </c>
      <c r="E457" s="13" t="str">
        <f>+HYPERLINK("http://trademark.i-assist.jp/data/china/image_1920th/81333658.pdf","81333658")</f>
        <v>81333658</v>
      </c>
      <c r="F457" s="9" t="s">
        <v>1394</v>
      </c>
      <c r="G457" s="12" t="s">
        <v>1307</v>
      </c>
      <c r="H457" s="9" t="s">
        <v>1395</v>
      </c>
      <c r="I457" s="10">
        <v>45576</v>
      </c>
    </row>
    <row r="458" spans="1:9" x14ac:dyDescent="0.15">
      <c r="A458" s="9">
        <v>457</v>
      </c>
      <c r="B458" s="9" t="s">
        <v>9</v>
      </c>
      <c r="C458" s="9">
        <v>1920</v>
      </c>
      <c r="D458" s="10">
        <v>45677</v>
      </c>
      <c r="E458" s="13" t="str">
        <f>+HYPERLINK("http://trademark.i-assist.jp/data/china/image_1920th/81333881.pdf","81333881")</f>
        <v>81333881</v>
      </c>
      <c r="F458" s="12" t="s">
        <v>1396</v>
      </c>
      <c r="G458" s="9" t="s">
        <v>1397</v>
      </c>
      <c r="H458" s="9" t="s">
        <v>1398</v>
      </c>
      <c r="I458" s="10">
        <v>45577</v>
      </c>
    </row>
    <row r="459" spans="1:9" x14ac:dyDescent="0.15">
      <c r="A459" s="9">
        <v>458</v>
      </c>
      <c r="B459" s="9" t="s">
        <v>9</v>
      </c>
      <c r="C459" s="9">
        <v>1920</v>
      </c>
      <c r="D459" s="10">
        <v>45677</v>
      </c>
      <c r="E459" s="13" t="str">
        <f>+HYPERLINK("http://trademark.i-assist.jp/data/china/image_1920th/81333882.pdf","81333882")</f>
        <v>81333882</v>
      </c>
      <c r="F459" s="9" t="s">
        <v>1399</v>
      </c>
      <c r="G459" s="9" t="s">
        <v>1397</v>
      </c>
      <c r="H459" s="9" t="s">
        <v>1400</v>
      </c>
      <c r="I459" s="10">
        <v>45577</v>
      </c>
    </row>
    <row r="460" spans="1:9" x14ac:dyDescent="0.15">
      <c r="A460" s="9">
        <v>459</v>
      </c>
      <c r="B460" s="9" t="s">
        <v>9</v>
      </c>
      <c r="C460" s="9">
        <v>1920</v>
      </c>
      <c r="D460" s="10">
        <v>45677</v>
      </c>
      <c r="E460" s="13" t="str">
        <f>+HYPERLINK("http://trademark.i-assist.jp/data/china/image_1920th/81334091.pdf","81334091")</f>
        <v>81334091</v>
      </c>
      <c r="F460" s="9" t="s">
        <v>1401</v>
      </c>
      <c r="G460" s="12" t="s">
        <v>1402</v>
      </c>
      <c r="H460" s="9" t="s">
        <v>1403</v>
      </c>
      <c r="I460" s="10">
        <v>45577</v>
      </c>
    </row>
    <row r="461" spans="1:9" x14ac:dyDescent="0.15">
      <c r="A461" s="9">
        <v>460</v>
      </c>
      <c r="B461" s="9" t="s">
        <v>9</v>
      </c>
      <c r="C461" s="9">
        <v>1920</v>
      </c>
      <c r="D461" s="10">
        <v>45677</v>
      </c>
      <c r="E461" s="13" t="str">
        <f>+HYPERLINK("http://trademark.i-assist.jp/data/china/image_1920th/81335172.pdf","81335172")</f>
        <v>81335172</v>
      </c>
      <c r="F461" s="12" t="s">
        <v>12</v>
      </c>
      <c r="G461" s="9" t="s">
        <v>1404</v>
      </c>
      <c r="H461" s="9" t="s">
        <v>1405</v>
      </c>
      <c r="I461" s="10">
        <v>45577</v>
      </c>
    </row>
    <row r="462" spans="1:9" x14ac:dyDescent="0.15">
      <c r="A462" s="9">
        <v>461</v>
      </c>
      <c r="B462" s="9" t="s">
        <v>9</v>
      </c>
      <c r="C462" s="9">
        <v>1920</v>
      </c>
      <c r="D462" s="10">
        <v>45677</v>
      </c>
      <c r="E462" s="13" t="str">
        <f>+HYPERLINK("http://trademark.i-assist.jp/data/china/image_1920th/81335423.pdf","81335423")</f>
        <v>81335423</v>
      </c>
      <c r="F462" s="9" t="s">
        <v>1406</v>
      </c>
      <c r="G462" s="9" t="s">
        <v>1407</v>
      </c>
      <c r="H462" s="9" t="s">
        <v>1408</v>
      </c>
      <c r="I462" s="10">
        <v>45577</v>
      </c>
    </row>
    <row r="463" spans="1:9" x14ac:dyDescent="0.15">
      <c r="A463" s="9">
        <v>462</v>
      </c>
      <c r="B463" s="9" t="s">
        <v>9</v>
      </c>
      <c r="C463" s="9">
        <v>1920</v>
      </c>
      <c r="D463" s="10">
        <v>45677</v>
      </c>
      <c r="E463" s="13" t="str">
        <f>+HYPERLINK("http://trademark.i-assist.jp/data/china/image_1920th/81335830.pdf","81335830")</f>
        <v>81335830</v>
      </c>
      <c r="F463" s="9" t="s">
        <v>1409</v>
      </c>
      <c r="G463" s="9" t="s">
        <v>1410</v>
      </c>
      <c r="H463" s="9" t="s">
        <v>1411</v>
      </c>
      <c r="I463" s="10">
        <v>45577</v>
      </c>
    </row>
    <row r="464" spans="1:9" x14ac:dyDescent="0.15">
      <c r="A464" s="9">
        <v>463</v>
      </c>
      <c r="B464" s="9" t="s">
        <v>9</v>
      </c>
      <c r="C464" s="9">
        <v>1920</v>
      </c>
      <c r="D464" s="10">
        <v>45677</v>
      </c>
      <c r="E464" s="13" t="str">
        <f>+HYPERLINK("http://trademark.i-assist.jp/data/china/image_1920th/81336275.pdf","81336275")</f>
        <v>81336275</v>
      </c>
      <c r="F464" s="9" t="s">
        <v>1412</v>
      </c>
      <c r="G464" s="12" t="s">
        <v>1413</v>
      </c>
      <c r="H464" s="9" t="s">
        <v>1414</v>
      </c>
      <c r="I464" s="10">
        <v>45577</v>
      </c>
    </row>
    <row r="465" spans="1:9" x14ac:dyDescent="0.15">
      <c r="A465" s="9">
        <v>464</v>
      </c>
      <c r="B465" s="9" t="s">
        <v>9</v>
      </c>
      <c r="C465" s="9">
        <v>1920</v>
      </c>
      <c r="D465" s="10">
        <v>45677</v>
      </c>
      <c r="E465" s="13" t="str">
        <f>+HYPERLINK("http://trademark.i-assist.jp/data/china/image_1920th/81336451.pdf","81336451")</f>
        <v>81336451</v>
      </c>
      <c r="F465" s="9" t="s">
        <v>1415</v>
      </c>
      <c r="G465" s="12" t="s">
        <v>1402</v>
      </c>
      <c r="H465" s="9" t="s">
        <v>1416</v>
      </c>
      <c r="I465" s="10">
        <v>45577</v>
      </c>
    </row>
    <row r="466" spans="1:9" x14ac:dyDescent="0.15">
      <c r="A466" s="9">
        <v>465</v>
      </c>
      <c r="B466" s="9" t="s">
        <v>9</v>
      </c>
      <c r="C466" s="9">
        <v>1920</v>
      </c>
      <c r="D466" s="10">
        <v>45677</v>
      </c>
      <c r="E466" s="13" t="str">
        <f>+HYPERLINK("http://trademark.i-assist.jp/data/china/image_1920th/81336918.pdf","81336918")</f>
        <v>81336918</v>
      </c>
      <c r="F466" s="9" t="s">
        <v>1417</v>
      </c>
      <c r="G466" s="9" t="s">
        <v>1418</v>
      </c>
      <c r="H466" s="9" t="s">
        <v>1419</v>
      </c>
      <c r="I466" s="10">
        <v>45577</v>
      </c>
    </row>
    <row r="467" spans="1:9" x14ac:dyDescent="0.15">
      <c r="A467" s="9">
        <v>466</v>
      </c>
      <c r="B467" s="9" t="s">
        <v>9</v>
      </c>
      <c r="C467" s="9">
        <v>1920</v>
      </c>
      <c r="D467" s="10">
        <v>45677</v>
      </c>
      <c r="E467" s="13" t="str">
        <f>+HYPERLINK("http://trademark.i-assist.jp/data/china/image_1920th/81337023.pdf","81337023")</f>
        <v>81337023</v>
      </c>
      <c r="F467" s="9" t="s">
        <v>1420</v>
      </c>
      <c r="G467" s="9" t="s">
        <v>68</v>
      </c>
      <c r="H467" s="9" t="s">
        <v>1421</v>
      </c>
      <c r="I467" s="10">
        <v>45577</v>
      </c>
    </row>
    <row r="468" spans="1:9" x14ac:dyDescent="0.15">
      <c r="A468" s="9">
        <v>467</v>
      </c>
      <c r="B468" s="9" t="s">
        <v>9</v>
      </c>
      <c r="C468" s="9">
        <v>1920</v>
      </c>
      <c r="D468" s="10">
        <v>45677</v>
      </c>
      <c r="E468" s="13" t="str">
        <f>+HYPERLINK("http://trademark.i-assist.jp/data/china/image_1920th/81337795.pdf","81337795")</f>
        <v>81337795</v>
      </c>
      <c r="F468" s="9" t="s">
        <v>1422</v>
      </c>
      <c r="G468" s="12" t="s">
        <v>1423</v>
      </c>
      <c r="H468" s="9" t="s">
        <v>1424</v>
      </c>
      <c r="I468" s="10">
        <v>45577</v>
      </c>
    </row>
    <row r="469" spans="1:9" x14ac:dyDescent="0.15">
      <c r="A469" s="9">
        <v>468</v>
      </c>
      <c r="B469" s="9" t="s">
        <v>9</v>
      </c>
      <c r="C469" s="9">
        <v>1920</v>
      </c>
      <c r="D469" s="10">
        <v>45677</v>
      </c>
      <c r="E469" s="13" t="str">
        <f>+HYPERLINK("http://trademark.i-assist.jp/data/china/image_1920th/81339126.pdf","81339126")</f>
        <v>81339126</v>
      </c>
      <c r="F469" s="12" t="s">
        <v>1425</v>
      </c>
      <c r="G469" s="9" t="s">
        <v>1426</v>
      </c>
      <c r="H469" s="9" t="s">
        <v>1427</v>
      </c>
      <c r="I469" s="10">
        <v>45577</v>
      </c>
    </row>
    <row r="470" spans="1:9" x14ac:dyDescent="0.15">
      <c r="A470" s="9">
        <v>469</v>
      </c>
      <c r="B470" s="9" t="s">
        <v>9</v>
      </c>
      <c r="C470" s="9">
        <v>1920</v>
      </c>
      <c r="D470" s="10">
        <v>45677</v>
      </c>
      <c r="E470" s="13" t="str">
        <f>+HYPERLINK("http://trademark.i-assist.jp/data/china/image_1920th/81339612.pdf","81339612")</f>
        <v>81339612</v>
      </c>
      <c r="F470" s="9" t="s">
        <v>1428</v>
      </c>
      <c r="G470" s="9" t="s">
        <v>20</v>
      </c>
      <c r="H470" s="9" t="s">
        <v>1429</v>
      </c>
      <c r="I470" s="10">
        <v>45577</v>
      </c>
    </row>
    <row r="471" spans="1:9" x14ac:dyDescent="0.15">
      <c r="A471" s="9">
        <v>470</v>
      </c>
      <c r="B471" s="9" t="s">
        <v>9</v>
      </c>
      <c r="C471" s="9">
        <v>1920</v>
      </c>
      <c r="D471" s="10">
        <v>45677</v>
      </c>
      <c r="E471" s="13" t="str">
        <f>+HYPERLINK("http://trademark.i-assist.jp/data/china/image_1920th/81339616.pdf","81339616")</f>
        <v>81339616</v>
      </c>
      <c r="F471" s="9" t="s">
        <v>1430</v>
      </c>
      <c r="G471" s="9" t="s">
        <v>20</v>
      </c>
      <c r="H471" s="9" t="s">
        <v>1431</v>
      </c>
      <c r="I471" s="10">
        <v>45577</v>
      </c>
    </row>
    <row r="472" spans="1:9" x14ac:dyDescent="0.15">
      <c r="A472" s="9">
        <v>471</v>
      </c>
      <c r="B472" s="9" t="s">
        <v>9</v>
      </c>
      <c r="C472" s="9">
        <v>1920</v>
      </c>
      <c r="D472" s="10">
        <v>45677</v>
      </c>
      <c r="E472" s="13" t="str">
        <f>+HYPERLINK("http://trademark.i-assist.jp/data/china/image_1920th/81340490.pdf","81340490")</f>
        <v>81340490</v>
      </c>
      <c r="F472" s="9" t="s">
        <v>1432</v>
      </c>
      <c r="G472" s="9" t="s">
        <v>1433</v>
      </c>
      <c r="H472" s="9" t="s">
        <v>1434</v>
      </c>
      <c r="I472" s="10">
        <v>45577</v>
      </c>
    </row>
    <row r="473" spans="1:9" x14ac:dyDescent="0.15">
      <c r="A473" s="9">
        <v>472</v>
      </c>
      <c r="B473" s="9" t="s">
        <v>9</v>
      </c>
      <c r="C473" s="9">
        <v>1920</v>
      </c>
      <c r="D473" s="10">
        <v>45677</v>
      </c>
      <c r="E473" s="13" t="str">
        <f>+HYPERLINK("http://trademark.i-assist.jp/data/china/image_1920th/81342353.pdf","81342353")</f>
        <v>81342353</v>
      </c>
      <c r="F473" s="12" t="s">
        <v>1435</v>
      </c>
      <c r="G473" s="9" t="s">
        <v>1436</v>
      </c>
      <c r="H473" s="9" t="s">
        <v>1437</v>
      </c>
      <c r="I473" s="10">
        <v>45577</v>
      </c>
    </row>
    <row r="474" spans="1:9" x14ac:dyDescent="0.15">
      <c r="A474" s="9">
        <v>473</v>
      </c>
      <c r="B474" s="9" t="s">
        <v>9</v>
      </c>
      <c r="C474" s="9">
        <v>1920</v>
      </c>
      <c r="D474" s="10">
        <v>45677</v>
      </c>
      <c r="E474" s="13" t="str">
        <f>+HYPERLINK("http://trademark.i-assist.jp/data/china/image_1920th/81342406.pdf","81342406")</f>
        <v>81342406</v>
      </c>
      <c r="F474" s="9" t="s">
        <v>1438</v>
      </c>
      <c r="G474" s="12" t="s">
        <v>1402</v>
      </c>
      <c r="H474" s="9" t="s">
        <v>1439</v>
      </c>
      <c r="I474" s="10">
        <v>45577</v>
      </c>
    </row>
    <row r="475" spans="1:9" x14ac:dyDescent="0.15">
      <c r="A475" s="9">
        <v>474</v>
      </c>
      <c r="B475" s="9" t="s">
        <v>9</v>
      </c>
      <c r="C475" s="9">
        <v>1920</v>
      </c>
      <c r="D475" s="10">
        <v>45677</v>
      </c>
      <c r="E475" s="13" t="str">
        <f>+HYPERLINK("http://trademark.i-assist.jp/data/china/image_1920th/81342584.pdf","81342584")</f>
        <v>81342584</v>
      </c>
      <c r="F475" s="12" t="s">
        <v>12</v>
      </c>
      <c r="G475" s="9" t="s">
        <v>1440</v>
      </c>
      <c r="H475" s="9" t="s">
        <v>1441</v>
      </c>
      <c r="I475" s="10">
        <v>45577</v>
      </c>
    </row>
    <row r="476" spans="1:9" x14ac:dyDescent="0.15">
      <c r="A476" s="9">
        <v>475</v>
      </c>
      <c r="B476" s="9" t="s">
        <v>9</v>
      </c>
      <c r="C476" s="9">
        <v>1920</v>
      </c>
      <c r="D476" s="10">
        <v>45677</v>
      </c>
      <c r="E476" s="13" t="str">
        <f>+HYPERLINK("http://trademark.i-assist.jp/data/china/image_1920th/81342622.pdf","81342622")</f>
        <v>81342622</v>
      </c>
      <c r="F476" s="12" t="s">
        <v>12</v>
      </c>
      <c r="G476" s="9" t="s">
        <v>1442</v>
      </c>
      <c r="H476" s="9" t="s">
        <v>1443</v>
      </c>
      <c r="I476" s="10">
        <v>45577</v>
      </c>
    </row>
    <row r="477" spans="1:9" x14ac:dyDescent="0.15">
      <c r="A477" s="9">
        <v>476</v>
      </c>
      <c r="B477" s="9" t="s">
        <v>9</v>
      </c>
      <c r="C477" s="9">
        <v>1920</v>
      </c>
      <c r="D477" s="10">
        <v>45677</v>
      </c>
      <c r="E477" s="13" t="str">
        <f>+HYPERLINK("http://trademark.i-assist.jp/data/china/image_1920th/81343227.pdf","81343227")</f>
        <v>81343227</v>
      </c>
      <c r="F477" s="12" t="s">
        <v>1444</v>
      </c>
      <c r="G477" s="12" t="s">
        <v>1445</v>
      </c>
      <c r="H477" s="9" t="s">
        <v>1446</v>
      </c>
      <c r="I477" s="10">
        <v>45577</v>
      </c>
    </row>
    <row r="478" spans="1:9" x14ac:dyDescent="0.15">
      <c r="A478" s="9">
        <v>477</v>
      </c>
      <c r="B478" s="9" t="s">
        <v>9</v>
      </c>
      <c r="C478" s="9">
        <v>1920</v>
      </c>
      <c r="D478" s="10">
        <v>45677</v>
      </c>
      <c r="E478" s="13" t="str">
        <f>+HYPERLINK("http://trademark.i-assist.jp/data/china/image_1920th/81344520.pdf","81344520")</f>
        <v>81344520</v>
      </c>
      <c r="F478" s="9" t="s">
        <v>1447</v>
      </c>
      <c r="G478" s="9" t="s">
        <v>95</v>
      </c>
      <c r="H478" s="9" t="s">
        <v>1448</v>
      </c>
      <c r="I478" s="10">
        <v>45577</v>
      </c>
    </row>
    <row r="479" spans="1:9" x14ac:dyDescent="0.15">
      <c r="A479" s="9">
        <v>478</v>
      </c>
      <c r="B479" s="9" t="s">
        <v>9</v>
      </c>
      <c r="C479" s="9">
        <v>1920</v>
      </c>
      <c r="D479" s="10">
        <v>45677</v>
      </c>
      <c r="E479" s="13" t="str">
        <f>+HYPERLINK("http://trademark.i-assist.jp/data/china/image_1920th/81344540.pdf","81344540")</f>
        <v>81344540</v>
      </c>
      <c r="F479" s="9" t="s">
        <v>66</v>
      </c>
      <c r="G479" s="12" t="s">
        <v>67</v>
      </c>
      <c r="H479" s="9" t="s">
        <v>1449</v>
      </c>
      <c r="I479" s="10">
        <v>45577</v>
      </c>
    </row>
    <row r="480" spans="1:9" x14ac:dyDescent="0.15">
      <c r="A480" s="9">
        <v>479</v>
      </c>
      <c r="B480" s="9" t="s">
        <v>9</v>
      </c>
      <c r="C480" s="9">
        <v>1920</v>
      </c>
      <c r="D480" s="10">
        <v>45677</v>
      </c>
      <c r="E480" s="13" t="str">
        <f>+HYPERLINK("http://trademark.i-assist.jp/data/china/image_1920th/81344971.pdf","81344971")</f>
        <v>81344971</v>
      </c>
      <c r="F480" s="9" t="s">
        <v>1450</v>
      </c>
      <c r="G480" s="9" t="s">
        <v>1451</v>
      </c>
      <c r="H480" s="9" t="s">
        <v>1452</v>
      </c>
      <c r="I480" s="10">
        <v>45577</v>
      </c>
    </row>
    <row r="481" spans="1:9" x14ac:dyDescent="0.15">
      <c r="A481" s="9">
        <v>480</v>
      </c>
      <c r="B481" s="9" t="s">
        <v>9</v>
      </c>
      <c r="C481" s="9">
        <v>1920</v>
      </c>
      <c r="D481" s="10">
        <v>45677</v>
      </c>
      <c r="E481" s="13" t="str">
        <f>+HYPERLINK("http://trademark.i-assist.jp/data/china/image_1920th/81345529.pdf","81345529")</f>
        <v>81345529</v>
      </c>
      <c r="F481" s="9" t="s">
        <v>1453</v>
      </c>
      <c r="G481" s="9" t="s">
        <v>1454</v>
      </c>
      <c r="H481" s="9" t="s">
        <v>1455</v>
      </c>
      <c r="I481" s="10">
        <v>45577</v>
      </c>
    </row>
    <row r="482" spans="1:9" x14ac:dyDescent="0.15">
      <c r="A482" s="9">
        <v>481</v>
      </c>
      <c r="B482" s="9" t="s">
        <v>9</v>
      </c>
      <c r="C482" s="9">
        <v>1920</v>
      </c>
      <c r="D482" s="10">
        <v>45677</v>
      </c>
      <c r="E482" s="13" t="str">
        <f>+HYPERLINK("http://trademark.i-assist.jp/data/china/image_1920th/81345926.pdf","81345926")</f>
        <v>81345926</v>
      </c>
      <c r="F482" s="9" t="s">
        <v>1456</v>
      </c>
      <c r="G482" s="12" t="s">
        <v>1402</v>
      </c>
      <c r="H482" s="9" t="s">
        <v>1457</v>
      </c>
      <c r="I482" s="10">
        <v>45577</v>
      </c>
    </row>
    <row r="483" spans="1:9" x14ac:dyDescent="0.15">
      <c r="A483" s="9">
        <v>482</v>
      </c>
      <c r="B483" s="9" t="s">
        <v>9</v>
      </c>
      <c r="C483" s="9">
        <v>1920</v>
      </c>
      <c r="D483" s="10">
        <v>45677</v>
      </c>
      <c r="E483" s="13" t="str">
        <f>+HYPERLINK("http://trademark.i-assist.jp/data/china/image_1920th/81346049.pdf","81346049")</f>
        <v>81346049</v>
      </c>
      <c r="F483" s="9" t="s">
        <v>1458</v>
      </c>
      <c r="G483" s="9" t="s">
        <v>1459</v>
      </c>
      <c r="H483" s="9" t="s">
        <v>1460</v>
      </c>
      <c r="I483" s="10">
        <v>45577</v>
      </c>
    </row>
    <row r="484" spans="1:9" x14ac:dyDescent="0.15">
      <c r="A484" s="9">
        <v>483</v>
      </c>
      <c r="B484" s="9" t="s">
        <v>9</v>
      </c>
      <c r="C484" s="9">
        <v>1920</v>
      </c>
      <c r="D484" s="10">
        <v>45677</v>
      </c>
      <c r="E484" s="13" t="str">
        <f>+HYPERLINK("http://trademark.i-assist.jp/data/china/image_1920th/81346474.pdf","81346474")</f>
        <v>81346474</v>
      </c>
      <c r="F484" s="9" t="s">
        <v>1461</v>
      </c>
      <c r="G484" s="9" t="s">
        <v>952</v>
      </c>
      <c r="H484" s="9" t="s">
        <v>1462</v>
      </c>
      <c r="I484" s="10">
        <v>45577</v>
      </c>
    </row>
    <row r="485" spans="1:9" x14ac:dyDescent="0.15">
      <c r="A485" s="9">
        <v>484</v>
      </c>
      <c r="B485" s="9" t="s">
        <v>9</v>
      </c>
      <c r="C485" s="9">
        <v>1920</v>
      </c>
      <c r="D485" s="10">
        <v>45677</v>
      </c>
      <c r="E485" s="13" t="str">
        <f>+HYPERLINK("http://trademark.i-assist.jp/data/china/image_1920th/81346777.pdf","81346777")</f>
        <v>81346777</v>
      </c>
      <c r="F485" s="9" t="s">
        <v>1463</v>
      </c>
      <c r="G485" s="9" t="s">
        <v>1464</v>
      </c>
      <c r="H485" s="9" t="s">
        <v>1465</v>
      </c>
      <c r="I485" s="10">
        <v>45577</v>
      </c>
    </row>
    <row r="486" spans="1:9" x14ac:dyDescent="0.15">
      <c r="A486" s="9">
        <v>485</v>
      </c>
      <c r="B486" s="9" t="s">
        <v>9</v>
      </c>
      <c r="C486" s="9">
        <v>1920</v>
      </c>
      <c r="D486" s="10">
        <v>45677</v>
      </c>
      <c r="E486" s="13" t="str">
        <f>+HYPERLINK("http://trademark.i-assist.jp/data/china/image_1920th/81347227.pdf","81347227")</f>
        <v>81347227</v>
      </c>
      <c r="F486" s="12" t="s">
        <v>12</v>
      </c>
      <c r="G486" s="12" t="s">
        <v>1423</v>
      </c>
      <c r="H486" s="12" t="s">
        <v>1466</v>
      </c>
      <c r="I486" s="10">
        <v>45577</v>
      </c>
    </row>
    <row r="487" spans="1:9" x14ac:dyDescent="0.15">
      <c r="A487" s="9">
        <v>486</v>
      </c>
      <c r="B487" s="9" t="s">
        <v>9</v>
      </c>
      <c r="C487" s="9">
        <v>1920</v>
      </c>
      <c r="D487" s="10">
        <v>45677</v>
      </c>
      <c r="E487" s="13" t="str">
        <f>+HYPERLINK("http://trademark.i-assist.jp/data/china/image_1920th/81347354.pdf","81347354")</f>
        <v>81347354</v>
      </c>
      <c r="F487" s="9" t="s">
        <v>1467</v>
      </c>
      <c r="G487" s="9" t="s">
        <v>1468</v>
      </c>
      <c r="H487" s="9" t="s">
        <v>1469</v>
      </c>
      <c r="I487" s="10">
        <v>45577</v>
      </c>
    </row>
    <row r="488" spans="1:9" x14ac:dyDescent="0.15">
      <c r="A488" s="9">
        <v>487</v>
      </c>
      <c r="B488" s="9" t="s">
        <v>9</v>
      </c>
      <c r="C488" s="9">
        <v>1920</v>
      </c>
      <c r="D488" s="10">
        <v>45677</v>
      </c>
      <c r="E488" s="13" t="str">
        <f>+HYPERLINK("http://trademark.i-assist.jp/data/china/image_1920th/81347668.pdf","81347668")</f>
        <v>81347668</v>
      </c>
      <c r="F488" s="9" t="s">
        <v>1470</v>
      </c>
      <c r="G488" s="12" t="s">
        <v>1413</v>
      </c>
      <c r="H488" s="9" t="s">
        <v>1471</v>
      </c>
      <c r="I488" s="10">
        <v>45577</v>
      </c>
    </row>
    <row r="489" spans="1:9" x14ac:dyDescent="0.15">
      <c r="A489" s="9">
        <v>488</v>
      </c>
      <c r="B489" s="9" t="s">
        <v>9</v>
      </c>
      <c r="C489" s="9">
        <v>1920</v>
      </c>
      <c r="D489" s="10">
        <v>45677</v>
      </c>
      <c r="E489" s="13" t="str">
        <f>+HYPERLINK("http://trademark.i-assist.jp/data/china/image_1920th/81349261.pdf","81349261")</f>
        <v>81349261</v>
      </c>
      <c r="F489" s="9" t="s">
        <v>1472</v>
      </c>
      <c r="G489" s="9" t="s">
        <v>1473</v>
      </c>
      <c r="H489" s="9" t="s">
        <v>1474</v>
      </c>
      <c r="I489" s="10">
        <v>45577</v>
      </c>
    </row>
    <row r="490" spans="1:9" x14ac:dyDescent="0.15">
      <c r="A490" s="9">
        <v>489</v>
      </c>
      <c r="B490" s="9" t="s">
        <v>9</v>
      </c>
      <c r="C490" s="9">
        <v>1920</v>
      </c>
      <c r="D490" s="10">
        <v>45677</v>
      </c>
      <c r="E490" s="13" t="str">
        <f>+HYPERLINK("http://trademark.i-assist.jp/data/china/image_1920th/81349462.pdf","81349462")</f>
        <v>81349462</v>
      </c>
      <c r="F490" s="11" t="s">
        <v>1475</v>
      </c>
      <c r="G490" s="9" t="s">
        <v>58</v>
      </c>
      <c r="H490" s="12" t="s">
        <v>1476</v>
      </c>
      <c r="I490" s="10">
        <v>45577</v>
      </c>
    </row>
    <row r="491" spans="1:9" x14ac:dyDescent="0.15">
      <c r="A491" s="9">
        <v>490</v>
      </c>
      <c r="B491" s="9" t="s">
        <v>9</v>
      </c>
      <c r="C491" s="9">
        <v>1920</v>
      </c>
      <c r="D491" s="10">
        <v>45677</v>
      </c>
      <c r="E491" s="13" t="str">
        <f>+HYPERLINK("http://trademark.i-assist.jp/data/china/image_1920th/81352710.pdf","81352710")</f>
        <v>81352710</v>
      </c>
      <c r="F491" s="9" t="s">
        <v>1477</v>
      </c>
      <c r="G491" s="9" t="s">
        <v>1478</v>
      </c>
      <c r="H491" s="9" t="s">
        <v>1479</v>
      </c>
      <c r="I491" s="10">
        <v>45577</v>
      </c>
    </row>
    <row r="492" spans="1:9" x14ac:dyDescent="0.15">
      <c r="A492" s="9">
        <v>491</v>
      </c>
      <c r="B492" s="9" t="s">
        <v>9</v>
      </c>
      <c r="C492" s="9">
        <v>1920</v>
      </c>
      <c r="D492" s="10">
        <v>45677</v>
      </c>
      <c r="E492" s="13" t="str">
        <f>+HYPERLINK("http://trademark.i-assist.jp/data/china/image_1920th/81352982.pdf","81352982")</f>
        <v>81352982</v>
      </c>
      <c r="F492" s="9" t="s">
        <v>1480</v>
      </c>
      <c r="G492" s="9" t="s">
        <v>1481</v>
      </c>
      <c r="H492" s="9" t="s">
        <v>1482</v>
      </c>
      <c r="I492" s="10">
        <v>45577</v>
      </c>
    </row>
    <row r="493" spans="1:9" x14ac:dyDescent="0.15">
      <c r="A493" s="9">
        <v>492</v>
      </c>
      <c r="B493" s="9" t="s">
        <v>9</v>
      </c>
      <c r="C493" s="9">
        <v>1920</v>
      </c>
      <c r="D493" s="10">
        <v>45677</v>
      </c>
      <c r="E493" s="13" t="str">
        <f>+HYPERLINK("http://trademark.i-assist.jp/data/china/image_1920th/81353330.pdf","81353330")</f>
        <v>81353330</v>
      </c>
      <c r="F493" s="12" t="s">
        <v>1483</v>
      </c>
      <c r="G493" s="12" t="s">
        <v>1413</v>
      </c>
      <c r="H493" s="12" t="s">
        <v>1484</v>
      </c>
      <c r="I493" s="10">
        <v>45577</v>
      </c>
    </row>
    <row r="494" spans="1:9" x14ac:dyDescent="0.15">
      <c r="A494" s="9">
        <v>493</v>
      </c>
      <c r="B494" s="9" t="s">
        <v>9</v>
      </c>
      <c r="C494" s="9">
        <v>1920</v>
      </c>
      <c r="D494" s="10">
        <v>45677</v>
      </c>
      <c r="E494" s="13" t="str">
        <f>+HYPERLINK("http://trademark.i-assist.jp/data/china/image_1920th/81353511.pdf","81353511")</f>
        <v>81353511</v>
      </c>
      <c r="F494" s="9">
        <v>150</v>
      </c>
      <c r="G494" s="9" t="s">
        <v>1485</v>
      </c>
      <c r="H494" s="9" t="s">
        <v>1486</v>
      </c>
      <c r="I494" s="10">
        <v>45577</v>
      </c>
    </row>
    <row r="495" spans="1:9" x14ac:dyDescent="0.15">
      <c r="A495" s="9">
        <v>494</v>
      </c>
      <c r="B495" s="9" t="s">
        <v>9</v>
      </c>
      <c r="C495" s="9">
        <v>1920</v>
      </c>
      <c r="D495" s="10">
        <v>45677</v>
      </c>
      <c r="E495" s="13" t="str">
        <f>+HYPERLINK("http://trademark.i-assist.jp/data/china/image_1920th/81354055.pdf","81354055")</f>
        <v>81354055</v>
      </c>
      <c r="F495" s="9" t="s">
        <v>1487</v>
      </c>
      <c r="G495" s="9" t="s">
        <v>1488</v>
      </c>
      <c r="H495" s="9" t="s">
        <v>1489</v>
      </c>
      <c r="I495" s="10">
        <v>45577</v>
      </c>
    </row>
    <row r="496" spans="1:9" x14ac:dyDescent="0.15">
      <c r="A496" s="9">
        <v>495</v>
      </c>
      <c r="B496" s="9" t="s">
        <v>9</v>
      </c>
      <c r="C496" s="9">
        <v>1920</v>
      </c>
      <c r="D496" s="10">
        <v>45677</v>
      </c>
      <c r="E496" s="13" t="str">
        <f>+HYPERLINK("http://trademark.i-assist.jp/data/china/image_1920th/81354285.pdf","81354285")</f>
        <v>81354285</v>
      </c>
      <c r="F496" s="9" t="s">
        <v>1490</v>
      </c>
      <c r="G496" s="9" t="s">
        <v>1491</v>
      </c>
      <c r="H496" s="9" t="s">
        <v>1492</v>
      </c>
      <c r="I496" s="10">
        <v>45577</v>
      </c>
    </row>
    <row r="497" spans="1:9" x14ac:dyDescent="0.15">
      <c r="A497" s="9">
        <v>496</v>
      </c>
      <c r="B497" s="9" t="s">
        <v>9</v>
      </c>
      <c r="C497" s="9">
        <v>1920</v>
      </c>
      <c r="D497" s="10">
        <v>45677</v>
      </c>
      <c r="E497" s="13" t="str">
        <f>+HYPERLINK("http://trademark.i-assist.jp/data/china/image_1920th/81354357.pdf","81354357")</f>
        <v>81354357</v>
      </c>
      <c r="F497" s="9" t="s">
        <v>1493</v>
      </c>
      <c r="G497" s="9" t="s">
        <v>1418</v>
      </c>
      <c r="H497" s="9" t="s">
        <v>1494</v>
      </c>
      <c r="I497" s="10">
        <v>45577</v>
      </c>
    </row>
    <row r="498" spans="1:9" x14ac:dyDescent="0.15">
      <c r="A498" s="9">
        <v>497</v>
      </c>
      <c r="B498" s="9" t="s">
        <v>9</v>
      </c>
      <c r="C498" s="9">
        <v>1920</v>
      </c>
      <c r="D498" s="10">
        <v>45677</v>
      </c>
      <c r="E498" s="13" t="str">
        <f>+HYPERLINK("http://trademark.i-assist.jp/data/china/image_1920th/81355368.pdf","81355368")</f>
        <v>81355368</v>
      </c>
      <c r="F498" s="9" t="s">
        <v>1495</v>
      </c>
      <c r="G498" s="9" t="s">
        <v>1496</v>
      </c>
      <c r="H498" s="9" t="s">
        <v>1497</v>
      </c>
      <c r="I498" s="10">
        <v>45578</v>
      </c>
    </row>
    <row r="499" spans="1:9" x14ac:dyDescent="0.15">
      <c r="A499" s="9">
        <v>498</v>
      </c>
      <c r="B499" s="9" t="s">
        <v>9</v>
      </c>
      <c r="C499" s="9">
        <v>1920</v>
      </c>
      <c r="D499" s="10">
        <v>45677</v>
      </c>
      <c r="E499" s="13" t="str">
        <f>+HYPERLINK("http://trademark.i-assist.jp/data/china/image_1920th/81355527.pdf","81355527")</f>
        <v>81355527</v>
      </c>
      <c r="F499" s="9" t="s">
        <v>1498</v>
      </c>
      <c r="G499" s="9" t="s">
        <v>1499</v>
      </c>
      <c r="H499" s="12" t="s">
        <v>1500</v>
      </c>
      <c r="I499" s="10">
        <v>45578</v>
      </c>
    </row>
    <row r="500" spans="1:9" x14ac:dyDescent="0.15">
      <c r="A500" s="9">
        <v>499</v>
      </c>
      <c r="B500" s="9" t="s">
        <v>9</v>
      </c>
      <c r="C500" s="9">
        <v>1920</v>
      </c>
      <c r="D500" s="10">
        <v>45677</v>
      </c>
      <c r="E500" s="13" t="str">
        <f>+HYPERLINK("http://trademark.i-assist.jp/data/china/image_1920th/81355705.pdf","81355705")</f>
        <v>81355705</v>
      </c>
      <c r="F500" s="9" t="s">
        <v>1501</v>
      </c>
      <c r="G500" s="9" t="s">
        <v>1502</v>
      </c>
      <c r="H500" s="9" t="s">
        <v>1503</v>
      </c>
      <c r="I500" s="10">
        <v>45578</v>
      </c>
    </row>
    <row r="501" spans="1:9" x14ac:dyDescent="0.15">
      <c r="A501" s="9">
        <v>500</v>
      </c>
      <c r="B501" s="9" t="s">
        <v>9</v>
      </c>
      <c r="C501" s="9">
        <v>1920</v>
      </c>
      <c r="D501" s="10">
        <v>45677</v>
      </c>
      <c r="E501" s="13" t="str">
        <f>+HYPERLINK("http://trademark.i-assist.jp/data/china/image_1920th/81356458.pdf","81356458")</f>
        <v>81356458</v>
      </c>
      <c r="F501" s="12" t="s">
        <v>1504</v>
      </c>
      <c r="G501" s="9" t="s">
        <v>1505</v>
      </c>
      <c r="H501" s="9" t="s">
        <v>1506</v>
      </c>
      <c r="I501" s="10">
        <v>45578</v>
      </c>
    </row>
    <row r="502" spans="1:9" x14ac:dyDescent="0.15">
      <c r="A502" s="9">
        <v>501</v>
      </c>
      <c r="B502" s="9" t="s">
        <v>9</v>
      </c>
      <c r="C502" s="9">
        <v>1920</v>
      </c>
      <c r="D502" s="10">
        <v>45677</v>
      </c>
      <c r="E502" s="13" t="str">
        <f>+HYPERLINK("http://trademark.i-assist.jp/data/china/image_1920th/81356655.pdf","81356655")</f>
        <v>81356655</v>
      </c>
      <c r="F502" s="12" t="s">
        <v>12</v>
      </c>
      <c r="G502" s="9" t="s">
        <v>1507</v>
      </c>
      <c r="H502" s="9" t="s">
        <v>1508</v>
      </c>
      <c r="I502" s="10">
        <v>45578</v>
      </c>
    </row>
    <row r="503" spans="1:9" x14ac:dyDescent="0.15">
      <c r="A503" s="9">
        <v>502</v>
      </c>
      <c r="B503" s="9" t="s">
        <v>9</v>
      </c>
      <c r="C503" s="9">
        <v>1920</v>
      </c>
      <c r="D503" s="10">
        <v>45677</v>
      </c>
      <c r="E503" s="13" t="str">
        <f>+HYPERLINK("http://trademark.i-assist.jp/data/china/image_1920th/81357494.pdf","81357494")</f>
        <v>81357494</v>
      </c>
      <c r="F503" s="9" t="s">
        <v>1509</v>
      </c>
      <c r="G503" s="9" t="s">
        <v>1510</v>
      </c>
      <c r="H503" s="12" t="s">
        <v>1511</v>
      </c>
      <c r="I503" s="10">
        <v>45578</v>
      </c>
    </row>
    <row r="504" spans="1:9" x14ac:dyDescent="0.15">
      <c r="A504" s="9">
        <v>503</v>
      </c>
      <c r="B504" s="9" t="s">
        <v>9</v>
      </c>
      <c r="C504" s="9">
        <v>1920</v>
      </c>
      <c r="D504" s="10">
        <v>45677</v>
      </c>
      <c r="E504" s="13" t="str">
        <f>+HYPERLINK("http://trademark.i-assist.jp/data/china/image_1920th/81357622.pdf","81357622")</f>
        <v>81357622</v>
      </c>
      <c r="F504" s="9" t="s">
        <v>1512</v>
      </c>
      <c r="G504" s="9" t="s">
        <v>70</v>
      </c>
      <c r="H504" s="9" t="s">
        <v>1513</v>
      </c>
      <c r="I504" s="10">
        <v>45578</v>
      </c>
    </row>
    <row r="505" spans="1:9" x14ac:dyDescent="0.15">
      <c r="A505" s="9">
        <v>504</v>
      </c>
      <c r="B505" s="9" t="s">
        <v>9</v>
      </c>
      <c r="C505" s="9">
        <v>1920</v>
      </c>
      <c r="D505" s="10">
        <v>45677</v>
      </c>
      <c r="E505" s="13" t="str">
        <f>+HYPERLINK("http://trademark.i-assist.jp/data/china/image_1920th/81357666.pdf","81357666")</f>
        <v>81357666</v>
      </c>
      <c r="F505" s="9" t="s">
        <v>1514</v>
      </c>
      <c r="G505" s="12" t="s">
        <v>1515</v>
      </c>
      <c r="H505" s="9" t="s">
        <v>1516</v>
      </c>
      <c r="I505" s="10">
        <v>45578</v>
      </c>
    </row>
    <row r="506" spans="1:9" x14ac:dyDescent="0.15">
      <c r="A506" s="9">
        <v>505</v>
      </c>
      <c r="B506" s="9" t="s">
        <v>9</v>
      </c>
      <c r="C506" s="9">
        <v>1920</v>
      </c>
      <c r="D506" s="10">
        <v>45677</v>
      </c>
      <c r="E506" s="13" t="str">
        <f>+HYPERLINK("http://trademark.i-assist.jp/data/china/image_1920th/81357939.pdf","81357939")</f>
        <v>81357939</v>
      </c>
      <c r="F506" s="9" t="s">
        <v>1517</v>
      </c>
      <c r="G506" s="9" t="s">
        <v>1518</v>
      </c>
      <c r="H506" s="9" t="s">
        <v>1519</v>
      </c>
      <c r="I506" s="10">
        <v>45578</v>
      </c>
    </row>
    <row r="507" spans="1:9" x14ac:dyDescent="0.15">
      <c r="A507" s="9">
        <v>506</v>
      </c>
      <c r="B507" s="9" t="s">
        <v>9</v>
      </c>
      <c r="C507" s="9">
        <v>1920</v>
      </c>
      <c r="D507" s="10">
        <v>45677</v>
      </c>
      <c r="E507" s="13" t="str">
        <f>+HYPERLINK("http://trademark.i-assist.jp/data/china/image_1920th/81358466.pdf","81358466")</f>
        <v>81358466</v>
      </c>
      <c r="F507" s="12" t="s">
        <v>1520</v>
      </c>
      <c r="G507" s="9" t="s">
        <v>1521</v>
      </c>
      <c r="H507" s="9" t="s">
        <v>1522</v>
      </c>
      <c r="I507" s="10">
        <v>45578</v>
      </c>
    </row>
    <row r="508" spans="1:9" x14ac:dyDescent="0.15">
      <c r="A508" s="9">
        <v>507</v>
      </c>
      <c r="B508" s="9" t="s">
        <v>9</v>
      </c>
      <c r="C508" s="9">
        <v>1920</v>
      </c>
      <c r="D508" s="10">
        <v>45677</v>
      </c>
      <c r="E508" s="13" t="str">
        <f>+HYPERLINK("http://trademark.i-assist.jp/data/china/image_1920th/81358535.pdf","81358535")</f>
        <v>81358535</v>
      </c>
      <c r="F508" s="9" t="s">
        <v>1523</v>
      </c>
      <c r="G508" s="9" t="s">
        <v>1496</v>
      </c>
      <c r="H508" s="9" t="s">
        <v>10</v>
      </c>
      <c r="I508" s="10">
        <v>45578</v>
      </c>
    </row>
    <row r="509" spans="1:9" x14ac:dyDescent="0.15">
      <c r="A509" s="9">
        <v>508</v>
      </c>
      <c r="B509" s="9" t="s">
        <v>9</v>
      </c>
      <c r="C509" s="9">
        <v>1920</v>
      </c>
      <c r="D509" s="10">
        <v>45677</v>
      </c>
      <c r="E509" s="13" t="str">
        <f>+HYPERLINK("http://trademark.i-assist.jp/data/china/image_1920th/81358847.pdf","81358847")</f>
        <v>81358847</v>
      </c>
      <c r="F509" s="9" t="s">
        <v>1524</v>
      </c>
      <c r="G509" s="12" t="s">
        <v>1525</v>
      </c>
      <c r="H509" s="9" t="s">
        <v>1526</v>
      </c>
      <c r="I509" s="10">
        <v>45579</v>
      </c>
    </row>
    <row r="510" spans="1:9" x14ac:dyDescent="0.15">
      <c r="A510" s="9">
        <v>509</v>
      </c>
      <c r="B510" s="9" t="s">
        <v>9</v>
      </c>
      <c r="C510" s="9">
        <v>1920</v>
      </c>
      <c r="D510" s="10">
        <v>45677</v>
      </c>
      <c r="E510" s="13" t="str">
        <f>+HYPERLINK("http://trademark.i-assist.jp/data/china/image_1920th/81359190.pdf","81359190")</f>
        <v>81359190</v>
      </c>
      <c r="F510" s="9" t="s">
        <v>1527</v>
      </c>
      <c r="G510" s="12" t="s">
        <v>1528</v>
      </c>
      <c r="H510" s="9" t="s">
        <v>1529</v>
      </c>
      <c r="I510" s="10">
        <v>45579</v>
      </c>
    </row>
    <row r="511" spans="1:9" x14ac:dyDescent="0.15">
      <c r="A511" s="9">
        <v>510</v>
      </c>
      <c r="B511" s="9" t="s">
        <v>9</v>
      </c>
      <c r="C511" s="9">
        <v>1920</v>
      </c>
      <c r="D511" s="10">
        <v>45677</v>
      </c>
      <c r="E511" s="13" t="str">
        <f>+HYPERLINK("http://trademark.i-assist.jp/data/china/image_1920th/81359223.pdf","81359223")</f>
        <v>81359223</v>
      </c>
      <c r="F511" s="9" t="s">
        <v>1530</v>
      </c>
      <c r="G511" s="9" t="s">
        <v>48</v>
      </c>
      <c r="H511" s="9" t="s">
        <v>1531</v>
      </c>
      <c r="I511" s="10">
        <v>45579</v>
      </c>
    </row>
    <row r="512" spans="1:9" x14ac:dyDescent="0.15">
      <c r="A512" s="9">
        <v>511</v>
      </c>
      <c r="B512" s="9" t="s">
        <v>9</v>
      </c>
      <c r="C512" s="9">
        <v>1920</v>
      </c>
      <c r="D512" s="10">
        <v>45677</v>
      </c>
      <c r="E512" s="13" t="str">
        <f>+HYPERLINK("http://trademark.i-assist.jp/data/china/image_1920th/81359567.pdf","81359567")</f>
        <v>81359567</v>
      </c>
      <c r="F512" s="12" t="s">
        <v>1532</v>
      </c>
      <c r="G512" s="12" t="s">
        <v>1533</v>
      </c>
      <c r="H512" s="9" t="s">
        <v>1534</v>
      </c>
      <c r="I512" s="10">
        <v>45579</v>
      </c>
    </row>
    <row r="513" spans="1:9" x14ac:dyDescent="0.15">
      <c r="A513" s="9">
        <v>512</v>
      </c>
      <c r="B513" s="9" t="s">
        <v>9</v>
      </c>
      <c r="C513" s="9">
        <v>1920</v>
      </c>
      <c r="D513" s="10">
        <v>45677</v>
      </c>
      <c r="E513" s="13" t="str">
        <f>+HYPERLINK("http://trademark.i-assist.jp/data/china/image_1920th/81359870.pdf","81359870")</f>
        <v>81359870</v>
      </c>
      <c r="F513" s="9" t="s">
        <v>1535</v>
      </c>
      <c r="G513" s="9" t="s">
        <v>1536</v>
      </c>
      <c r="H513" s="9" t="s">
        <v>1537</v>
      </c>
      <c r="I513" s="10">
        <v>45579</v>
      </c>
    </row>
    <row r="514" spans="1:9" x14ac:dyDescent="0.15">
      <c r="A514" s="9">
        <v>513</v>
      </c>
      <c r="B514" s="9" t="s">
        <v>9</v>
      </c>
      <c r="C514" s="9">
        <v>1920</v>
      </c>
      <c r="D514" s="10">
        <v>45677</v>
      </c>
      <c r="E514" s="13" t="str">
        <f>+HYPERLINK("http://trademark.i-assist.jp/data/china/image_1920th/81361347.pdf","81361347")</f>
        <v>81361347</v>
      </c>
      <c r="F514" s="9" t="s">
        <v>1538</v>
      </c>
      <c r="G514" s="9" t="s">
        <v>1539</v>
      </c>
      <c r="H514" s="9" t="s">
        <v>1540</v>
      </c>
      <c r="I514" s="10">
        <v>45579</v>
      </c>
    </row>
    <row r="515" spans="1:9" x14ac:dyDescent="0.15">
      <c r="A515" s="9">
        <v>514</v>
      </c>
      <c r="B515" s="9" t="s">
        <v>9</v>
      </c>
      <c r="C515" s="9">
        <v>1920</v>
      </c>
      <c r="D515" s="10">
        <v>45677</v>
      </c>
      <c r="E515" s="13" t="str">
        <f>+HYPERLINK("http://trademark.i-assist.jp/data/china/image_1920th/81361760.pdf","81361760")</f>
        <v>81361760</v>
      </c>
      <c r="F515" s="9" t="s">
        <v>1541</v>
      </c>
      <c r="G515" s="9" t="s">
        <v>1542</v>
      </c>
      <c r="H515" s="9" t="s">
        <v>1543</v>
      </c>
      <c r="I515" s="10">
        <v>45579</v>
      </c>
    </row>
    <row r="516" spans="1:9" x14ac:dyDescent="0.15">
      <c r="A516" s="9">
        <v>515</v>
      </c>
      <c r="B516" s="9" t="s">
        <v>9</v>
      </c>
      <c r="C516" s="9">
        <v>1920</v>
      </c>
      <c r="D516" s="10">
        <v>45677</v>
      </c>
      <c r="E516" s="13" t="str">
        <f>+HYPERLINK("http://trademark.i-assist.jp/data/china/image_1920th/81362484.pdf","81362484")</f>
        <v>81362484</v>
      </c>
      <c r="F516" s="9" t="s">
        <v>1544</v>
      </c>
      <c r="G516" s="9" t="s">
        <v>1545</v>
      </c>
      <c r="H516" s="9" t="s">
        <v>1546</v>
      </c>
      <c r="I516" s="10">
        <v>45579</v>
      </c>
    </row>
    <row r="517" spans="1:9" x14ac:dyDescent="0.15">
      <c r="A517" s="9">
        <v>516</v>
      </c>
      <c r="B517" s="9" t="s">
        <v>9</v>
      </c>
      <c r="C517" s="9">
        <v>1920</v>
      </c>
      <c r="D517" s="10">
        <v>45677</v>
      </c>
      <c r="E517" s="13" t="str">
        <f>+HYPERLINK("http://trademark.i-assist.jp/data/china/image_1920th/81362894.pdf","81362894")</f>
        <v>81362894</v>
      </c>
      <c r="F517" s="12" t="s">
        <v>1547</v>
      </c>
      <c r="G517" s="9" t="s">
        <v>1548</v>
      </c>
      <c r="H517" s="9" t="s">
        <v>1549</v>
      </c>
      <c r="I517" s="10">
        <v>45579</v>
      </c>
    </row>
    <row r="518" spans="1:9" x14ac:dyDescent="0.15">
      <c r="A518" s="9">
        <v>517</v>
      </c>
      <c r="B518" s="9" t="s">
        <v>9</v>
      </c>
      <c r="C518" s="9">
        <v>1920</v>
      </c>
      <c r="D518" s="10">
        <v>45677</v>
      </c>
      <c r="E518" s="13" t="str">
        <f>+HYPERLINK("http://trademark.i-assist.jp/data/china/image_1920th/81363173.pdf","81363173")</f>
        <v>81363173</v>
      </c>
      <c r="F518" s="9" t="s">
        <v>1550</v>
      </c>
      <c r="G518" s="12" t="s">
        <v>1551</v>
      </c>
      <c r="H518" s="9" t="s">
        <v>1552</v>
      </c>
      <c r="I518" s="10">
        <v>45579</v>
      </c>
    </row>
    <row r="519" spans="1:9" x14ac:dyDescent="0.15">
      <c r="A519" s="9">
        <v>518</v>
      </c>
      <c r="B519" s="9" t="s">
        <v>9</v>
      </c>
      <c r="C519" s="9">
        <v>1920</v>
      </c>
      <c r="D519" s="10">
        <v>45677</v>
      </c>
      <c r="E519" s="13" t="str">
        <f>+HYPERLINK("http://trademark.i-assist.jp/data/china/image_1920th/81363814.pdf","81363814")</f>
        <v>81363814</v>
      </c>
      <c r="F519" s="9" t="s">
        <v>1553</v>
      </c>
      <c r="G519" s="12" t="s">
        <v>1554</v>
      </c>
      <c r="H519" s="9" t="s">
        <v>1555</v>
      </c>
      <c r="I519" s="10">
        <v>45579</v>
      </c>
    </row>
    <row r="520" spans="1:9" x14ac:dyDescent="0.15">
      <c r="A520" s="9">
        <v>519</v>
      </c>
      <c r="B520" s="9" t="s">
        <v>9</v>
      </c>
      <c r="C520" s="9">
        <v>1920</v>
      </c>
      <c r="D520" s="10">
        <v>45677</v>
      </c>
      <c r="E520" s="13" t="str">
        <f>+HYPERLINK("http://trademark.i-assist.jp/data/china/image_1920th/81363866.pdf","81363866")</f>
        <v>81363866</v>
      </c>
      <c r="F520" s="9" t="s">
        <v>1556</v>
      </c>
      <c r="G520" s="9" t="s">
        <v>1557</v>
      </c>
      <c r="H520" s="9" t="s">
        <v>1558</v>
      </c>
      <c r="I520" s="10">
        <v>45579</v>
      </c>
    </row>
    <row r="521" spans="1:9" x14ac:dyDescent="0.15">
      <c r="A521" s="9">
        <v>520</v>
      </c>
      <c r="B521" s="9" t="s">
        <v>9</v>
      </c>
      <c r="C521" s="9">
        <v>1920</v>
      </c>
      <c r="D521" s="10">
        <v>45677</v>
      </c>
      <c r="E521" s="13" t="str">
        <f>+HYPERLINK("http://trademark.i-assist.jp/data/china/image_1920th/81364684.pdf","81364684")</f>
        <v>81364684</v>
      </c>
      <c r="F521" s="9" t="s">
        <v>1559</v>
      </c>
      <c r="G521" s="9" t="s">
        <v>1560</v>
      </c>
      <c r="H521" s="9" t="s">
        <v>1561</v>
      </c>
      <c r="I521" s="10">
        <v>45579</v>
      </c>
    </row>
    <row r="522" spans="1:9" x14ac:dyDescent="0.15">
      <c r="A522" s="9">
        <v>521</v>
      </c>
      <c r="B522" s="9" t="s">
        <v>9</v>
      </c>
      <c r="C522" s="9">
        <v>1920</v>
      </c>
      <c r="D522" s="10">
        <v>45677</v>
      </c>
      <c r="E522" s="13" t="str">
        <f>+HYPERLINK("http://trademark.i-assist.jp/data/china/image_1920th/81364881.pdf","81364881")</f>
        <v>81364881</v>
      </c>
      <c r="F522" s="9" t="s">
        <v>1562</v>
      </c>
      <c r="G522" s="9" t="s">
        <v>1563</v>
      </c>
      <c r="H522" s="9" t="s">
        <v>1564</v>
      </c>
      <c r="I522" s="10">
        <v>45579</v>
      </c>
    </row>
    <row r="523" spans="1:9" x14ac:dyDescent="0.15">
      <c r="A523" s="9">
        <v>522</v>
      </c>
      <c r="B523" s="9" t="s">
        <v>9</v>
      </c>
      <c r="C523" s="9">
        <v>1920</v>
      </c>
      <c r="D523" s="10">
        <v>45677</v>
      </c>
      <c r="E523" s="13" t="str">
        <f>+HYPERLINK("http://trademark.i-assist.jp/data/china/image_1920th/81365881.pdf","81365881")</f>
        <v>81365881</v>
      </c>
      <c r="F523" s="9" t="s">
        <v>1565</v>
      </c>
      <c r="G523" s="9" t="s">
        <v>1566</v>
      </c>
      <c r="H523" s="9" t="s">
        <v>1567</v>
      </c>
      <c r="I523" s="10">
        <v>45579</v>
      </c>
    </row>
    <row r="524" spans="1:9" x14ac:dyDescent="0.15">
      <c r="A524" s="9">
        <v>523</v>
      </c>
      <c r="B524" s="9" t="s">
        <v>9</v>
      </c>
      <c r="C524" s="9">
        <v>1920</v>
      </c>
      <c r="D524" s="10">
        <v>45677</v>
      </c>
      <c r="E524" s="13" t="str">
        <f>+HYPERLINK("http://trademark.i-assist.jp/data/china/image_1920th/81366179.pdf","81366179")</f>
        <v>81366179</v>
      </c>
      <c r="F524" s="9" t="s">
        <v>1568</v>
      </c>
      <c r="G524" s="12" t="s">
        <v>1569</v>
      </c>
      <c r="H524" s="9" t="s">
        <v>1570</v>
      </c>
      <c r="I524" s="10">
        <v>45579</v>
      </c>
    </row>
    <row r="525" spans="1:9" x14ac:dyDescent="0.15">
      <c r="A525" s="9">
        <v>524</v>
      </c>
      <c r="B525" s="9" t="s">
        <v>9</v>
      </c>
      <c r="C525" s="9">
        <v>1920</v>
      </c>
      <c r="D525" s="10">
        <v>45677</v>
      </c>
      <c r="E525" s="13" t="str">
        <f>+HYPERLINK("http://trademark.i-assist.jp/data/china/image_1920th/81366614.pdf","81366614")</f>
        <v>81366614</v>
      </c>
      <c r="F525" s="9" t="s">
        <v>1571</v>
      </c>
      <c r="G525" s="12" t="s">
        <v>1528</v>
      </c>
      <c r="H525" s="9" t="s">
        <v>1572</v>
      </c>
      <c r="I525" s="10">
        <v>45579</v>
      </c>
    </row>
    <row r="526" spans="1:9" x14ac:dyDescent="0.15">
      <c r="A526" s="9">
        <v>525</v>
      </c>
      <c r="B526" s="9" t="s">
        <v>9</v>
      </c>
      <c r="C526" s="9">
        <v>1920</v>
      </c>
      <c r="D526" s="10">
        <v>45677</v>
      </c>
      <c r="E526" s="13" t="str">
        <f>+HYPERLINK("http://trademark.i-assist.jp/data/china/image_1920th/81366736.pdf","81366736")</f>
        <v>81366736</v>
      </c>
      <c r="F526" s="9" t="s">
        <v>1573</v>
      </c>
      <c r="G526" s="12" t="s">
        <v>1574</v>
      </c>
      <c r="H526" s="9" t="s">
        <v>1575</v>
      </c>
      <c r="I526" s="10">
        <v>45579</v>
      </c>
    </row>
    <row r="527" spans="1:9" x14ac:dyDescent="0.15">
      <c r="A527" s="9">
        <v>526</v>
      </c>
      <c r="B527" s="9" t="s">
        <v>9</v>
      </c>
      <c r="C527" s="9">
        <v>1920</v>
      </c>
      <c r="D527" s="10">
        <v>45677</v>
      </c>
      <c r="E527" s="13" t="str">
        <f>+HYPERLINK("http://trademark.i-assist.jp/data/china/image_1920th/81366820.pdf","81366820")</f>
        <v>81366820</v>
      </c>
      <c r="F527" s="9" t="s">
        <v>1576</v>
      </c>
      <c r="G527" s="9" t="s">
        <v>105</v>
      </c>
      <c r="H527" s="9" t="s">
        <v>1577</v>
      </c>
      <c r="I527" s="10">
        <v>45579</v>
      </c>
    </row>
    <row r="528" spans="1:9" x14ac:dyDescent="0.15">
      <c r="A528" s="9">
        <v>527</v>
      </c>
      <c r="B528" s="9" t="s">
        <v>9</v>
      </c>
      <c r="C528" s="9">
        <v>1920</v>
      </c>
      <c r="D528" s="10">
        <v>45677</v>
      </c>
      <c r="E528" s="13" t="str">
        <f>+HYPERLINK("http://trademark.i-assist.jp/data/china/image_1920th/81367042.pdf","81367042")</f>
        <v>81367042</v>
      </c>
      <c r="F528" s="9" t="s">
        <v>1578</v>
      </c>
      <c r="G528" s="12" t="s">
        <v>1579</v>
      </c>
      <c r="H528" s="9" t="s">
        <v>1580</v>
      </c>
      <c r="I528" s="10">
        <v>45579</v>
      </c>
    </row>
    <row r="529" spans="1:9" x14ac:dyDescent="0.15">
      <c r="A529" s="9">
        <v>528</v>
      </c>
      <c r="B529" s="9" t="s">
        <v>9</v>
      </c>
      <c r="C529" s="9">
        <v>1920</v>
      </c>
      <c r="D529" s="10">
        <v>45677</v>
      </c>
      <c r="E529" s="13" t="str">
        <f>+HYPERLINK("http://trademark.i-assist.jp/data/china/image_1920th/81369600.pdf","81369600")</f>
        <v>81369600</v>
      </c>
      <c r="F529" s="12" t="s">
        <v>1581</v>
      </c>
      <c r="G529" s="9" t="s">
        <v>1582</v>
      </c>
      <c r="H529" s="9" t="s">
        <v>1583</v>
      </c>
      <c r="I529" s="10">
        <v>45579</v>
      </c>
    </row>
    <row r="530" spans="1:9" x14ac:dyDescent="0.15">
      <c r="A530" s="9">
        <v>529</v>
      </c>
      <c r="B530" s="9" t="s">
        <v>9</v>
      </c>
      <c r="C530" s="9">
        <v>1920</v>
      </c>
      <c r="D530" s="10">
        <v>45677</v>
      </c>
      <c r="E530" s="13" t="str">
        <f>+HYPERLINK("http://trademark.i-assist.jp/data/china/image_1920th/81369661.pdf","81369661")</f>
        <v>81369661</v>
      </c>
      <c r="F530" s="9" t="s">
        <v>1584</v>
      </c>
      <c r="G530" s="9" t="s">
        <v>1536</v>
      </c>
      <c r="H530" s="9" t="s">
        <v>1585</v>
      </c>
      <c r="I530" s="10">
        <v>45579</v>
      </c>
    </row>
    <row r="531" spans="1:9" x14ac:dyDescent="0.15">
      <c r="A531" s="9">
        <v>530</v>
      </c>
      <c r="B531" s="9" t="s">
        <v>9</v>
      </c>
      <c r="C531" s="9">
        <v>1920</v>
      </c>
      <c r="D531" s="10">
        <v>45677</v>
      </c>
      <c r="E531" s="13" t="str">
        <f>+HYPERLINK("http://trademark.i-assist.jp/data/china/image_1920th/81369697.pdf","81369697")</f>
        <v>81369697</v>
      </c>
      <c r="F531" s="12" t="s">
        <v>1586</v>
      </c>
      <c r="G531" s="9" t="s">
        <v>1587</v>
      </c>
      <c r="H531" s="9" t="s">
        <v>1588</v>
      </c>
      <c r="I531" s="10">
        <v>45579</v>
      </c>
    </row>
    <row r="532" spans="1:9" x14ac:dyDescent="0.15">
      <c r="A532" s="9">
        <v>531</v>
      </c>
      <c r="B532" s="9" t="s">
        <v>9</v>
      </c>
      <c r="C532" s="9">
        <v>1920</v>
      </c>
      <c r="D532" s="10">
        <v>45677</v>
      </c>
      <c r="E532" s="13" t="str">
        <f>+HYPERLINK("http://trademark.i-assist.jp/data/china/image_1920th/81369778.pdf","81369778")</f>
        <v>81369778</v>
      </c>
      <c r="F532" s="9" t="s">
        <v>1589</v>
      </c>
      <c r="G532" s="9" t="s">
        <v>1590</v>
      </c>
      <c r="H532" s="9" t="s">
        <v>1591</v>
      </c>
      <c r="I532" s="10">
        <v>45579</v>
      </c>
    </row>
    <row r="533" spans="1:9" x14ac:dyDescent="0.15">
      <c r="A533" s="9">
        <v>532</v>
      </c>
      <c r="B533" s="9" t="s">
        <v>9</v>
      </c>
      <c r="C533" s="9">
        <v>1920</v>
      </c>
      <c r="D533" s="10">
        <v>45677</v>
      </c>
      <c r="E533" s="13" t="str">
        <f>+HYPERLINK("http://trademark.i-assist.jp/data/china/image_1920th/81370314.pdf","81370314")</f>
        <v>81370314</v>
      </c>
      <c r="F533" s="9" t="s">
        <v>1592</v>
      </c>
      <c r="G533" s="9" t="s">
        <v>1593</v>
      </c>
      <c r="H533" s="9" t="s">
        <v>1594</v>
      </c>
      <c r="I533" s="10">
        <v>45579</v>
      </c>
    </row>
    <row r="534" spans="1:9" x14ac:dyDescent="0.15">
      <c r="A534" s="9">
        <v>533</v>
      </c>
      <c r="B534" s="9" t="s">
        <v>9</v>
      </c>
      <c r="C534" s="9">
        <v>1920</v>
      </c>
      <c r="D534" s="10">
        <v>45677</v>
      </c>
      <c r="E534" s="13" t="str">
        <f>+HYPERLINK("http://trademark.i-assist.jp/data/china/image_1920th/81370789.pdf","81370789")</f>
        <v>81370789</v>
      </c>
      <c r="F534" s="9" t="s">
        <v>1595</v>
      </c>
      <c r="G534" s="9" t="s">
        <v>1596</v>
      </c>
      <c r="H534" s="9" t="s">
        <v>1597</v>
      </c>
      <c r="I534" s="10">
        <v>45579</v>
      </c>
    </row>
    <row r="535" spans="1:9" x14ac:dyDescent="0.15">
      <c r="A535" s="9">
        <v>534</v>
      </c>
      <c r="B535" s="9" t="s">
        <v>9</v>
      </c>
      <c r="C535" s="9">
        <v>1920</v>
      </c>
      <c r="D535" s="10">
        <v>45677</v>
      </c>
      <c r="E535" s="13" t="str">
        <f>+HYPERLINK("http://trademark.i-assist.jp/data/china/image_1920th/81371448.pdf","81371448")</f>
        <v>81371448</v>
      </c>
      <c r="F535" s="9" t="s">
        <v>1598</v>
      </c>
      <c r="G535" s="9" t="s">
        <v>1599</v>
      </c>
      <c r="H535" s="9" t="s">
        <v>1600</v>
      </c>
      <c r="I535" s="10">
        <v>45579</v>
      </c>
    </row>
    <row r="536" spans="1:9" x14ac:dyDescent="0.15">
      <c r="A536" s="9">
        <v>535</v>
      </c>
      <c r="B536" s="9" t="s">
        <v>9</v>
      </c>
      <c r="C536" s="9">
        <v>1920</v>
      </c>
      <c r="D536" s="10">
        <v>45677</v>
      </c>
      <c r="E536" s="13" t="str">
        <f>+HYPERLINK("http://trademark.i-assist.jp/data/china/image_1920th/81372996.pdf","81372996")</f>
        <v>81372996</v>
      </c>
      <c r="F536" s="9" t="s">
        <v>1601</v>
      </c>
      <c r="G536" s="9" t="s">
        <v>1602</v>
      </c>
      <c r="H536" s="9" t="s">
        <v>1603</v>
      </c>
      <c r="I536" s="10">
        <v>45579</v>
      </c>
    </row>
    <row r="537" spans="1:9" x14ac:dyDescent="0.15">
      <c r="A537" s="9">
        <v>536</v>
      </c>
      <c r="B537" s="9" t="s">
        <v>9</v>
      </c>
      <c r="C537" s="9">
        <v>1920</v>
      </c>
      <c r="D537" s="10">
        <v>45677</v>
      </c>
      <c r="E537" s="13" t="str">
        <f>+HYPERLINK("http://trademark.i-assist.jp/data/china/image_1920th/81373465.pdf","81373465")</f>
        <v>81373465</v>
      </c>
      <c r="F537" s="9" t="s">
        <v>1604</v>
      </c>
      <c r="G537" s="12" t="s">
        <v>1605</v>
      </c>
      <c r="H537" s="9" t="s">
        <v>1606</v>
      </c>
      <c r="I537" s="10">
        <v>45579</v>
      </c>
    </row>
    <row r="538" spans="1:9" x14ac:dyDescent="0.15">
      <c r="A538" s="9">
        <v>537</v>
      </c>
      <c r="B538" s="9" t="s">
        <v>9</v>
      </c>
      <c r="C538" s="9">
        <v>1920</v>
      </c>
      <c r="D538" s="10">
        <v>45677</v>
      </c>
      <c r="E538" s="13" t="str">
        <f>+HYPERLINK("http://trademark.i-assist.jp/data/china/image_1920th/81373651.pdf","81373651")</f>
        <v>81373651</v>
      </c>
      <c r="F538" s="9" t="s">
        <v>1607</v>
      </c>
      <c r="G538" s="9" t="s">
        <v>1608</v>
      </c>
      <c r="H538" s="9" t="s">
        <v>1609</v>
      </c>
      <c r="I538" s="10">
        <v>45579</v>
      </c>
    </row>
    <row r="539" spans="1:9" x14ac:dyDescent="0.15">
      <c r="A539" s="9">
        <v>538</v>
      </c>
      <c r="B539" s="9" t="s">
        <v>9</v>
      </c>
      <c r="C539" s="9">
        <v>1920</v>
      </c>
      <c r="D539" s="10">
        <v>45677</v>
      </c>
      <c r="E539" s="13" t="str">
        <f>+HYPERLINK("http://trademark.i-assist.jp/data/china/image_1920th/81373715.pdf","81373715")</f>
        <v>81373715</v>
      </c>
      <c r="F539" s="9" t="s">
        <v>1610</v>
      </c>
      <c r="G539" s="9" t="s">
        <v>74</v>
      </c>
      <c r="H539" s="9" t="s">
        <v>1611</v>
      </c>
      <c r="I539" s="10">
        <v>45579</v>
      </c>
    </row>
    <row r="540" spans="1:9" x14ac:dyDescent="0.15">
      <c r="A540" s="9">
        <v>539</v>
      </c>
      <c r="B540" s="9" t="s">
        <v>9</v>
      </c>
      <c r="C540" s="9">
        <v>1920</v>
      </c>
      <c r="D540" s="10">
        <v>45677</v>
      </c>
      <c r="E540" s="13" t="str">
        <f>+HYPERLINK("http://trademark.i-assist.jp/data/china/image_1920th/81373874.pdf","81373874")</f>
        <v>81373874</v>
      </c>
      <c r="F540" s="9" t="s">
        <v>1612</v>
      </c>
      <c r="G540" s="12" t="s">
        <v>1613</v>
      </c>
      <c r="H540" s="9" t="s">
        <v>1614</v>
      </c>
      <c r="I540" s="10">
        <v>45579</v>
      </c>
    </row>
    <row r="541" spans="1:9" x14ac:dyDescent="0.15">
      <c r="A541" s="9">
        <v>540</v>
      </c>
      <c r="B541" s="9" t="s">
        <v>9</v>
      </c>
      <c r="C541" s="9">
        <v>1920</v>
      </c>
      <c r="D541" s="10">
        <v>45677</v>
      </c>
      <c r="E541" s="13" t="str">
        <f>+HYPERLINK("http://trademark.i-assist.jp/data/china/image_1920th/81374947.pdf","81374947")</f>
        <v>81374947</v>
      </c>
      <c r="F541" s="12" t="s">
        <v>1615</v>
      </c>
      <c r="G541" s="12" t="s">
        <v>1616</v>
      </c>
      <c r="H541" s="9" t="s">
        <v>1617</v>
      </c>
      <c r="I541" s="10">
        <v>45579</v>
      </c>
    </row>
    <row r="542" spans="1:9" x14ac:dyDescent="0.15">
      <c r="A542" s="9">
        <v>541</v>
      </c>
      <c r="B542" s="9" t="s">
        <v>9</v>
      </c>
      <c r="C542" s="9">
        <v>1920</v>
      </c>
      <c r="D542" s="10">
        <v>45677</v>
      </c>
      <c r="E542" s="13" t="str">
        <f>+HYPERLINK("http://trademark.i-assist.jp/data/china/image_1920th/81375024.pdf","81375024")</f>
        <v>81375024</v>
      </c>
      <c r="F542" s="9" t="s">
        <v>1618</v>
      </c>
      <c r="G542" s="9" t="s">
        <v>1619</v>
      </c>
      <c r="H542" s="9" t="s">
        <v>1620</v>
      </c>
      <c r="I542" s="10">
        <v>45579</v>
      </c>
    </row>
    <row r="543" spans="1:9" x14ac:dyDescent="0.15">
      <c r="A543" s="9">
        <v>542</v>
      </c>
      <c r="B543" s="9" t="s">
        <v>9</v>
      </c>
      <c r="C543" s="9">
        <v>1920</v>
      </c>
      <c r="D543" s="10">
        <v>45677</v>
      </c>
      <c r="E543" s="13" t="str">
        <f>+HYPERLINK("http://trademark.i-assist.jp/data/china/image_1920th/81375284.pdf","81375284")</f>
        <v>81375284</v>
      </c>
      <c r="F543" s="9" t="s">
        <v>1621</v>
      </c>
      <c r="G543" s="9" t="s">
        <v>1622</v>
      </c>
      <c r="H543" s="9" t="s">
        <v>1623</v>
      </c>
      <c r="I543" s="10">
        <v>45579</v>
      </c>
    </row>
    <row r="544" spans="1:9" x14ac:dyDescent="0.15">
      <c r="A544" s="9">
        <v>543</v>
      </c>
      <c r="B544" s="9" t="s">
        <v>9</v>
      </c>
      <c r="C544" s="9">
        <v>1920</v>
      </c>
      <c r="D544" s="10">
        <v>45677</v>
      </c>
      <c r="E544" s="13" t="str">
        <f>+HYPERLINK("http://trademark.i-assist.jp/data/china/image_1920th/81375687.pdf","81375687")</f>
        <v>81375687</v>
      </c>
      <c r="F544" s="9" t="s">
        <v>1624</v>
      </c>
      <c r="G544" s="9" t="s">
        <v>1319</v>
      </c>
      <c r="H544" s="9" t="s">
        <v>1625</v>
      </c>
      <c r="I544" s="10">
        <v>45579</v>
      </c>
    </row>
    <row r="545" spans="1:9" x14ac:dyDescent="0.15">
      <c r="A545" s="9">
        <v>544</v>
      </c>
      <c r="B545" s="9" t="s">
        <v>9</v>
      </c>
      <c r="C545" s="9">
        <v>1920</v>
      </c>
      <c r="D545" s="10">
        <v>45677</v>
      </c>
      <c r="E545" s="13" t="str">
        <f>+HYPERLINK("http://trademark.i-assist.jp/data/china/image_1920th/81375890.pdf","81375890")</f>
        <v>81375890</v>
      </c>
      <c r="F545" s="9" t="s">
        <v>1626</v>
      </c>
      <c r="G545" s="9" t="s">
        <v>1627</v>
      </c>
      <c r="H545" s="12" t="s">
        <v>1628</v>
      </c>
      <c r="I545" s="10">
        <v>45579</v>
      </c>
    </row>
    <row r="546" spans="1:9" x14ac:dyDescent="0.15">
      <c r="A546" s="9">
        <v>545</v>
      </c>
      <c r="B546" s="9" t="s">
        <v>9</v>
      </c>
      <c r="C546" s="9">
        <v>1920</v>
      </c>
      <c r="D546" s="10">
        <v>45677</v>
      </c>
      <c r="E546" s="13" t="str">
        <f>+HYPERLINK("http://trademark.i-assist.jp/data/china/image_1920th/81375920.pdf","81375920")</f>
        <v>81375920</v>
      </c>
      <c r="F546" s="9" t="s">
        <v>1629</v>
      </c>
      <c r="G546" s="12" t="s">
        <v>79</v>
      </c>
      <c r="H546" s="9" t="s">
        <v>1630</v>
      </c>
      <c r="I546" s="10">
        <v>45579</v>
      </c>
    </row>
    <row r="547" spans="1:9" x14ac:dyDescent="0.15">
      <c r="A547" s="9">
        <v>546</v>
      </c>
      <c r="B547" s="9" t="s">
        <v>9</v>
      </c>
      <c r="C547" s="9">
        <v>1920</v>
      </c>
      <c r="D547" s="10">
        <v>45677</v>
      </c>
      <c r="E547" s="13" t="str">
        <f>+HYPERLINK("http://trademark.i-assist.jp/data/china/image_1920th/81376195.pdf","81376195")</f>
        <v>81376195</v>
      </c>
      <c r="F547" s="9" t="s">
        <v>1631</v>
      </c>
      <c r="G547" s="9" t="s">
        <v>74</v>
      </c>
      <c r="H547" s="12" t="s">
        <v>1632</v>
      </c>
      <c r="I547" s="10">
        <v>45579</v>
      </c>
    </row>
    <row r="548" spans="1:9" x14ac:dyDescent="0.15">
      <c r="A548" s="9">
        <v>547</v>
      </c>
      <c r="B548" s="9" t="s">
        <v>9</v>
      </c>
      <c r="C548" s="9">
        <v>1920</v>
      </c>
      <c r="D548" s="10">
        <v>45677</v>
      </c>
      <c r="E548" s="13" t="str">
        <f>+HYPERLINK("http://trademark.i-assist.jp/data/china/image_1920th/81377516.pdf","81377516")</f>
        <v>81377516</v>
      </c>
      <c r="F548" s="9" t="s">
        <v>1633</v>
      </c>
      <c r="G548" s="9" t="s">
        <v>1634</v>
      </c>
      <c r="H548" s="9" t="s">
        <v>1635</v>
      </c>
      <c r="I548" s="10">
        <v>45579</v>
      </c>
    </row>
    <row r="549" spans="1:9" x14ac:dyDescent="0.15">
      <c r="A549" s="9">
        <v>548</v>
      </c>
      <c r="B549" s="9" t="s">
        <v>9</v>
      </c>
      <c r="C549" s="9">
        <v>1920</v>
      </c>
      <c r="D549" s="10">
        <v>45677</v>
      </c>
      <c r="E549" s="13" t="str">
        <f>+HYPERLINK("http://trademark.i-assist.jp/data/china/image_1920th/81377681.pdf","81377681")</f>
        <v>81377681</v>
      </c>
      <c r="F549" s="9" t="s">
        <v>1636</v>
      </c>
      <c r="G549" s="9" t="s">
        <v>1637</v>
      </c>
      <c r="H549" s="9" t="s">
        <v>1638</v>
      </c>
      <c r="I549" s="10">
        <v>45579</v>
      </c>
    </row>
    <row r="550" spans="1:9" x14ac:dyDescent="0.15">
      <c r="A550" s="9">
        <v>549</v>
      </c>
      <c r="B550" s="9" t="s">
        <v>9</v>
      </c>
      <c r="C550" s="9">
        <v>1920</v>
      </c>
      <c r="D550" s="10">
        <v>45677</v>
      </c>
      <c r="E550" s="13" t="str">
        <f>+HYPERLINK("http://trademark.i-assist.jp/data/china/image_1920th/81377952.pdf","81377952")</f>
        <v>81377952</v>
      </c>
      <c r="F550" s="12" t="s">
        <v>1581</v>
      </c>
      <c r="G550" s="9" t="s">
        <v>1582</v>
      </c>
      <c r="H550" s="9" t="s">
        <v>1639</v>
      </c>
      <c r="I550" s="10">
        <v>45579</v>
      </c>
    </row>
    <row r="551" spans="1:9" x14ac:dyDescent="0.15">
      <c r="A551" s="9">
        <v>550</v>
      </c>
      <c r="B551" s="9" t="s">
        <v>9</v>
      </c>
      <c r="C551" s="9">
        <v>1920</v>
      </c>
      <c r="D551" s="10">
        <v>45677</v>
      </c>
      <c r="E551" s="13" t="str">
        <f>+HYPERLINK("http://trademark.i-assist.jp/data/china/image_1920th/81378914.pdf","81378914")</f>
        <v>81378914</v>
      </c>
      <c r="F551" s="12" t="s">
        <v>1640</v>
      </c>
      <c r="G551" s="9" t="s">
        <v>1641</v>
      </c>
      <c r="H551" s="9" t="s">
        <v>1642</v>
      </c>
      <c r="I551" s="10">
        <v>45579</v>
      </c>
    </row>
    <row r="552" spans="1:9" x14ac:dyDescent="0.15">
      <c r="A552" s="9">
        <v>551</v>
      </c>
      <c r="B552" s="9" t="s">
        <v>9</v>
      </c>
      <c r="C552" s="9">
        <v>1920</v>
      </c>
      <c r="D552" s="10">
        <v>45677</v>
      </c>
      <c r="E552" s="13" t="str">
        <f>+HYPERLINK("http://trademark.i-assist.jp/data/china/image_1920th/81379133.pdf","81379133")</f>
        <v>81379133</v>
      </c>
      <c r="F552" s="9" t="s">
        <v>1643</v>
      </c>
      <c r="G552" s="9" t="s">
        <v>1644</v>
      </c>
      <c r="H552" s="9" t="s">
        <v>1645</v>
      </c>
      <c r="I552" s="10">
        <v>45579</v>
      </c>
    </row>
    <row r="553" spans="1:9" x14ac:dyDescent="0.15">
      <c r="A553" s="9">
        <v>552</v>
      </c>
      <c r="B553" s="9" t="s">
        <v>9</v>
      </c>
      <c r="C553" s="9">
        <v>1920</v>
      </c>
      <c r="D553" s="10">
        <v>45677</v>
      </c>
      <c r="E553" s="13" t="str">
        <f>+HYPERLINK("http://trademark.i-assist.jp/data/china/image_1920th/81379653.pdf","81379653")</f>
        <v>81379653</v>
      </c>
      <c r="F553" s="9" t="s">
        <v>1646</v>
      </c>
      <c r="G553" s="9" t="s">
        <v>1545</v>
      </c>
      <c r="H553" s="9" t="s">
        <v>1647</v>
      </c>
      <c r="I553" s="10">
        <v>45579</v>
      </c>
    </row>
    <row r="554" spans="1:9" x14ac:dyDescent="0.15">
      <c r="A554" s="9">
        <v>553</v>
      </c>
      <c r="B554" s="9" t="s">
        <v>9</v>
      </c>
      <c r="C554" s="9">
        <v>1920</v>
      </c>
      <c r="D554" s="10">
        <v>45677</v>
      </c>
      <c r="E554" s="13" t="str">
        <f>+HYPERLINK("http://trademark.i-assist.jp/data/china/image_1920th/81381886.pdf","81381886")</f>
        <v>81381886</v>
      </c>
      <c r="F554" s="9" t="s">
        <v>1648</v>
      </c>
      <c r="G554" s="12" t="s">
        <v>1649</v>
      </c>
      <c r="H554" s="9" t="s">
        <v>1650</v>
      </c>
      <c r="I554" s="10">
        <v>45580</v>
      </c>
    </row>
    <row r="555" spans="1:9" x14ac:dyDescent="0.15">
      <c r="A555" s="9">
        <v>554</v>
      </c>
      <c r="B555" s="9" t="s">
        <v>9</v>
      </c>
      <c r="C555" s="9">
        <v>1920</v>
      </c>
      <c r="D555" s="10">
        <v>45677</v>
      </c>
      <c r="E555" s="13" t="str">
        <f>+HYPERLINK("http://trademark.i-assist.jp/data/china/image_1920th/81382578.pdf","81382578")</f>
        <v>81382578</v>
      </c>
      <c r="F555" s="9" t="s">
        <v>1651</v>
      </c>
      <c r="G555" s="9" t="s">
        <v>1652</v>
      </c>
      <c r="H555" s="9" t="s">
        <v>1653</v>
      </c>
      <c r="I555" s="10">
        <v>45580</v>
      </c>
    </row>
    <row r="556" spans="1:9" x14ac:dyDescent="0.15">
      <c r="A556" s="9">
        <v>555</v>
      </c>
      <c r="B556" s="9" t="s">
        <v>9</v>
      </c>
      <c r="C556" s="9">
        <v>1920</v>
      </c>
      <c r="D556" s="10">
        <v>45677</v>
      </c>
      <c r="E556" s="13" t="str">
        <f>+HYPERLINK("http://trademark.i-assist.jp/data/china/image_1920th/81382710.pdf","81382710")</f>
        <v>81382710</v>
      </c>
      <c r="F556" s="12" t="s">
        <v>1654</v>
      </c>
      <c r="G556" s="9" t="s">
        <v>1655</v>
      </c>
      <c r="H556" s="9" t="s">
        <v>1656</v>
      </c>
      <c r="I556" s="10">
        <v>45580</v>
      </c>
    </row>
    <row r="557" spans="1:9" x14ac:dyDescent="0.15">
      <c r="A557" s="9">
        <v>556</v>
      </c>
      <c r="B557" s="9" t="s">
        <v>9</v>
      </c>
      <c r="C557" s="9">
        <v>1920</v>
      </c>
      <c r="D557" s="10">
        <v>45677</v>
      </c>
      <c r="E557" s="13" t="str">
        <f>+HYPERLINK("http://trademark.i-assist.jp/data/china/image_1920th/81382832.pdf","81382832")</f>
        <v>81382832</v>
      </c>
      <c r="F557" s="9" t="s">
        <v>1657</v>
      </c>
      <c r="G557" s="9" t="s">
        <v>1658</v>
      </c>
      <c r="H557" s="9" t="s">
        <v>1659</v>
      </c>
      <c r="I557" s="10">
        <v>45580</v>
      </c>
    </row>
    <row r="558" spans="1:9" x14ac:dyDescent="0.15">
      <c r="A558" s="9">
        <v>557</v>
      </c>
      <c r="B558" s="9" t="s">
        <v>9</v>
      </c>
      <c r="C558" s="9">
        <v>1920</v>
      </c>
      <c r="D558" s="10">
        <v>45677</v>
      </c>
      <c r="E558" s="13" t="str">
        <f>+HYPERLINK("http://trademark.i-assist.jp/data/china/image_1920th/81383159.pdf","81383159")</f>
        <v>81383159</v>
      </c>
      <c r="F558" s="9" t="s">
        <v>1660</v>
      </c>
      <c r="G558" s="9" t="s">
        <v>1661</v>
      </c>
      <c r="H558" s="9" t="s">
        <v>1662</v>
      </c>
      <c r="I558" s="10">
        <v>45580</v>
      </c>
    </row>
    <row r="559" spans="1:9" x14ac:dyDescent="0.15">
      <c r="A559" s="9">
        <v>558</v>
      </c>
      <c r="B559" s="9" t="s">
        <v>9</v>
      </c>
      <c r="C559" s="9">
        <v>1920</v>
      </c>
      <c r="D559" s="10">
        <v>45677</v>
      </c>
      <c r="E559" s="13" t="str">
        <f>+HYPERLINK("http://trademark.i-assist.jp/data/china/image_1920th/81383569.pdf","81383569")</f>
        <v>81383569</v>
      </c>
      <c r="F559" s="12" t="s">
        <v>1663</v>
      </c>
      <c r="G559" s="9" t="s">
        <v>1664</v>
      </c>
      <c r="H559" s="9" t="s">
        <v>1665</v>
      </c>
      <c r="I559" s="10">
        <v>45580</v>
      </c>
    </row>
    <row r="560" spans="1:9" x14ac:dyDescent="0.15">
      <c r="A560" s="9">
        <v>559</v>
      </c>
      <c r="B560" s="9" t="s">
        <v>9</v>
      </c>
      <c r="C560" s="9">
        <v>1920</v>
      </c>
      <c r="D560" s="10">
        <v>45677</v>
      </c>
      <c r="E560" s="13" t="str">
        <f>+HYPERLINK("http://trademark.i-assist.jp/data/china/image_1920th/81383575.pdf","81383575")</f>
        <v>81383575</v>
      </c>
      <c r="F560" s="12" t="s">
        <v>1666</v>
      </c>
      <c r="G560" s="9" t="s">
        <v>1667</v>
      </c>
      <c r="H560" s="9" t="s">
        <v>1668</v>
      </c>
      <c r="I560" s="10">
        <v>45580</v>
      </c>
    </row>
    <row r="561" spans="1:9" x14ac:dyDescent="0.15">
      <c r="A561" s="9">
        <v>560</v>
      </c>
      <c r="B561" s="9" t="s">
        <v>9</v>
      </c>
      <c r="C561" s="9">
        <v>1920</v>
      </c>
      <c r="D561" s="10">
        <v>45677</v>
      </c>
      <c r="E561" s="13" t="str">
        <f>+HYPERLINK("http://trademark.i-assist.jp/data/china/image_1920th/81383808.pdf","81383808")</f>
        <v>81383808</v>
      </c>
      <c r="F561" s="12" t="s">
        <v>1669</v>
      </c>
      <c r="G561" s="9" t="s">
        <v>1670</v>
      </c>
      <c r="H561" s="9" t="s">
        <v>1671</v>
      </c>
      <c r="I561" s="10">
        <v>45580</v>
      </c>
    </row>
    <row r="562" spans="1:9" x14ac:dyDescent="0.15">
      <c r="A562" s="9">
        <v>561</v>
      </c>
      <c r="B562" s="9" t="s">
        <v>9</v>
      </c>
      <c r="C562" s="9">
        <v>1920</v>
      </c>
      <c r="D562" s="10">
        <v>45677</v>
      </c>
      <c r="E562" s="13" t="str">
        <f>+HYPERLINK("http://trademark.i-assist.jp/data/china/image_1920th/81384044.pdf","81384044")</f>
        <v>81384044</v>
      </c>
      <c r="F562" s="9" t="s">
        <v>1672</v>
      </c>
      <c r="G562" s="12" t="s">
        <v>1673</v>
      </c>
      <c r="H562" s="9" t="s">
        <v>1674</v>
      </c>
      <c r="I562" s="10">
        <v>45580</v>
      </c>
    </row>
    <row r="563" spans="1:9" x14ac:dyDescent="0.15">
      <c r="A563" s="9">
        <v>562</v>
      </c>
      <c r="B563" s="9" t="s">
        <v>9</v>
      </c>
      <c r="C563" s="9">
        <v>1920</v>
      </c>
      <c r="D563" s="10">
        <v>45677</v>
      </c>
      <c r="E563" s="13" t="str">
        <f>+HYPERLINK("http://trademark.i-assist.jp/data/china/image_1920th/81384479.pdf","81384479")</f>
        <v>81384479</v>
      </c>
      <c r="F563" s="9" t="s">
        <v>1675</v>
      </c>
      <c r="G563" s="12" t="s">
        <v>1676</v>
      </c>
      <c r="H563" s="9" t="s">
        <v>1677</v>
      </c>
      <c r="I563" s="10">
        <v>45580</v>
      </c>
    </row>
    <row r="564" spans="1:9" x14ac:dyDescent="0.15">
      <c r="A564" s="9">
        <v>563</v>
      </c>
      <c r="B564" s="9" t="s">
        <v>9</v>
      </c>
      <c r="C564" s="9">
        <v>1920</v>
      </c>
      <c r="D564" s="10">
        <v>45677</v>
      </c>
      <c r="E564" s="13" t="str">
        <f>+HYPERLINK("http://trademark.i-assist.jp/data/china/image_1920th/81384526.pdf","81384526")</f>
        <v>81384526</v>
      </c>
      <c r="F564" s="9" t="s">
        <v>1678</v>
      </c>
      <c r="G564" s="9" t="s">
        <v>76</v>
      </c>
      <c r="H564" s="9" t="s">
        <v>1679</v>
      </c>
      <c r="I564" s="10">
        <v>45580</v>
      </c>
    </row>
    <row r="565" spans="1:9" x14ac:dyDescent="0.15">
      <c r="A565" s="9">
        <v>564</v>
      </c>
      <c r="B565" s="9" t="s">
        <v>9</v>
      </c>
      <c r="C565" s="9">
        <v>1920</v>
      </c>
      <c r="D565" s="10">
        <v>45677</v>
      </c>
      <c r="E565" s="13" t="str">
        <f>+HYPERLINK("http://trademark.i-assist.jp/data/china/image_1920th/81384600.pdf","81384600")</f>
        <v>81384600</v>
      </c>
      <c r="F565" s="9" t="s">
        <v>1680</v>
      </c>
      <c r="G565" s="9" t="s">
        <v>1681</v>
      </c>
      <c r="H565" s="9" t="s">
        <v>1682</v>
      </c>
      <c r="I565" s="10">
        <v>45580</v>
      </c>
    </row>
    <row r="566" spans="1:9" x14ac:dyDescent="0.15">
      <c r="A566" s="9">
        <v>565</v>
      </c>
      <c r="B566" s="9" t="s">
        <v>9</v>
      </c>
      <c r="C566" s="9">
        <v>1920</v>
      </c>
      <c r="D566" s="10">
        <v>45677</v>
      </c>
      <c r="E566" s="13" t="str">
        <f>+HYPERLINK("http://trademark.i-assist.jp/data/china/image_1920th/81384756.pdf","81384756")</f>
        <v>81384756</v>
      </c>
      <c r="F566" s="9" t="s">
        <v>1683</v>
      </c>
      <c r="G566" s="9" t="s">
        <v>1684</v>
      </c>
      <c r="H566" s="9" t="s">
        <v>1685</v>
      </c>
      <c r="I566" s="10">
        <v>45580</v>
      </c>
    </row>
    <row r="567" spans="1:9" x14ac:dyDescent="0.15">
      <c r="A567" s="9">
        <v>566</v>
      </c>
      <c r="B567" s="9" t="s">
        <v>9</v>
      </c>
      <c r="C567" s="9">
        <v>1920</v>
      </c>
      <c r="D567" s="10">
        <v>45677</v>
      </c>
      <c r="E567" s="13" t="str">
        <f>+HYPERLINK("http://trademark.i-assist.jp/data/china/image_1920th/81384995.pdf","81384995")</f>
        <v>81384995</v>
      </c>
      <c r="F567" s="9" t="s">
        <v>1686</v>
      </c>
      <c r="G567" s="9" t="s">
        <v>1687</v>
      </c>
      <c r="H567" s="9" t="s">
        <v>1688</v>
      </c>
      <c r="I567" s="10">
        <v>45580</v>
      </c>
    </row>
    <row r="568" spans="1:9" x14ac:dyDescent="0.15">
      <c r="A568" s="9">
        <v>567</v>
      </c>
      <c r="B568" s="9" t="s">
        <v>9</v>
      </c>
      <c r="C568" s="9">
        <v>1920</v>
      </c>
      <c r="D568" s="10">
        <v>45677</v>
      </c>
      <c r="E568" s="13" t="str">
        <f>+HYPERLINK("http://trademark.i-assist.jp/data/china/image_1920th/81385006.pdf","81385006")</f>
        <v>81385006</v>
      </c>
      <c r="F568" s="12" t="s">
        <v>1689</v>
      </c>
      <c r="G568" s="12" t="s">
        <v>1690</v>
      </c>
      <c r="H568" s="12" t="s">
        <v>1691</v>
      </c>
      <c r="I568" s="10">
        <v>45580</v>
      </c>
    </row>
    <row r="569" spans="1:9" x14ac:dyDescent="0.15">
      <c r="A569" s="9">
        <v>568</v>
      </c>
      <c r="B569" s="9" t="s">
        <v>9</v>
      </c>
      <c r="C569" s="9">
        <v>1920</v>
      </c>
      <c r="D569" s="10">
        <v>45677</v>
      </c>
      <c r="E569" s="13" t="str">
        <f>+HYPERLINK("http://trademark.i-assist.jp/data/china/image_1920th/81386101.pdf","81386101")</f>
        <v>81386101</v>
      </c>
      <c r="F569" s="9" t="s">
        <v>1692</v>
      </c>
      <c r="G569" s="9" t="s">
        <v>1693</v>
      </c>
      <c r="H569" s="9" t="s">
        <v>1694</v>
      </c>
      <c r="I569" s="10">
        <v>45580</v>
      </c>
    </row>
    <row r="570" spans="1:9" x14ac:dyDescent="0.15">
      <c r="A570" s="9">
        <v>569</v>
      </c>
      <c r="B570" s="9" t="s">
        <v>9</v>
      </c>
      <c r="C570" s="9">
        <v>1920</v>
      </c>
      <c r="D570" s="10">
        <v>45677</v>
      </c>
      <c r="E570" s="13" t="str">
        <f>+HYPERLINK("http://trademark.i-assist.jp/data/china/image_1920th/81386767.pdf","81386767")</f>
        <v>81386767</v>
      </c>
      <c r="F570" s="9" t="s">
        <v>1695</v>
      </c>
      <c r="G570" s="9" t="s">
        <v>1696</v>
      </c>
      <c r="H570" s="12" t="s">
        <v>1697</v>
      </c>
      <c r="I570" s="10">
        <v>45580</v>
      </c>
    </row>
    <row r="571" spans="1:9" x14ac:dyDescent="0.15">
      <c r="A571" s="9">
        <v>570</v>
      </c>
      <c r="B571" s="9" t="s">
        <v>9</v>
      </c>
      <c r="C571" s="9">
        <v>1920</v>
      </c>
      <c r="D571" s="10">
        <v>45677</v>
      </c>
      <c r="E571" s="13" t="str">
        <f>+HYPERLINK("http://trademark.i-assist.jp/data/china/image_1920th/81387575.pdf","81387575")</f>
        <v>81387575</v>
      </c>
      <c r="F571" s="12" t="s">
        <v>12</v>
      </c>
      <c r="G571" s="9" t="s">
        <v>1698</v>
      </c>
      <c r="H571" s="9" t="s">
        <v>1699</v>
      </c>
      <c r="I571" s="10">
        <v>45580</v>
      </c>
    </row>
    <row r="572" spans="1:9" x14ac:dyDescent="0.15">
      <c r="A572" s="9">
        <v>571</v>
      </c>
      <c r="B572" s="9" t="s">
        <v>9</v>
      </c>
      <c r="C572" s="9">
        <v>1920</v>
      </c>
      <c r="D572" s="10">
        <v>45677</v>
      </c>
      <c r="E572" s="13" t="str">
        <f>+HYPERLINK("http://trademark.i-assist.jp/data/china/image_1920th/81387586.pdf","81387586")</f>
        <v>81387586</v>
      </c>
      <c r="F572" s="9" t="s">
        <v>1700</v>
      </c>
      <c r="G572" s="9" t="s">
        <v>1701</v>
      </c>
      <c r="H572" s="9" t="s">
        <v>1702</v>
      </c>
      <c r="I572" s="10">
        <v>45580</v>
      </c>
    </row>
    <row r="573" spans="1:9" x14ac:dyDescent="0.15">
      <c r="A573" s="9">
        <v>572</v>
      </c>
      <c r="B573" s="9" t="s">
        <v>9</v>
      </c>
      <c r="C573" s="9">
        <v>1920</v>
      </c>
      <c r="D573" s="10">
        <v>45677</v>
      </c>
      <c r="E573" s="13" t="str">
        <f>+HYPERLINK("http://trademark.i-assist.jp/data/china/image_1920th/81387658.pdf","81387658")</f>
        <v>81387658</v>
      </c>
      <c r="F573" s="9" t="s">
        <v>1703</v>
      </c>
      <c r="G573" s="12" t="s">
        <v>1704</v>
      </c>
      <c r="H573" s="9" t="s">
        <v>1705</v>
      </c>
      <c r="I573" s="10">
        <v>45580</v>
      </c>
    </row>
    <row r="574" spans="1:9" x14ac:dyDescent="0.15">
      <c r="A574" s="9">
        <v>573</v>
      </c>
      <c r="B574" s="9" t="s">
        <v>9</v>
      </c>
      <c r="C574" s="9">
        <v>1920</v>
      </c>
      <c r="D574" s="10">
        <v>45677</v>
      </c>
      <c r="E574" s="13" t="str">
        <f>+HYPERLINK("http://trademark.i-assist.jp/data/china/image_1920th/81388260.pdf","81388260")</f>
        <v>81388260</v>
      </c>
      <c r="F574" s="12" t="s">
        <v>1706</v>
      </c>
      <c r="G574" s="9" t="s">
        <v>1707</v>
      </c>
      <c r="H574" s="9" t="s">
        <v>1708</v>
      </c>
      <c r="I574" s="10">
        <v>45580</v>
      </c>
    </row>
    <row r="575" spans="1:9" x14ac:dyDescent="0.15">
      <c r="A575" s="9">
        <v>574</v>
      </c>
      <c r="B575" s="9" t="s">
        <v>9</v>
      </c>
      <c r="C575" s="9">
        <v>1920</v>
      </c>
      <c r="D575" s="10">
        <v>45677</v>
      </c>
      <c r="E575" s="13" t="str">
        <f>+HYPERLINK("http://trademark.i-assist.jp/data/china/image_1920th/81388377.pdf","81388377")</f>
        <v>81388377</v>
      </c>
      <c r="F575" s="9" t="s">
        <v>1709</v>
      </c>
      <c r="G575" s="9" t="s">
        <v>1710</v>
      </c>
      <c r="H575" s="9" t="s">
        <v>1711</v>
      </c>
      <c r="I575" s="10">
        <v>45580</v>
      </c>
    </row>
    <row r="576" spans="1:9" x14ac:dyDescent="0.15">
      <c r="A576" s="9">
        <v>575</v>
      </c>
      <c r="B576" s="9" t="s">
        <v>9</v>
      </c>
      <c r="C576" s="9">
        <v>1920</v>
      </c>
      <c r="D576" s="10">
        <v>45677</v>
      </c>
      <c r="E576" s="13" t="str">
        <f>+HYPERLINK("http://trademark.i-assist.jp/data/china/image_1920th/81388530.pdf","81388530")</f>
        <v>81388530</v>
      </c>
      <c r="F576" s="9" t="s">
        <v>1712</v>
      </c>
      <c r="G576" s="9" t="s">
        <v>76</v>
      </c>
      <c r="H576" s="9" t="s">
        <v>1713</v>
      </c>
      <c r="I576" s="10">
        <v>45580</v>
      </c>
    </row>
    <row r="577" spans="1:9" x14ac:dyDescent="0.15">
      <c r="A577" s="9">
        <v>576</v>
      </c>
      <c r="B577" s="9" t="s">
        <v>9</v>
      </c>
      <c r="C577" s="9">
        <v>1920</v>
      </c>
      <c r="D577" s="10">
        <v>45677</v>
      </c>
      <c r="E577" s="13" t="str">
        <f>+HYPERLINK("http://trademark.i-assist.jp/data/china/image_1920th/81389108.pdf","81389108")</f>
        <v>81389108</v>
      </c>
      <c r="F577" s="9" t="s">
        <v>1714</v>
      </c>
      <c r="G577" s="12" t="s">
        <v>1715</v>
      </c>
      <c r="H577" s="12" t="s">
        <v>1716</v>
      </c>
      <c r="I577" s="10">
        <v>45580</v>
      </c>
    </row>
    <row r="578" spans="1:9" x14ac:dyDescent="0.15">
      <c r="A578" s="9">
        <v>577</v>
      </c>
      <c r="B578" s="9" t="s">
        <v>9</v>
      </c>
      <c r="C578" s="9">
        <v>1920</v>
      </c>
      <c r="D578" s="10">
        <v>45677</v>
      </c>
      <c r="E578" s="13" t="str">
        <f>+HYPERLINK("http://trademark.i-assist.jp/data/china/image_1920th/81389763.pdf","81389763")</f>
        <v>81389763</v>
      </c>
      <c r="F578" s="12" t="s">
        <v>1717</v>
      </c>
      <c r="G578" s="12" t="s">
        <v>1718</v>
      </c>
      <c r="H578" s="9" t="s">
        <v>1719</v>
      </c>
      <c r="I578" s="10">
        <v>45580</v>
      </c>
    </row>
    <row r="579" spans="1:9" x14ac:dyDescent="0.15">
      <c r="A579" s="9">
        <v>578</v>
      </c>
      <c r="B579" s="9" t="s">
        <v>9</v>
      </c>
      <c r="C579" s="9">
        <v>1920</v>
      </c>
      <c r="D579" s="10">
        <v>45677</v>
      </c>
      <c r="E579" s="13" t="str">
        <f>+HYPERLINK("http://trademark.i-assist.jp/data/china/image_1920th/81389857.pdf","81389857")</f>
        <v>81389857</v>
      </c>
      <c r="F579" s="9" t="s">
        <v>1720</v>
      </c>
      <c r="G579" s="12" t="s">
        <v>1704</v>
      </c>
      <c r="H579" s="9" t="s">
        <v>1721</v>
      </c>
      <c r="I579" s="10">
        <v>45580</v>
      </c>
    </row>
    <row r="580" spans="1:9" x14ac:dyDescent="0.15">
      <c r="A580" s="9">
        <v>579</v>
      </c>
      <c r="B580" s="9" t="s">
        <v>9</v>
      </c>
      <c r="C580" s="9">
        <v>1920</v>
      </c>
      <c r="D580" s="10">
        <v>45677</v>
      </c>
      <c r="E580" s="13" t="str">
        <f>+HYPERLINK("http://trademark.i-assist.jp/data/china/image_1920th/81390328.pdf","81390328")</f>
        <v>81390328</v>
      </c>
      <c r="F580" s="9" t="s">
        <v>1722</v>
      </c>
      <c r="G580" s="9" t="s">
        <v>1723</v>
      </c>
      <c r="H580" s="12" t="s">
        <v>1724</v>
      </c>
      <c r="I580" s="10">
        <v>45580</v>
      </c>
    </row>
    <row r="581" spans="1:9" x14ac:dyDescent="0.15">
      <c r="A581" s="9">
        <v>580</v>
      </c>
      <c r="B581" s="9" t="s">
        <v>9</v>
      </c>
      <c r="C581" s="9">
        <v>1920</v>
      </c>
      <c r="D581" s="10">
        <v>45677</v>
      </c>
      <c r="E581" s="13" t="str">
        <f>+HYPERLINK("http://trademark.i-assist.jp/data/china/image_1920th/81390730.pdf","81390730")</f>
        <v>81390730</v>
      </c>
      <c r="F581" s="9" t="s">
        <v>1725</v>
      </c>
      <c r="G581" s="9" t="s">
        <v>1726</v>
      </c>
      <c r="H581" s="9" t="s">
        <v>1727</v>
      </c>
      <c r="I581" s="10">
        <v>45580</v>
      </c>
    </row>
    <row r="582" spans="1:9" x14ac:dyDescent="0.15">
      <c r="A582" s="9">
        <v>581</v>
      </c>
      <c r="B582" s="9" t="s">
        <v>9</v>
      </c>
      <c r="C582" s="9">
        <v>1920</v>
      </c>
      <c r="D582" s="10">
        <v>45677</v>
      </c>
      <c r="E582" s="13" t="str">
        <f>+HYPERLINK("http://trademark.i-assist.jp/data/china/image_1920th/81390939.pdf","81390939")</f>
        <v>81390939</v>
      </c>
      <c r="F582" s="12" t="s">
        <v>1728</v>
      </c>
      <c r="G582" s="9" t="s">
        <v>80</v>
      </c>
      <c r="H582" s="9" t="s">
        <v>1729</v>
      </c>
      <c r="I582" s="10">
        <v>45580</v>
      </c>
    </row>
    <row r="583" spans="1:9" x14ac:dyDescent="0.15">
      <c r="A583" s="9">
        <v>582</v>
      </c>
      <c r="B583" s="9" t="s">
        <v>9</v>
      </c>
      <c r="C583" s="9">
        <v>1920</v>
      </c>
      <c r="D583" s="10">
        <v>45677</v>
      </c>
      <c r="E583" s="13" t="str">
        <f>+HYPERLINK("http://trademark.i-assist.jp/data/china/image_1920th/81391127.pdf","81391127")</f>
        <v>81391127</v>
      </c>
      <c r="F583" s="12" t="s">
        <v>1730</v>
      </c>
      <c r="G583" s="12" t="s">
        <v>1731</v>
      </c>
      <c r="H583" s="9" t="s">
        <v>1732</v>
      </c>
      <c r="I583" s="10">
        <v>45580</v>
      </c>
    </row>
    <row r="584" spans="1:9" x14ac:dyDescent="0.15">
      <c r="A584" s="9">
        <v>583</v>
      </c>
      <c r="B584" s="9" t="s">
        <v>9</v>
      </c>
      <c r="C584" s="9">
        <v>1920</v>
      </c>
      <c r="D584" s="10">
        <v>45677</v>
      </c>
      <c r="E584" s="13" t="str">
        <f>+HYPERLINK("http://trademark.i-assist.jp/data/china/image_1920th/81391136.pdf","81391136")</f>
        <v>81391136</v>
      </c>
      <c r="F584" s="9" t="s">
        <v>1733</v>
      </c>
      <c r="G584" s="9" t="s">
        <v>1734</v>
      </c>
      <c r="H584" s="9" t="s">
        <v>1735</v>
      </c>
      <c r="I584" s="10">
        <v>45580</v>
      </c>
    </row>
    <row r="585" spans="1:9" x14ac:dyDescent="0.15">
      <c r="A585" s="9">
        <v>584</v>
      </c>
      <c r="B585" s="9" t="s">
        <v>9</v>
      </c>
      <c r="C585" s="9">
        <v>1920</v>
      </c>
      <c r="D585" s="10">
        <v>45677</v>
      </c>
      <c r="E585" s="13" t="str">
        <f>+HYPERLINK("http://trademark.i-assist.jp/data/china/image_1920th/81391225.pdf","81391225")</f>
        <v>81391225</v>
      </c>
      <c r="F585" s="12" t="s">
        <v>1736</v>
      </c>
      <c r="G585" s="9" t="s">
        <v>84</v>
      </c>
      <c r="H585" s="9" t="s">
        <v>1737</v>
      </c>
      <c r="I585" s="10">
        <v>45580</v>
      </c>
    </row>
    <row r="586" spans="1:9" x14ac:dyDescent="0.15">
      <c r="A586" s="9">
        <v>585</v>
      </c>
      <c r="B586" s="9" t="s">
        <v>9</v>
      </c>
      <c r="C586" s="9">
        <v>1920</v>
      </c>
      <c r="D586" s="10">
        <v>45677</v>
      </c>
      <c r="E586" s="13" t="str">
        <f>+HYPERLINK("http://trademark.i-assist.jp/data/china/image_1920th/81391471.pdf","81391471")</f>
        <v>81391471</v>
      </c>
      <c r="F586" s="12" t="s">
        <v>1738</v>
      </c>
      <c r="G586" s="9" t="s">
        <v>83</v>
      </c>
      <c r="H586" s="9" t="s">
        <v>1739</v>
      </c>
      <c r="I586" s="10">
        <v>45580</v>
      </c>
    </row>
    <row r="587" spans="1:9" x14ac:dyDescent="0.15">
      <c r="A587" s="9">
        <v>586</v>
      </c>
      <c r="B587" s="9" t="s">
        <v>9</v>
      </c>
      <c r="C587" s="9">
        <v>1920</v>
      </c>
      <c r="D587" s="10">
        <v>45677</v>
      </c>
      <c r="E587" s="13" t="str">
        <f>+HYPERLINK("http://trademark.i-assist.jp/data/china/image_1920th/81391798.pdf","81391798")</f>
        <v>81391798</v>
      </c>
      <c r="F587" s="9" t="s">
        <v>1740</v>
      </c>
      <c r="G587" s="9" t="s">
        <v>1741</v>
      </c>
      <c r="H587" s="9" t="s">
        <v>1742</v>
      </c>
      <c r="I587" s="10">
        <v>45580</v>
      </c>
    </row>
    <row r="588" spans="1:9" x14ac:dyDescent="0.15">
      <c r="A588" s="9">
        <v>587</v>
      </c>
      <c r="B588" s="9" t="s">
        <v>9</v>
      </c>
      <c r="C588" s="9">
        <v>1920</v>
      </c>
      <c r="D588" s="10">
        <v>45677</v>
      </c>
      <c r="E588" s="13" t="str">
        <f>+HYPERLINK("http://trademark.i-assist.jp/data/china/image_1920th/81391880.pdf","81391880")</f>
        <v>81391880</v>
      </c>
      <c r="F588" s="12" t="s">
        <v>1743</v>
      </c>
      <c r="G588" s="9" t="s">
        <v>1744</v>
      </c>
      <c r="H588" s="9" t="s">
        <v>1745</v>
      </c>
      <c r="I588" s="10">
        <v>45580</v>
      </c>
    </row>
    <row r="589" spans="1:9" x14ac:dyDescent="0.15">
      <c r="A589" s="9">
        <v>588</v>
      </c>
      <c r="B589" s="9" t="s">
        <v>9</v>
      </c>
      <c r="C589" s="9">
        <v>1920</v>
      </c>
      <c r="D589" s="10">
        <v>45677</v>
      </c>
      <c r="E589" s="13" t="str">
        <f>+HYPERLINK("http://trademark.i-assist.jp/data/china/image_1920th/81391883.pdf","81391883")</f>
        <v>81391883</v>
      </c>
      <c r="F589" s="11" t="s">
        <v>1746</v>
      </c>
      <c r="G589" s="9" t="s">
        <v>1744</v>
      </c>
      <c r="H589" s="9" t="s">
        <v>1747</v>
      </c>
      <c r="I589" s="10">
        <v>45580</v>
      </c>
    </row>
    <row r="590" spans="1:9" x14ac:dyDescent="0.15">
      <c r="A590" s="9">
        <v>589</v>
      </c>
      <c r="B590" s="9" t="s">
        <v>9</v>
      </c>
      <c r="C590" s="9">
        <v>1920</v>
      </c>
      <c r="D590" s="10">
        <v>45677</v>
      </c>
      <c r="E590" s="13" t="str">
        <f>+HYPERLINK("http://trademark.i-assist.jp/data/china/image_1920th/81391970.pdf","81391970")</f>
        <v>81391970</v>
      </c>
      <c r="F590" s="9" t="s">
        <v>1748</v>
      </c>
      <c r="G590" s="12" t="s">
        <v>16</v>
      </c>
      <c r="H590" s="9" t="s">
        <v>1749</v>
      </c>
      <c r="I590" s="10">
        <v>45580</v>
      </c>
    </row>
    <row r="591" spans="1:9" x14ac:dyDescent="0.15">
      <c r="A591" s="9">
        <v>590</v>
      </c>
      <c r="B591" s="9" t="s">
        <v>9</v>
      </c>
      <c r="C591" s="9">
        <v>1920</v>
      </c>
      <c r="D591" s="10">
        <v>45677</v>
      </c>
      <c r="E591" s="13" t="str">
        <f>+HYPERLINK("http://trademark.i-assist.jp/data/china/image_1920th/81392088.pdf","81392088")</f>
        <v>81392088</v>
      </c>
      <c r="F591" s="9" t="s">
        <v>1750</v>
      </c>
      <c r="G591" s="12" t="s">
        <v>16</v>
      </c>
      <c r="H591" s="9" t="s">
        <v>1751</v>
      </c>
      <c r="I591" s="10">
        <v>45580</v>
      </c>
    </row>
    <row r="592" spans="1:9" x14ac:dyDescent="0.15">
      <c r="A592" s="9">
        <v>591</v>
      </c>
      <c r="B592" s="9" t="s">
        <v>9</v>
      </c>
      <c r="C592" s="9">
        <v>1920</v>
      </c>
      <c r="D592" s="10">
        <v>45677</v>
      </c>
      <c r="E592" s="13" t="str">
        <f>+HYPERLINK("http://trademark.i-assist.jp/data/china/image_1920th/81392192.pdf","81392192")</f>
        <v>81392192</v>
      </c>
      <c r="F592" s="9" t="s">
        <v>1752</v>
      </c>
      <c r="G592" s="12" t="s">
        <v>62</v>
      </c>
      <c r="H592" s="9" t="s">
        <v>1753</v>
      </c>
      <c r="I592" s="10">
        <v>45580</v>
      </c>
    </row>
    <row r="593" spans="1:9" x14ac:dyDescent="0.15">
      <c r="A593" s="9">
        <v>592</v>
      </c>
      <c r="B593" s="9" t="s">
        <v>9</v>
      </c>
      <c r="C593" s="9">
        <v>1920</v>
      </c>
      <c r="D593" s="10">
        <v>45677</v>
      </c>
      <c r="E593" s="13" t="str">
        <f>+HYPERLINK("http://trademark.i-assist.jp/data/china/image_1920th/81392449.pdf","81392449")</f>
        <v>81392449</v>
      </c>
      <c r="F593" s="9" t="s">
        <v>1754</v>
      </c>
      <c r="G593" s="12" t="s">
        <v>97</v>
      </c>
      <c r="H593" s="9" t="s">
        <v>1755</v>
      </c>
      <c r="I593" s="10">
        <v>45580</v>
      </c>
    </row>
    <row r="594" spans="1:9" x14ac:dyDescent="0.15">
      <c r="A594" s="9">
        <v>593</v>
      </c>
      <c r="B594" s="9" t="s">
        <v>9</v>
      </c>
      <c r="C594" s="9">
        <v>1920</v>
      </c>
      <c r="D594" s="10">
        <v>45677</v>
      </c>
      <c r="E594" s="13" t="str">
        <f>+HYPERLINK("http://trademark.i-assist.jp/data/china/image_1920th/81392518.pdf","81392518")</f>
        <v>81392518</v>
      </c>
      <c r="F594" s="9" t="s">
        <v>1756</v>
      </c>
      <c r="G594" s="9" t="s">
        <v>1757</v>
      </c>
      <c r="H594" s="12" t="s">
        <v>1758</v>
      </c>
      <c r="I594" s="10">
        <v>45580</v>
      </c>
    </row>
    <row r="595" spans="1:9" x14ac:dyDescent="0.15">
      <c r="A595" s="9">
        <v>594</v>
      </c>
      <c r="B595" s="9" t="s">
        <v>9</v>
      </c>
      <c r="C595" s="9">
        <v>1920</v>
      </c>
      <c r="D595" s="10">
        <v>45677</v>
      </c>
      <c r="E595" s="13" t="str">
        <f>+HYPERLINK("http://trademark.i-assist.jp/data/china/image_1920th/81392633.pdf","81392633")</f>
        <v>81392633</v>
      </c>
      <c r="F595" s="9" t="s">
        <v>1759</v>
      </c>
      <c r="G595" s="12" t="s">
        <v>1760</v>
      </c>
      <c r="H595" s="9" t="s">
        <v>1761</v>
      </c>
      <c r="I595" s="10">
        <v>45580</v>
      </c>
    </row>
    <row r="596" spans="1:9" x14ac:dyDescent="0.15">
      <c r="A596" s="9">
        <v>595</v>
      </c>
      <c r="B596" s="9" t="s">
        <v>9</v>
      </c>
      <c r="C596" s="9">
        <v>1920</v>
      </c>
      <c r="D596" s="10">
        <v>45677</v>
      </c>
      <c r="E596" s="13" t="str">
        <f>+HYPERLINK("http://trademark.i-assist.jp/data/china/image_1920th/81392649.pdf","81392649")</f>
        <v>81392649</v>
      </c>
      <c r="F596" s="9" t="s">
        <v>1762</v>
      </c>
      <c r="G596" s="12" t="s">
        <v>1760</v>
      </c>
      <c r="H596" s="9" t="s">
        <v>1763</v>
      </c>
      <c r="I596" s="10">
        <v>45580</v>
      </c>
    </row>
    <row r="597" spans="1:9" x14ac:dyDescent="0.15">
      <c r="A597" s="9">
        <v>596</v>
      </c>
      <c r="B597" s="9" t="s">
        <v>9</v>
      </c>
      <c r="C597" s="9">
        <v>1920</v>
      </c>
      <c r="D597" s="10">
        <v>45677</v>
      </c>
      <c r="E597" s="13" t="str">
        <f>+HYPERLINK("http://trademark.i-assist.jp/data/china/image_1920th/81393133.pdf","81393133")</f>
        <v>81393133</v>
      </c>
      <c r="F597" s="12" t="s">
        <v>1764</v>
      </c>
      <c r="G597" s="12" t="s">
        <v>78</v>
      </c>
      <c r="H597" s="9" t="s">
        <v>1765</v>
      </c>
      <c r="I597" s="10">
        <v>45580</v>
      </c>
    </row>
    <row r="598" spans="1:9" x14ac:dyDescent="0.15">
      <c r="A598" s="9">
        <v>597</v>
      </c>
      <c r="B598" s="9" t="s">
        <v>9</v>
      </c>
      <c r="C598" s="9">
        <v>1920</v>
      </c>
      <c r="D598" s="10">
        <v>45677</v>
      </c>
      <c r="E598" s="13" t="str">
        <f>+HYPERLINK("http://trademark.i-assist.jp/data/china/image_1920th/81393392.pdf","81393392")</f>
        <v>81393392</v>
      </c>
      <c r="F598" s="9" t="s">
        <v>1766</v>
      </c>
      <c r="G598" s="12" t="s">
        <v>16</v>
      </c>
      <c r="H598" s="9" t="s">
        <v>1767</v>
      </c>
      <c r="I598" s="10">
        <v>45580</v>
      </c>
    </row>
    <row r="599" spans="1:9" x14ac:dyDescent="0.15">
      <c r="A599" s="9">
        <v>598</v>
      </c>
      <c r="B599" s="9" t="s">
        <v>9</v>
      </c>
      <c r="C599" s="9">
        <v>1920</v>
      </c>
      <c r="D599" s="10">
        <v>45677</v>
      </c>
      <c r="E599" s="13" t="str">
        <f>+HYPERLINK("http://trademark.i-assist.jp/data/china/image_1920th/81393518.pdf","81393518")</f>
        <v>81393518</v>
      </c>
      <c r="F599" s="9" t="s">
        <v>1768</v>
      </c>
      <c r="G599" s="9" t="s">
        <v>1769</v>
      </c>
      <c r="H599" s="9" t="s">
        <v>1770</v>
      </c>
      <c r="I599" s="10">
        <v>45580</v>
      </c>
    </row>
    <row r="600" spans="1:9" x14ac:dyDescent="0.15">
      <c r="A600" s="9">
        <v>599</v>
      </c>
      <c r="B600" s="9" t="s">
        <v>9</v>
      </c>
      <c r="C600" s="9">
        <v>1920</v>
      </c>
      <c r="D600" s="10">
        <v>45677</v>
      </c>
      <c r="E600" s="13" t="str">
        <f>+HYPERLINK("http://trademark.i-assist.jp/data/china/image_1920th/81393662.pdf","81393662")</f>
        <v>81393662</v>
      </c>
      <c r="F600" s="9" t="s">
        <v>1771</v>
      </c>
      <c r="G600" s="12" t="s">
        <v>1772</v>
      </c>
      <c r="H600" s="9" t="s">
        <v>1773</v>
      </c>
      <c r="I600" s="10">
        <v>45580</v>
      </c>
    </row>
    <row r="601" spans="1:9" x14ac:dyDescent="0.15">
      <c r="A601" s="9">
        <v>600</v>
      </c>
      <c r="B601" s="9" t="s">
        <v>9</v>
      </c>
      <c r="C601" s="9">
        <v>1920</v>
      </c>
      <c r="D601" s="10">
        <v>45677</v>
      </c>
      <c r="E601" s="13" t="str">
        <f>+HYPERLINK("http://trademark.i-assist.jp/data/china/image_1920th/81393731.pdf","81393731")</f>
        <v>81393731</v>
      </c>
      <c r="F601" s="9" t="s">
        <v>1774</v>
      </c>
      <c r="G601" s="9" t="s">
        <v>1775</v>
      </c>
      <c r="H601" s="9" t="s">
        <v>1776</v>
      </c>
      <c r="I601" s="10">
        <v>45580</v>
      </c>
    </row>
    <row r="602" spans="1:9" x14ac:dyDescent="0.15">
      <c r="A602" s="9">
        <v>601</v>
      </c>
      <c r="B602" s="9" t="s">
        <v>9</v>
      </c>
      <c r="C602" s="9">
        <v>1920</v>
      </c>
      <c r="D602" s="10">
        <v>45677</v>
      </c>
      <c r="E602" s="13" t="str">
        <f>+HYPERLINK("http://trademark.i-assist.jp/data/china/image_1920th/81394007.pdf","81394007")</f>
        <v>81394007</v>
      </c>
      <c r="F602" s="9" t="s">
        <v>1777</v>
      </c>
      <c r="G602" s="9" t="s">
        <v>1778</v>
      </c>
      <c r="H602" s="9" t="s">
        <v>1779</v>
      </c>
      <c r="I602" s="10">
        <v>45580</v>
      </c>
    </row>
    <row r="603" spans="1:9" x14ac:dyDescent="0.15">
      <c r="A603" s="9">
        <v>602</v>
      </c>
      <c r="B603" s="9" t="s">
        <v>9</v>
      </c>
      <c r="C603" s="9">
        <v>1920</v>
      </c>
      <c r="D603" s="10">
        <v>45677</v>
      </c>
      <c r="E603" s="13" t="str">
        <f>+HYPERLINK("http://trademark.i-assist.jp/data/china/image_1920th/81394036.pdf","81394036")</f>
        <v>81394036</v>
      </c>
      <c r="F603" s="12" t="s">
        <v>1780</v>
      </c>
      <c r="G603" s="9" t="s">
        <v>1781</v>
      </c>
      <c r="H603" s="12" t="s">
        <v>1782</v>
      </c>
      <c r="I603" s="10">
        <v>45580</v>
      </c>
    </row>
    <row r="604" spans="1:9" x14ac:dyDescent="0.15">
      <c r="A604" s="9">
        <v>603</v>
      </c>
      <c r="B604" s="9" t="s">
        <v>9</v>
      </c>
      <c r="C604" s="9">
        <v>1920</v>
      </c>
      <c r="D604" s="10">
        <v>45677</v>
      </c>
      <c r="E604" s="13" t="str">
        <f>+HYPERLINK("http://trademark.i-assist.jp/data/china/image_1920th/81394751.pdf","81394751")</f>
        <v>81394751</v>
      </c>
      <c r="F604" s="12" t="s">
        <v>1783</v>
      </c>
      <c r="G604" s="12" t="s">
        <v>670</v>
      </c>
      <c r="H604" s="9" t="s">
        <v>1784</v>
      </c>
      <c r="I604" s="10">
        <v>45580</v>
      </c>
    </row>
    <row r="605" spans="1:9" x14ac:dyDescent="0.15">
      <c r="A605" s="9">
        <v>604</v>
      </c>
      <c r="B605" s="9" t="s">
        <v>9</v>
      </c>
      <c r="C605" s="9">
        <v>1920</v>
      </c>
      <c r="D605" s="10">
        <v>45677</v>
      </c>
      <c r="E605" s="13" t="str">
        <f>+HYPERLINK("http://trademark.i-assist.jp/data/china/image_1920th/81394944.pdf","81394944")</f>
        <v>81394944</v>
      </c>
      <c r="F605" s="9" t="s">
        <v>1785</v>
      </c>
      <c r="G605" s="9" t="s">
        <v>1786</v>
      </c>
      <c r="H605" s="9" t="s">
        <v>1787</v>
      </c>
      <c r="I605" s="10">
        <v>45580</v>
      </c>
    </row>
    <row r="606" spans="1:9" x14ac:dyDescent="0.15">
      <c r="A606" s="9">
        <v>605</v>
      </c>
      <c r="B606" s="9" t="s">
        <v>9</v>
      </c>
      <c r="C606" s="9">
        <v>1920</v>
      </c>
      <c r="D606" s="10">
        <v>45677</v>
      </c>
      <c r="E606" s="13" t="str">
        <f>+HYPERLINK("http://trademark.i-assist.jp/data/china/image_1920th/81395598.pdf","81395598")</f>
        <v>81395598</v>
      </c>
      <c r="F606" s="9" t="s">
        <v>1788</v>
      </c>
      <c r="G606" s="12" t="s">
        <v>1789</v>
      </c>
      <c r="H606" s="9" t="s">
        <v>1790</v>
      </c>
      <c r="I606" s="10">
        <v>45580</v>
      </c>
    </row>
    <row r="607" spans="1:9" x14ac:dyDescent="0.15">
      <c r="A607" s="9">
        <v>606</v>
      </c>
      <c r="B607" s="9" t="s">
        <v>9</v>
      </c>
      <c r="C607" s="9">
        <v>1920</v>
      </c>
      <c r="D607" s="10">
        <v>45677</v>
      </c>
      <c r="E607" s="13" t="str">
        <f>+HYPERLINK("http://trademark.i-assist.jp/data/china/image_1920th/81395651.pdf","81395651")</f>
        <v>81395651</v>
      </c>
      <c r="F607" s="9" t="s">
        <v>1791</v>
      </c>
      <c r="G607" s="9" t="s">
        <v>1792</v>
      </c>
      <c r="H607" s="9" t="s">
        <v>11</v>
      </c>
      <c r="I607" s="10">
        <v>45580</v>
      </c>
    </row>
    <row r="608" spans="1:9" x14ac:dyDescent="0.15">
      <c r="A608" s="9">
        <v>607</v>
      </c>
      <c r="B608" s="9" t="s">
        <v>9</v>
      </c>
      <c r="C608" s="9">
        <v>1920</v>
      </c>
      <c r="D608" s="10">
        <v>45677</v>
      </c>
      <c r="E608" s="13" t="str">
        <f>+HYPERLINK("http://trademark.i-assist.jp/data/china/image_1920th/81396010.pdf","81396010")</f>
        <v>81396010</v>
      </c>
      <c r="F608" s="9" t="s">
        <v>1793</v>
      </c>
      <c r="G608" s="9" t="s">
        <v>1794</v>
      </c>
      <c r="H608" s="9" t="s">
        <v>1795</v>
      </c>
      <c r="I608" s="10">
        <v>45580</v>
      </c>
    </row>
    <row r="609" spans="1:9" x14ac:dyDescent="0.15">
      <c r="A609" s="9">
        <v>608</v>
      </c>
      <c r="B609" s="9" t="s">
        <v>9</v>
      </c>
      <c r="C609" s="9">
        <v>1920</v>
      </c>
      <c r="D609" s="10">
        <v>45677</v>
      </c>
      <c r="E609" s="13" t="str">
        <f>+HYPERLINK("http://trademark.i-assist.jp/data/china/image_1920th/81396223.pdf","81396223")</f>
        <v>81396223</v>
      </c>
      <c r="F609" s="9" t="s">
        <v>1796</v>
      </c>
      <c r="G609" s="9" t="s">
        <v>1797</v>
      </c>
      <c r="H609" s="9" t="s">
        <v>1798</v>
      </c>
      <c r="I609" s="10">
        <v>45580</v>
      </c>
    </row>
    <row r="610" spans="1:9" x14ac:dyDescent="0.15">
      <c r="A610" s="9">
        <v>609</v>
      </c>
      <c r="B610" s="9" t="s">
        <v>9</v>
      </c>
      <c r="C610" s="9">
        <v>1920</v>
      </c>
      <c r="D610" s="10">
        <v>45677</v>
      </c>
      <c r="E610" s="13" t="str">
        <f>+HYPERLINK("http://trademark.i-assist.jp/data/china/image_1920th/81396357.pdf","81396357")</f>
        <v>81396357</v>
      </c>
      <c r="F610" s="9" t="s">
        <v>1799</v>
      </c>
      <c r="G610" s="9" t="s">
        <v>1744</v>
      </c>
      <c r="H610" s="9" t="s">
        <v>1800</v>
      </c>
      <c r="I610" s="10">
        <v>45580</v>
      </c>
    </row>
    <row r="611" spans="1:9" x14ac:dyDescent="0.15">
      <c r="A611" s="9">
        <v>610</v>
      </c>
      <c r="B611" s="9" t="s">
        <v>9</v>
      </c>
      <c r="C611" s="9">
        <v>1920</v>
      </c>
      <c r="D611" s="10">
        <v>45677</v>
      </c>
      <c r="E611" s="13" t="str">
        <f>+HYPERLINK("http://trademark.i-assist.jp/data/china/image_1920th/81396502.pdf","81396502")</f>
        <v>81396502</v>
      </c>
      <c r="F611" s="9" t="s">
        <v>1801</v>
      </c>
      <c r="G611" s="9" t="s">
        <v>1802</v>
      </c>
      <c r="H611" s="12" t="s">
        <v>1803</v>
      </c>
      <c r="I611" s="10">
        <v>45580</v>
      </c>
    </row>
    <row r="612" spans="1:9" x14ac:dyDescent="0.15">
      <c r="A612" s="9">
        <v>611</v>
      </c>
      <c r="B612" s="9" t="s">
        <v>9</v>
      </c>
      <c r="C612" s="9">
        <v>1920</v>
      </c>
      <c r="D612" s="10">
        <v>45677</v>
      </c>
      <c r="E612" s="13" t="str">
        <f>+HYPERLINK("http://trademark.i-assist.jp/data/china/image_1920th/81396642.pdf","81396642")</f>
        <v>81396642</v>
      </c>
      <c r="F612" s="9" t="s">
        <v>1804</v>
      </c>
      <c r="G612" s="9" t="s">
        <v>1652</v>
      </c>
      <c r="H612" s="9" t="s">
        <v>1805</v>
      </c>
      <c r="I612" s="10">
        <v>45580</v>
      </c>
    </row>
    <row r="613" spans="1:9" x14ac:dyDescent="0.15">
      <c r="A613" s="9">
        <v>612</v>
      </c>
      <c r="B613" s="9" t="s">
        <v>9</v>
      </c>
      <c r="C613" s="9">
        <v>1920</v>
      </c>
      <c r="D613" s="10">
        <v>45677</v>
      </c>
      <c r="E613" s="13" t="str">
        <f>+HYPERLINK("http://trademark.i-assist.jp/data/china/image_1920th/81396859.pdf","81396859")</f>
        <v>81396859</v>
      </c>
      <c r="F613" s="9" t="s">
        <v>1806</v>
      </c>
      <c r="G613" s="9" t="s">
        <v>1807</v>
      </c>
      <c r="H613" s="9" t="s">
        <v>1808</v>
      </c>
      <c r="I613" s="10">
        <v>45580</v>
      </c>
    </row>
    <row r="614" spans="1:9" x14ac:dyDescent="0.15">
      <c r="A614" s="9">
        <v>613</v>
      </c>
      <c r="B614" s="9" t="s">
        <v>9</v>
      </c>
      <c r="C614" s="9">
        <v>1920</v>
      </c>
      <c r="D614" s="10">
        <v>45677</v>
      </c>
      <c r="E614" s="13" t="str">
        <f>+HYPERLINK("http://trademark.i-assist.jp/data/china/image_1920th/81396900.pdf","81396900")</f>
        <v>81396900</v>
      </c>
      <c r="F614" s="12" t="s">
        <v>1809</v>
      </c>
      <c r="G614" s="9" t="s">
        <v>1670</v>
      </c>
      <c r="H614" s="9" t="s">
        <v>1810</v>
      </c>
      <c r="I614" s="10">
        <v>45580</v>
      </c>
    </row>
    <row r="615" spans="1:9" x14ac:dyDescent="0.15">
      <c r="A615" s="9">
        <v>614</v>
      </c>
      <c r="B615" s="9" t="s">
        <v>9</v>
      </c>
      <c r="C615" s="9">
        <v>1920</v>
      </c>
      <c r="D615" s="10">
        <v>45677</v>
      </c>
      <c r="E615" s="13" t="str">
        <f>+HYPERLINK("http://trademark.i-assist.jp/data/china/image_1920th/81396935.pdf","81396935")</f>
        <v>81396935</v>
      </c>
      <c r="F615" s="9" t="s">
        <v>1811</v>
      </c>
      <c r="G615" s="9" t="s">
        <v>1670</v>
      </c>
      <c r="H615" s="9" t="s">
        <v>1812</v>
      </c>
      <c r="I615" s="10">
        <v>45580</v>
      </c>
    </row>
    <row r="616" spans="1:9" x14ac:dyDescent="0.15">
      <c r="A616" s="9">
        <v>615</v>
      </c>
      <c r="B616" s="9" t="s">
        <v>9</v>
      </c>
      <c r="C616" s="9">
        <v>1920</v>
      </c>
      <c r="D616" s="10">
        <v>45677</v>
      </c>
      <c r="E616" s="13" t="str">
        <f>+HYPERLINK("http://trademark.i-assist.jp/data/china/image_1920th/81397203.pdf","81397203")</f>
        <v>81397203</v>
      </c>
      <c r="F616" s="9" t="s">
        <v>1813</v>
      </c>
      <c r="G616" s="12" t="s">
        <v>157</v>
      </c>
      <c r="H616" s="12" t="s">
        <v>1814</v>
      </c>
      <c r="I616" s="10">
        <v>45580</v>
      </c>
    </row>
    <row r="617" spans="1:9" x14ac:dyDescent="0.15">
      <c r="A617" s="9">
        <v>616</v>
      </c>
      <c r="B617" s="9" t="s">
        <v>9</v>
      </c>
      <c r="C617" s="9">
        <v>1920</v>
      </c>
      <c r="D617" s="10">
        <v>45677</v>
      </c>
      <c r="E617" s="13" t="str">
        <f>+HYPERLINK("http://trademark.i-assist.jp/data/china/image_1920th/81397488.pdf","81397488")</f>
        <v>81397488</v>
      </c>
      <c r="F617" s="9" t="s">
        <v>1815</v>
      </c>
      <c r="G617" s="9" t="s">
        <v>1816</v>
      </c>
      <c r="H617" s="9" t="s">
        <v>1817</v>
      </c>
      <c r="I617" s="10">
        <v>45580</v>
      </c>
    </row>
    <row r="618" spans="1:9" x14ac:dyDescent="0.15">
      <c r="A618" s="9">
        <v>617</v>
      </c>
      <c r="B618" s="9" t="s">
        <v>9</v>
      </c>
      <c r="C618" s="9">
        <v>1920</v>
      </c>
      <c r="D618" s="10">
        <v>45677</v>
      </c>
      <c r="E618" s="13" t="str">
        <f>+HYPERLINK("http://trademark.i-assist.jp/data/china/image_1920th/81397535.pdf","81397535")</f>
        <v>81397535</v>
      </c>
      <c r="F618" s="9" t="s">
        <v>1818</v>
      </c>
      <c r="G618" s="9" t="s">
        <v>1819</v>
      </c>
      <c r="H618" s="9" t="s">
        <v>1820</v>
      </c>
      <c r="I618" s="10">
        <v>45580</v>
      </c>
    </row>
    <row r="619" spans="1:9" x14ac:dyDescent="0.15">
      <c r="A619" s="9">
        <v>618</v>
      </c>
      <c r="B619" s="9" t="s">
        <v>9</v>
      </c>
      <c r="C619" s="9">
        <v>1920</v>
      </c>
      <c r="D619" s="10">
        <v>45677</v>
      </c>
      <c r="E619" s="13" t="str">
        <f>+HYPERLINK("http://trademark.i-assist.jp/data/china/image_1920th/81397734.pdf","81397734")</f>
        <v>81397734</v>
      </c>
      <c r="F619" s="9" t="s">
        <v>1821</v>
      </c>
      <c r="G619" s="9" t="s">
        <v>71</v>
      </c>
      <c r="H619" s="12" t="s">
        <v>1822</v>
      </c>
      <c r="I619" s="10">
        <v>45580</v>
      </c>
    </row>
    <row r="620" spans="1:9" x14ac:dyDescent="0.15">
      <c r="A620" s="9">
        <v>619</v>
      </c>
      <c r="B620" s="9" t="s">
        <v>9</v>
      </c>
      <c r="C620" s="9">
        <v>1920</v>
      </c>
      <c r="D620" s="10">
        <v>45677</v>
      </c>
      <c r="E620" s="13" t="str">
        <f>+HYPERLINK("http://trademark.i-assist.jp/data/china/image_1920th/81397851.pdf","81397851")</f>
        <v>81397851</v>
      </c>
      <c r="F620" s="12" t="s">
        <v>1823</v>
      </c>
      <c r="G620" s="12" t="s">
        <v>1824</v>
      </c>
      <c r="H620" s="9" t="s">
        <v>1825</v>
      </c>
      <c r="I620" s="10">
        <v>45580</v>
      </c>
    </row>
    <row r="621" spans="1:9" x14ac:dyDescent="0.15">
      <c r="A621" s="9">
        <v>620</v>
      </c>
      <c r="B621" s="9" t="s">
        <v>9</v>
      </c>
      <c r="C621" s="9">
        <v>1920</v>
      </c>
      <c r="D621" s="10">
        <v>45677</v>
      </c>
      <c r="E621" s="13" t="str">
        <f>+HYPERLINK("http://trademark.i-assist.jp/data/china/image_1920th/81397924.pdf","81397924")</f>
        <v>81397924</v>
      </c>
      <c r="F621" s="9" t="s">
        <v>1826</v>
      </c>
      <c r="G621" s="9" t="s">
        <v>1652</v>
      </c>
      <c r="H621" s="9" t="s">
        <v>1827</v>
      </c>
      <c r="I621" s="10">
        <v>45580</v>
      </c>
    </row>
    <row r="622" spans="1:9" x14ac:dyDescent="0.15">
      <c r="A622" s="9">
        <v>621</v>
      </c>
      <c r="B622" s="9" t="s">
        <v>9</v>
      </c>
      <c r="C622" s="9">
        <v>1920</v>
      </c>
      <c r="D622" s="10">
        <v>45677</v>
      </c>
      <c r="E622" s="13" t="str">
        <f>+HYPERLINK("http://trademark.i-assist.jp/data/china/image_1920th/81397960.pdf","81397960")</f>
        <v>81397960</v>
      </c>
      <c r="F622" s="9" t="s">
        <v>1828</v>
      </c>
      <c r="G622" s="9" t="s">
        <v>1652</v>
      </c>
      <c r="H622" s="9" t="s">
        <v>1829</v>
      </c>
      <c r="I622" s="10">
        <v>45580</v>
      </c>
    </row>
    <row r="623" spans="1:9" x14ac:dyDescent="0.15">
      <c r="A623" s="9">
        <v>622</v>
      </c>
      <c r="B623" s="9" t="s">
        <v>9</v>
      </c>
      <c r="C623" s="9">
        <v>1920</v>
      </c>
      <c r="D623" s="10">
        <v>45677</v>
      </c>
      <c r="E623" s="13" t="str">
        <f>+HYPERLINK("http://trademark.i-assist.jp/data/china/image_1920th/81398091.pdf","81398091")</f>
        <v>81398091</v>
      </c>
      <c r="F623" s="12" t="s">
        <v>1830</v>
      </c>
      <c r="G623" s="9" t="s">
        <v>1831</v>
      </c>
      <c r="H623" s="9" t="s">
        <v>1832</v>
      </c>
      <c r="I623" s="10">
        <v>45580</v>
      </c>
    </row>
    <row r="624" spans="1:9" x14ac:dyDescent="0.15">
      <c r="A624" s="9">
        <v>623</v>
      </c>
      <c r="B624" s="9" t="s">
        <v>9</v>
      </c>
      <c r="C624" s="9">
        <v>1920</v>
      </c>
      <c r="D624" s="10">
        <v>45677</v>
      </c>
      <c r="E624" s="13" t="str">
        <f>+HYPERLINK("http://trademark.i-assist.jp/data/china/image_1920th/81398344.pdf","81398344")</f>
        <v>81398344</v>
      </c>
      <c r="F624" s="9" t="s">
        <v>1833</v>
      </c>
      <c r="G624" s="9" t="s">
        <v>1834</v>
      </c>
      <c r="H624" s="9" t="s">
        <v>1835</v>
      </c>
      <c r="I624" s="10">
        <v>45580</v>
      </c>
    </row>
    <row r="625" spans="1:9" x14ac:dyDescent="0.15">
      <c r="A625" s="9">
        <v>624</v>
      </c>
      <c r="B625" s="9" t="s">
        <v>9</v>
      </c>
      <c r="C625" s="9">
        <v>1920</v>
      </c>
      <c r="D625" s="10">
        <v>45677</v>
      </c>
      <c r="E625" s="13" t="str">
        <f>+HYPERLINK("http://trademark.i-assist.jp/data/china/image_1920th/81398618.pdf","81398618")</f>
        <v>81398618</v>
      </c>
      <c r="F625" s="9" t="s">
        <v>1836</v>
      </c>
      <c r="G625" s="9" t="s">
        <v>1837</v>
      </c>
      <c r="H625" s="12" t="s">
        <v>1838</v>
      </c>
      <c r="I625" s="10">
        <v>45580</v>
      </c>
    </row>
    <row r="626" spans="1:9" x14ac:dyDescent="0.15">
      <c r="A626" s="9">
        <v>625</v>
      </c>
      <c r="B626" s="9" t="s">
        <v>9</v>
      </c>
      <c r="C626" s="9">
        <v>1920</v>
      </c>
      <c r="D626" s="10">
        <v>45677</v>
      </c>
      <c r="E626" s="13" t="str">
        <f>+HYPERLINK("http://trademark.i-assist.jp/data/china/image_1920th/81398652.pdf","81398652")</f>
        <v>81398652</v>
      </c>
      <c r="F626" s="9" t="s">
        <v>1839</v>
      </c>
      <c r="G626" s="12" t="s">
        <v>1840</v>
      </c>
      <c r="H626" s="9" t="s">
        <v>11</v>
      </c>
      <c r="I626" s="10">
        <v>45580</v>
      </c>
    </row>
    <row r="627" spans="1:9" x14ac:dyDescent="0.15">
      <c r="A627" s="9">
        <v>626</v>
      </c>
      <c r="B627" s="9" t="s">
        <v>9</v>
      </c>
      <c r="C627" s="9">
        <v>1920</v>
      </c>
      <c r="D627" s="10">
        <v>45677</v>
      </c>
      <c r="E627" s="13" t="str">
        <f>+HYPERLINK("http://trademark.i-assist.jp/data/china/image_1920th/81398681.pdf","81398681")</f>
        <v>81398681</v>
      </c>
      <c r="F627" s="12" t="s">
        <v>1841</v>
      </c>
      <c r="G627" s="9" t="s">
        <v>1842</v>
      </c>
      <c r="H627" s="9" t="s">
        <v>1843</v>
      </c>
      <c r="I627" s="10">
        <v>45580</v>
      </c>
    </row>
    <row r="628" spans="1:9" x14ac:dyDescent="0.15">
      <c r="A628" s="9">
        <v>627</v>
      </c>
      <c r="B628" s="9" t="s">
        <v>9</v>
      </c>
      <c r="C628" s="9">
        <v>1920</v>
      </c>
      <c r="D628" s="10">
        <v>45677</v>
      </c>
      <c r="E628" s="13" t="str">
        <f>+HYPERLINK("http://trademark.i-assist.jp/data/china/image_1920th/81398852.pdf","81398852")</f>
        <v>81398852</v>
      </c>
      <c r="F628" s="12" t="s">
        <v>1844</v>
      </c>
      <c r="G628" s="12" t="s">
        <v>93</v>
      </c>
      <c r="H628" s="9" t="s">
        <v>11</v>
      </c>
      <c r="I628" s="10">
        <v>45580</v>
      </c>
    </row>
    <row r="629" spans="1:9" x14ac:dyDescent="0.15">
      <c r="A629" s="9">
        <v>628</v>
      </c>
      <c r="B629" s="9" t="s">
        <v>9</v>
      </c>
      <c r="C629" s="9">
        <v>1920</v>
      </c>
      <c r="D629" s="10">
        <v>45677</v>
      </c>
      <c r="E629" s="13" t="str">
        <f>+HYPERLINK("http://trademark.i-assist.jp/data/china/image_1920th/81399118.pdf","81399118")</f>
        <v>81399118</v>
      </c>
      <c r="F629" s="9" t="s">
        <v>1845</v>
      </c>
      <c r="G629" s="9" t="s">
        <v>1667</v>
      </c>
      <c r="H629" s="9" t="s">
        <v>1846</v>
      </c>
      <c r="I629" s="10">
        <v>45580</v>
      </c>
    </row>
    <row r="630" spans="1:9" x14ac:dyDescent="0.15">
      <c r="A630" s="9">
        <v>629</v>
      </c>
      <c r="B630" s="9" t="s">
        <v>9</v>
      </c>
      <c r="C630" s="9">
        <v>1920</v>
      </c>
      <c r="D630" s="10">
        <v>45677</v>
      </c>
      <c r="E630" s="13" t="str">
        <f>+HYPERLINK("http://trademark.i-assist.jp/data/china/image_1920th/81399706.pdf","81399706")</f>
        <v>81399706</v>
      </c>
      <c r="F630" s="9" t="s">
        <v>1847</v>
      </c>
      <c r="G630" s="12" t="s">
        <v>1718</v>
      </c>
      <c r="H630" s="9" t="s">
        <v>1848</v>
      </c>
      <c r="I630" s="10">
        <v>45580</v>
      </c>
    </row>
    <row r="631" spans="1:9" x14ac:dyDescent="0.15">
      <c r="A631" s="9">
        <v>630</v>
      </c>
      <c r="B631" s="9" t="s">
        <v>9</v>
      </c>
      <c r="C631" s="9">
        <v>1920</v>
      </c>
      <c r="D631" s="10">
        <v>45677</v>
      </c>
      <c r="E631" s="13" t="str">
        <f>+HYPERLINK("http://trademark.i-assist.jp/data/china/image_1920th/81399733.pdf","81399733")</f>
        <v>81399733</v>
      </c>
      <c r="F631" s="12" t="s">
        <v>1849</v>
      </c>
      <c r="G631" s="9" t="s">
        <v>1794</v>
      </c>
      <c r="H631" s="9" t="s">
        <v>1850</v>
      </c>
      <c r="I631" s="10">
        <v>45580</v>
      </c>
    </row>
    <row r="632" spans="1:9" x14ac:dyDescent="0.15">
      <c r="A632" s="9">
        <v>631</v>
      </c>
      <c r="B632" s="9" t="s">
        <v>9</v>
      </c>
      <c r="C632" s="9">
        <v>1920</v>
      </c>
      <c r="D632" s="10">
        <v>45677</v>
      </c>
      <c r="E632" s="13" t="str">
        <f>+HYPERLINK("http://trademark.i-assist.jp/data/china/image_1920th/81400026.pdf","81400026")</f>
        <v>81400026</v>
      </c>
      <c r="F632" s="9" t="s">
        <v>81</v>
      </c>
      <c r="G632" s="9" t="s">
        <v>82</v>
      </c>
      <c r="H632" s="9" t="s">
        <v>1851</v>
      </c>
      <c r="I632" s="10">
        <v>45580</v>
      </c>
    </row>
    <row r="633" spans="1:9" x14ac:dyDescent="0.15">
      <c r="A633" s="9">
        <v>632</v>
      </c>
      <c r="B633" s="9" t="s">
        <v>9</v>
      </c>
      <c r="C633" s="9">
        <v>1920</v>
      </c>
      <c r="D633" s="10">
        <v>45677</v>
      </c>
      <c r="E633" s="13" t="str">
        <f>+HYPERLINK("http://trademark.i-assist.jp/data/china/image_1920th/81400040.pdf","81400040")</f>
        <v>81400040</v>
      </c>
      <c r="F633" s="12" t="s">
        <v>1852</v>
      </c>
      <c r="G633" s="9" t="s">
        <v>1807</v>
      </c>
      <c r="H633" s="9" t="s">
        <v>1853</v>
      </c>
      <c r="I633" s="10">
        <v>45580</v>
      </c>
    </row>
    <row r="634" spans="1:9" x14ac:dyDescent="0.15">
      <c r="A634" s="9">
        <v>633</v>
      </c>
      <c r="B634" s="9" t="s">
        <v>9</v>
      </c>
      <c r="C634" s="9">
        <v>1920</v>
      </c>
      <c r="D634" s="10">
        <v>45677</v>
      </c>
      <c r="E634" s="13" t="str">
        <f>+HYPERLINK("http://trademark.i-assist.jp/data/china/image_1920th/81400272.pdf","81400272")</f>
        <v>81400272</v>
      </c>
      <c r="F634" s="9" t="s">
        <v>1854</v>
      </c>
      <c r="G634" s="9" t="s">
        <v>1855</v>
      </c>
      <c r="H634" s="9" t="s">
        <v>1856</v>
      </c>
      <c r="I634" s="10">
        <v>45580</v>
      </c>
    </row>
    <row r="635" spans="1:9" x14ac:dyDescent="0.15">
      <c r="A635" s="9">
        <v>634</v>
      </c>
      <c r="B635" s="9" t="s">
        <v>9</v>
      </c>
      <c r="C635" s="9">
        <v>1920</v>
      </c>
      <c r="D635" s="10">
        <v>45677</v>
      </c>
      <c r="E635" s="13" t="str">
        <f>+HYPERLINK("http://trademark.i-assist.jp/data/china/image_1920th/81400589.pdf","81400589")</f>
        <v>81400589</v>
      </c>
      <c r="F635" s="9" t="s">
        <v>1857</v>
      </c>
      <c r="G635" s="9" t="s">
        <v>1858</v>
      </c>
      <c r="H635" s="9" t="s">
        <v>1859</v>
      </c>
      <c r="I635" s="10">
        <v>45580</v>
      </c>
    </row>
    <row r="636" spans="1:9" x14ac:dyDescent="0.15">
      <c r="A636" s="9">
        <v>635</v>
      </c>
      <c r="B636" s="9" t="s">
        <v>9</v>
      </c>
      <c r="C636" s="9">
        <v>1920</v>
      </c>
      <c r="D636" s="10">
        <v>45677</v>
      </c>
      <c r="E636" s="13" t="str">
        <f>+HYPERLINK("http://trademark.i-assist.jp/data/china/image_1920th/81401380.pdf","81401380")</f>
        <v>81401380</v>
      </c>
      <c r="F636" s="9" t="s">
        <v>1860</v>
      </c>
      <c r="G636" s="9" t="s">
        <v>1861</v>
      </c>
      <c r="H636" s="9" t="s">
        <v>1862</v>
      </c>
      <c r="I636" s="10">
        <v>45580</v>
      </c>
    </row>
    <row r="637" spans="1:9" x14ac:dyDescent="0.15">
      <c r="A637" s="9">
        <v>636</v>
      </c>
      <c r="B637" s="9" t="s">
        <v>9</v>
      </c>
      <c r="C637" s="9">
        <v>1920</v>
      </c>
      <c r="D637" s="10">
        <v>45677</v>
      </c>
      <c r="E637" s="13" t="str">
        <f>+HYPERLINK("http://trademark.i-assist.jp/data/china/image_1920th/81401822.pdf","81401822")</f>
        <v>81401822</v>
      </c>
      <c r="F637" s="12" t="s">
        <v>1863</v>
      </c>
      <c r="G637" s="9" t="s">
        <v>1864</v>
      </c>
      <c r="H637" s="9" t="s">
        <v>1865</v>
      </c>
      <c r="I637" s="10">
        <v>45580</v>
      </c>
    </row>
    <row r="638" spans="1:9" x14ac:dyDescent="0.15">
      <c r="A638" s="9">
        <v>637</v>
      </c>
      <c r="B638" s="9" t="s">
        <v>9</v>
      </c>
      <c r="C638" s="9">
        <v>1920</v>
      </c>
      <c r="D638" s="10">
        <v>45677</v>
      </c>
      <c r="E638" s="13" t="str">
        <f>+HYPERLINK("http://trademark.i-assist.jp/data/china/image_1920th/81402049.pdf","81402049")</f>
        <v>81402049</v>
      </c>
      <c r="F638" s="9" t="s">
        <v>1866</v>
      </c>
      <c r="G638" s="9" t="s">
        <v>1867</v>
      </c>
      <c r="H638" s="9" t="s">
        <v>1868</v>
      </c>
      <c r="I638" s="10">
        <v>45580</v>
      </c>
    </row>
    <row r="639" spans="1:9" x14ac:dyDescent="0.15">
      <c r="A639" s="9">
        <v>638</v>
      </c>
      <c r="B639" s="9" t="s">
        <v>9</v>
      </c>
      <c r="C639" s="9">
        <v>1920</v>
      </c>
      <c r="D639" s="10">
        <v>45677</v>
      </c>
      <c r="E639" s="13" t="str">
        <f>+HYPERLINK("http://trademark.i-assist.jp/data/china/image_1920th/81402147.pdf","81402147")</f>
        <v>81402147</v>
      </c>
      <c r="F639" s="12" t="s">
        <v>1869</v>
      </c>
      <c r="G639" s="9" t="s">
        <v>1870</v>
      </c>
      <c r="H639" s="9" t="s">
        <v>1871</v>
      </c>
      <c r="I639" s="10">
        <v>45580</v>
      </c>
    </row>
    <row r="640" spans="1:9" x14ac:dyDescent="0.15">
      <c r="A640" s="9">
        <v>639</v>
      </c>
      <c r="B640" s="9" t="s">
        <v>9</v>
      </c>
      <c r="C640" s="9">
        <v>1920</v>
      </c>
      <c r="D640" s="10">
        <v>45677</v>
      </c>
      <c r="E640" s="13" t="str">
        <f>+HYPERLINK("http://trademark.i-assist.jp/data/china/image_1920th/81402636.pdf","81402636")</f>
        <v>81402636</v>
      </c>
      <c r="F640" s="9" t="s">
        <v>1872</v>
      </c>
      <c r="G640" s="12" t="s">
        <v>1873</v>
      </c>
      <c r="H640" s="9" t="s">
        <v>1874</v>
      </c>
      <c r="I640" s="10">
        <v>45580</v>
      </c>
    </row>
    <row r="641" spans="1:9" x14ac:dyDescent="0.15">
      <c r="A641" s="9">
        <v>640</v>
      </c>
      <c r="B641" s="9" t="s">
        <v>9</v>
      </c>
      <c r="C641" s="9">
        <v>1920</v>
      </c>
      <c r="D641" s="10">
        <v>45677</v>
      </c>
      <c r="E641" s="13" t="str">
        <f>+HYPERLINK("http://trademark.i-assist.jp/data/china/image_1920th/81403151.pdf","81403151")</f>
        <v>81403151</v>
      </c>
      <c r="F641" s="9" t="s">
        <v>1875</v>
      </c>
      <c r="G641" s="9" t="s">
        <v>21</v>
      </c>
      <c r="H641" s="9" t="s">
        <v>1876</v>
      </c>
      <c r="I641" s="10">
        <v>45580</v>
      </c>
    </row>
    <row r="642" spans="1:9" x14ac:dyDescent="0.15">
      <c r="A642" s="9">
        <v>641</v>
      </c>
      <c r="B642" s="9" t="s">
        <v>9</v>
      </c>
      <c r="C642" s="9">
        <v>1920</v>
      </c>
      <c r="D642" s="10">
        <v>45677</v>
      </c>
      <c r="E642" s="13" t="str">
        <f>+HYPERLINK("http://trademark.i-assist.jp/data/china/image_1920th/81403200.pdf","81403200")</f>
        <v>81403200</v>
      </c>
      <c r="F642" s="9" t="s">
        <v>1877</v>
      </c>
      <c r="G642" s="9" t="s">
        <v>1878</v>
      </c>
      <c r="H642" s="9" t="s">
        <v>1879</v>
      </c>
      <c r="I642" s="10">
        <v>45580</v>
      </c>
    </row>
    <row r="643" spans="1:9" x14ac:dyDescent="0.15">
      <c r="A643" s="9">
        <v>642</v>
      </c>
      <c r="B643" s="9" t="s">
        <v>9</v>
      </c>
      <c r="C643" s="9">
        <v>1920</v>
      </c>
      <c r="D643" s="10">
        <v>45677</v>
      </c>
      <c r="E643" s="13" t="str">
        <f>+HYPERLINK("http://trademark.i-assist.jp/data/china/image_1920th/81403228.pdf","81403228")</f>
        <v>81403228</v>
      </c>
      <c r="F643" s="9" t="s">
        <v>1880</v>
      </c>
      <c r="G643" s="9" t="s">
        <v>1726</v>
      </c>
      <c r="H643" s="9" t="s">
        <v>1881</v>
      </c>
      <c r="I643" s="10">
        <v>45580</v>
      </c>
    </row>
    <row r="644" spans="1:9" x14ac:dyDescent="0.15">
      <c r="A644" s="9">
        <v>643</v>
      </c>
      <c r="B644" s="9" t="s">
        <v>9</v>
      </c>
      <c r="C644" s="9">
        <v>1920</v>
      </c>
      <c r="D644" s="10">
        <v>45677</v>
      </c>
      <c r="E644" s="13" t="str">
        <f>+HYPERLINK("http://trademark.i-assist.jp/data/china/image_1920th/81403371.pdf","81403371")</f>
        <v>81403371</v>
      </c>
      <c r="F644" s="9" t="s">
        <v>1882</v>
      </c>
      <c r="G644" s="12" t="s">
        <v>1883</v>
      </c>
      <c r="H644" s="9" t="s">
        <v>1884</v>
      </c>
      <c r="I644" s="10">
        <v>45580</v>
      </c>
    </row>
    <row r="645" spans="1:9" x14ac:dyDescent="0.15">
      <c r="A645" s="9">
        <v>644</v>
      </c>
      <c r="B645" s="9" t="s">
        <v>9</v>
      </c>
      <c r="C645" s="9">
        <v>1920</v>
      </c>
      <c r="D645" s="10">
        <v>45677</v>
      </c>
      <c r="E645" s="13" t="str">
        <f>+HYPERLINK("http://trademark.i-assist.jp/data/china/image_1920th/81403736.pdf","81403736")</f>
        <v>81403736</v>
      </c>
      <c r="F645" s="9" t="s">
        <v>1885</v>
      </c>
      <c r="G645" s="9" t="s">
        <v>1658</v>
      </c>
      <c r="H645" s="9" t="s">
        <v>1886</v>
      </c>
      <c r="I645" s="10">
        <v>45580</v>
      </c>
    </row>
    <row r="646" spans="1:9" x14ac:dyDescent="0.15">
      <c r="A646" s="9">
        <v>645</v>
      </c>
      <c r="B646" s="9" t="s">
        <v>9</v>
      </c>
      <c r="C646" s="9">
        <v>1920</v>
      </c>
      <c r="D646" s="10">
        <v>45677</v>
      </c>
      <c r="E646" s="13" t="str">
        <f>+HYPERLINK("http://trademark.i-assist.jp/data/china/image_1920th/81403803.pdf","81403803")</f>
        <v>81403803</v>
      </c>
      <c r="F646" s="12" t="s">
        <v>1887</v>
      </c>
      <c r="G646" s="12" t="s">
        <v>1533</v>
      </c>
      <c r="H646" s="9" t="s">
        <v>1888</v>
      </c>
      <c r="I646" s="10">
        <v>45580</v>
      </c>
    </row>
    <row r="647" spans="1:9" x14ac:dyDescent="0.15">
      <c r="A647" s="9">
        <v>646</v>
      </c>
      <c r="B647" s="9" t="s">
        <v>9</v>
      </c>
      <c r="C647" s="9">
        <v>1920</v>
      </c>
      <c r="D647" s="10">
        <v>45677</v>
      </c>
      <c r="E647" s="13" t="str">
        <f>+HYPERLINK("http://trademark.i-assist.jp/data/china/image_1920th/81404270.pdf","81404270")</f>
        <v>81404270</v>
      </c>
      <c r="F647" s="9" t="s">
        <v>1889</v>
      </c>
      <c r="G647" s="9" t="s">
        <v>1890</v>
      </c>
      <c r="H647" s="9" t="s">
        <v>1891</v>
      </c>
      <c r="I647" s="10">
        <v>45580</v>
      </c>
    </row>
    <row r="648" spans="1:9" x14ac:dyDescent="0.15">
      <c r="A648" s="9">
        <v>647</v>
      </c>
      <c r="B648" s="9" t="s">
        <v>9</v>
      </c>
      <c r="C648" s="9">
        <v>1920</v>
      </c>
      <c r="D648" s="10">
        <v>45677</v>
      </c>
      <c r="E648" s="13" t="str">
        <f>+HYPERLINK("http://trademark.i-assist.jp/data/china/image_1920th/81404424.pdf","81404424")</f>
        <v>81404424</v>
      </c>
      <c r="F648" s="9" t="s">
        <v>1892</v>
      </c>
      <c r="G648" s="9" t="s">
        <v>1652</v>
      </c>
      <c r="H648" s="9" t="s">
        <v>1893</v>
      </c>
      <c r="I648" s="10">
        <v>45580</v>
      </c>
    </row>
    <row r="649" spans="1:9" x14ac:dyDescent="0.15">
      <c r="A649" s="9">
        <v>648</v>
      </c>
      <c r="B649" s="9" t="s">
        <v>9</v>
      </c>
      <c r="C649" s="9">
        <v>1920</v>
      </c>
      <c r="D649" s="10">
        <v>45677</v>
      </c>
      <c r="E649" s="13" t="str">
        <f>+HYPERLINK("http://trademark.i-assist.jp/data/china/image_1920th/81404426.pdf","81404426")</f>
        <v>81404426</v>
      </c>
      <c r="F649" s="12" t="s">
        <v>1894</v>
      </c>
      <c r="G649" s="9" t="s">
        <v>1895</v>
      </c>
      <c r="H649" s="9" t="s">
        <v>1896</v>
      </c>
      <c r="I649" s="10">
        <v>45580</v>
      </c>
    </row>
    <row r="650" spans="1:9" x14ac:dyDescent="0.15">
      <c r="A650" s="9">
        <v>649</v>
      </c>
      <c r="B650" s="9" t="s">
        <v>9</v>
      </c>
      <c r="C650" s="9">
        <v>1920</v>
      </c>
      <c r="D650" s="10">
        <v>45677</v>
      </c>
      <c r="E650" s="13" t="str">
        <f>+HYPERLINK("http://trademark.i-assist.jp/data/china/image_1920th/81404469.pdf","81404469")</f>
        <v>81404469</v>
      </c>
      <c r="F650" s="9" t="s">
        <v>1897</v>
      </c>
      <c r="G650" s="9" t="s">
        <v>1898</v>
      </c>
      <c r="H650" s="9" t="s">
        <v>1899</v>
      </c>
      <c r="I650" s="10">
        <v>45580</v>
      </c>
    </row>
    <row r="651" spans="1:9" x14ac:dyDescent="0.15">
      <c r="A651" s="9">
        <v>650</v>
      </c>
      <c r="B651" s="9" t="s">
        <v>9</v>
      </c>
      <c r="C651" s="9">
        <v>1920</v>
      </c>
      <c r="D651" s="10">
        <v>45677</v>
      </c>
      <c r="E651" s="13" t="str">
        <f>+HYPERLINK("http://trademark.i-assist.jp/data/china/image_1920th/81404638.pdf","81404638")</f>
        <v>81404638</v>
      </c>
      <c r="F651" s="9" t="s">
        <v>1900</v>
      </c>
      <c r="G651" s="9" t="s">
        <v>1744</v>
      </c>
      <c r="H651" s="9" t="s">
        <v>1901</v>
      </c>
      <c r="I651" s="10">
        <v>45580</v>
      </c>
    </row>
    <row r="652" spans="1:9" x14ac:dyDescent="0.15">
      <c r="A652" s="9">
        <v>651</v>
      </c>
      <c r="B652" s="9" t="s">
        <v>9</v>
      </c>
      <c r="C652" s="9">
        <v>1920</v>
      </c>
      <c r="D652" s="10">
        <v>45677</v>
      </c>
      <c r="E652" s="13" t="str">
        <f>+HYPERLINK("http://trademark.i-assist.jp/data/china/image_1920th/81404732.pdf","81404732")</f>
        <v>81404732</v>
      </c>
      <c r="F652" s="11" t="s">
        <v>1902</v>
      </c>
      <c r="G652" s="12" t="s">
        <v>1903</v>
      </c>
      <c r="H652" s="9" t="s">
        <v>1904</v>
      </c>
      <c r="I652" s="10">
        <v>45580</v>
      </c>
    </row>
    <row r="653" spans="1:9" x14ac:dyDescent="0.15">
      <c r="A653" s="9">
        <v>652</v>
      </c>
      <c r="B653" s="9" t="s">
        <v>9</v>
      </c>
      <c r="C653" s="9">
        <v>1920</v>
      </c>
      <c r="D653" s="10">
        <v>45677</v>
      </c>
      <c r="E653" s="13" t="str">
        <f>+HYPERLINK("http://trademark.i-assist.jp/data/china/image_1920th/81404815.pdf","81404815")</f>
        <v>81404815</v>
      </c>
      <c r="F653" s="12" t="s">
        <v>12</v>
      </c>
      <c r="G653" s="9" t="s">
        <v>1905</v>
      </c>
      <c r="H653" s="9" t="s">
        <v>1906</v>
      </c>
      <c r="I653" s="10">
        <v>45580</v>
      </c>
    </row>
    <row r="654" spans="1:9" x14ac:dyDescent="0.15">
      <c r="A654" s="9">
        <v>653</v>
      </c>
      <c r="B654" s="9" t="s">
        <v>9</v>
      </c>
      <c r="C654" s="9">
        <v>1920</v>
      </c>
      <c r="D654" s="10">
        <v>45677</v>
      </c>
      <c r="E654" s="13" t="str">
        <f>+HYPERLINK("http://trademark.i-assist.jp/data/china/image_1920th/81404834.pdf","81404834")</f>
        <v>81404834</v>
      </c>
      <c r="F654" s="12" t="s">
        <v>12</v>
      </c>
      <c r="G654" s="9" t="s">
        <v>100</v>
      </c>
      <c r="H654" s="9" t="s">
        <v>1907</v>
      </c>
      <c r="I654" s="10">
        <v>45580</v>
      </c>
    </row>
    <row r="655" spans="1:9" x14ac:dyDescent="0.15">
      <c r="A655" s="9">
        <v>654</v>
      </c>
      <c r="B655" s="9" t="s">
        <v>9</v>
      </c>
      <c r="C655" s="9">
        <v>1920</v>
      </c>
      <c r="D655" s="10">
        <v>45677</v>
      </c>
      <c r="E655" s="13" t="str">
        <f>+HYPERLINK("http://trademark.i-assist.jp/data/china/image_1920th/81404931.pdf","81404931")</f>
        <v>81404931</v>
      </c>
      <c r="F655" s="9" t="s">
        <v>1908</v>
      </c>
      <c r="G655" s="9" t="s">
        <v>1661</v>
      </c>
      <c r="H655" s="9" t="s">
        <v>1909</v>
      </c>
      <c r="I655" s="10">
        <v>45580</v>
      </c>
    </row>
    <row r="656" spans="1:9" x14ac:dyDescent="0.15">
      <c r="A656" s="9">
        <v>655</v>
      </c>
      <c r="B656" s="9" t="s">
        <v>9</v>
      </c>
      <c r="C656" s="9">
        <v>1920</v>
      </c>
      <c r="D656" s="10">
        <v>45677</v>
      </c>
      <c r="E656" s="13" t="str">
        <f>+HYPERLINK("http://trademark.i-assist.jp/data/china/image_1920th/81405314.pdf","81405314")</f>
        <v>81405314</v>
      </c>
      <c r="F656" s="12" t="s">
        <v>1910</v>
      </c>
      <c r="G656" s="9" t="s">
        <v>1911</v>
      </c>
      <c r="H656" s="9" t="s">
        <v>1912</v>
      </c>
      <c r="I656" s="10">
        <v>45581</v>
      </c>
    </row>
    <row r="657" spans="1:9" x14ac:dyDescent="0.15">
      <c r="A657" s="9">
        <v>656</v>
      </c>
      <c r="B657" s="9" t="s">
        <v>9</v>
      </c>
      <c r="C657" s="9">
        <v>1920</v>
      </c>
      <c r="D657" s="10">
        <v>45677</v>
      </c>
      <c r="E657" s="13" t="str">
        <f>+HYPERLINK("http://trademark.i-assist.jp/data/china/image_1920th/81406245.pdf","81406245")</f>
        <v>81406245</v>
      </c>
      <c r="F657" s="9" t="s">
        <v>1913</v>
      </c>
      <c r="G657" s="12" t="s">
        <v>1914</v>
      </c>
      <c r="H657" s="9" t="s">
        <v>1915</v>
      </c>
      <c r="I657" s="10">
        <v>45581</v>
      </c>
    </row>
    <row r="658" spans="1:9" x14ac:dyDescent="0.15">
      <c r="A658" s="9">
        <v>657</v>
      </c>
      <c r="B658" s="9" t="s">
        <v>9</v>
      </c>
      <c r="C658" s="9">
        <v>1920</v>
      </c>
      <c r="D658" s="10">
        <v>45677</v>
      </c>
      <c r="E658" s="13" t="str">
        <f>+HYPERLINK("http://trademark.i-assist.jp/data/china/image_1920th/81407094.pdf","81407094")</f>
        <v>81407094</v>
      </c>
      <c r="F658" s="9" t="s">
        <v>1916</v>
      </c>
      <c r="G658" s="9" t="s">
        <v>1917</v>
      </c>
      <c r="H658" s="9" t="s">
        <v>1918</v>
      </c>
      <c r="I658" s="10">
        <v>45581</v>
      </c>
    </row>
    <row r="659" spans="1:9" x14ac:dyDescent="0.15">
      <c r="A659" s="9">
        <v>658</v>
      </c>
      <c r="B659" s="9" t="s">
        <v>9</v>
      </c>
      <c r="C659" s="9">
        <v>1920</v>
      </c>
      <c r="D659" s="10">
        <v>45677</v>
      </c>
      <c r="E659" s="13" t="str">
        <f>+HYPERLINK("http://trademark.i-assist.jp/data/china/image_1920th/81407370.pdf","81407370")</f>
        <v>81407370</v>
      </c>
      <c r="F659" s="9" t="s">
        <v>1919</v>
      </c>
      <c r="G659" s="9" t="s">
        <v>87</v>
      </c>
      <c r="H659" s="9" t="s">
        <v>1920</v>
      </c>
      <c r="I659" s="10">
        <v>45581</v>
      </c>
    </row>
    <row r="660" spans="1:9" x14ac:dyDescent="0.15">
      <c r="A660" s="9">
        <v>659</v>
      </c>
      <c r="B660" s="9" t="s">
        <v>9</v>
      </c>
      <c r="C660" s="9">
        <v>1920</v>
      </c>
      <c r="D660" s="10">
        <v>45677</v>
      </c>
      <c r="E660" s="13" t="str">
        <f>+HYPERLINK("http://trademark.i-assist.jp/data/china/image_1920th/81407923.pdf","81407923")</f>
        <v>81407923</v>
      </c>
      <c r="F660" s="9" t="s">
        <v>1921</v>
      </c>
      <c r="G660" s="9" t="s">
        <v>94</v>
      </c>
      <c r="H660" s="9" t="s">
        <v>1922</v>
      </c>
      <c r="I660" s="10">
        <v>45581</v>
      </c>
    </row>
    <row r="661" spans="1:9" x14ac:dyDescent="0.15">
      <c r="A661" s="9">
        <v>660</v>
      </c>
      <c r="B661" s="9" t="s">
        <v>9</v>
      </c>
      <c r="C661" s="9">
        <v>1920</v>
      </c>
      <c r="D661" s="10">
        <v>45677</v>
      </c>
      <c r="E661" s="13" t="str">
        <f>+HYPERLINK("http://trademark.i-assist.jp/data/china/image_1920th/81408598.pdf","81408598")</f>
        <v>81408598</v>
      </c>
      <c r="F661" s="9" t="s">
        <v>1923</v>
      </c>
      <c r="G661" s="12" t="s">
        <v>1924</v>
      </c>
      <c r="H661" s="9" t="s">
        <v>1925</v>
      </c>
      <c r="I661" s="10">
        <v>45581</v>
      </c>
    </row>
    <row r="662" spans="1:9" x14ac:dyDescent="0.15">
      <c r="A662" s="9">
        <v>661</v>
      </c>
      <c r="B662" s="9" t="s">
        <v>9</v>
      </c>
      <c r="C662" s="9">
        <v>1920</v>
      </c>
      <c r="D662" s="10">
        <v>45677</v>
      </c>
      <c r="E662" s="13" t="str">
        <f>+HYPERLINK("http://trademark.i-assist.jp/data/china/image_1920th/81408664.pdf","81408664")</f>
        <v>81408664</v>
      </c>
      <c r="F662" s="9" t="s">
        <v>1926</v>
      </c>
      <c r="G662" s="9" t="s">
        <v>1927</v>
      </c>
      <c r="H662" s="9" t="s">
        <v>1928</v>
      </c>
      <c r="I662" s="10">
        <v>45581</v>
      </c>
    </row>
    <row r="663" spans="1:9" x14ac:dyDescent="0.15">
      <c r="A663" s="9">
        <v>662</v>
      </c>
      <c r="B663" s="9" t="s">
        <v>9</v>
      </c>
      <c r="C663" s="9">
        <v>1920</v>
      </c>
      <c r="D663" s="10">
        <v>45677</v>
      </c>
      <c r="E663" s="13" t="str">
        <f>+HYPERLINK("http://trademark.i-assist.jp/data/china/image_1920th/81408692.pdf","81408692")</f>
        <v>81408692</v>
      </c>
      <c r="F663" s="9" t="s">
        <v>1929</v>
      </c>
      <c r="G663" s="9" t="s">
        <v>1930</v>
      </c>
      <c r="H663" s="9" t="s">
        <v>1931</v>
      </c>
      <c r="I663" s="10">
        <v>45581</v>
      </c>
    </row>
    <row r="664" spans="1:9" x14ac:dyDescent="0.15">
      <c r="A664" s="9">
        <v>663</v>
      </c>
      <c r="B664" s="9" t="s">
        <v>9</v>
      </c>
      <c r="C664" s="9">
        <v>1920</v>
      </c>
      <c r="D664" s="10">
        <v>45677</v>
      </c>
      <c r="E664" s="13" t="str">
        <f>+HYPERLINK("http://trademark.i-assist.jp/data/china/image_1920th/81408885.pdf","81408885")</f>
        <v>81408885</v>
      </c>
      <c r="F664" s="9" t="s">
        <v>1932</v>
      </c>
      <c r="G664" s="9" t="s">
        <v>1933</v>
      </c>
      <c r="H664" s="9" t="s">
        <v>1934</v>
      </c>
      <c r="I664" s="10">
        <v>45581</v>
      </c>
    </row>
    <row r="665" spans="1:9" x14ac:dyDescent="0.15">
      <c r="A665" s="9">
        <v>664</v>
      </c>
      <c r="B665" s="9" t="s">
        <v>9</v>
      </c>
      <c r="C665" s="9">
        <v>1920</v>
      </c>
      <c r="D665" s="10">
        <v>45677</v>
      </c>
      <c r="E665" s="13" t="str">
        <f>+HYPERLINK("http://trademark.i-assist.jp/data/china/image_1920th/81408968.pdf","81408968")</f>
        <v>81408968</v>
      </c>
      <c r="F665" s="9" t="s">
        <v>1935</v>
      </c>
      <c r="G665" s="9" t="s">
        <v>98</v>
      </c>
      <c r="H665" s="9" t="s">
        <v>1936</v>
      </c>
      <c r="I665" s="10">
        <v>45581</v>
      </c>
    </row>
    <row r="666" spans="1:9" x14ac:dyDescent="0.15">
      <c r="A666" s="9">
        <v>665</v>
      </c>
      <c r="B666" s="9" t="s">
        <v>9</v>
      </c>
      <c r="C666" s="9">
        <v>1920</v>
      </c>
      <c r="D666" s="10">
        <v>45677</v>
      </c>
      <c r="E666" s="13" t="str">
        <f>+HYPERLINK("http://trademark.i-assist.jp/data/china/image_1920th/81409122.pdf","81409122")</f>
        <v>81409122</v>
      </c>
      <c r="F666" s="9" t="s">
        <v>1937</v>
      </c>
      <c r="G666" s="12" t="s">
        <v>1938</v>
      </c>
      <c r="H666" s="9" t="s">
        <v>1939</v>
      </c>
      <c r="I666" s="10">
        <v>45581</v>
      </c>
    </row>
    <row r="667" spans="1:9" x14ac:dyDescent="0.15">
      <c r="A667" s="9">
        <v>666</v>
      </c>
      <c r="B667" s="9" t="s">
        <v>9</v>
      </c>
      <c r="C667" s="9">
        <v>1920</v>
      </c>
      <c r="D667" s="10">
        <v>45677</v>
      </c>
      <c r="E667" s="13" t="str">
        <f>+HYPERLINK("http://trademark.i-assist.jp/data/china/image_1920th/81410040.pdf","81410040")</f>
        <v>81410040</v>
      </c>
      <c r="F667" s="9" t="s">
        <v>1940</v>
      </c>
      <c r="G667" s="9" t="s">
        <v>1941</v>
      </c>
      <c r="H667" s="12" t="s">
        <v>1942</v>
      </c>
      <c r="I667" s="10">
        <v>45581</v>
      </c>
    </row>
    <row r="668" spans="1:9" x14ac:dyDescent="0.15">
      <c r="A668" s="9">
        <v>667</v>
      </c>
      <c r="B668" s="9" t="s">
        <v>9</v>
      </c>
      <c r="C668" s="9">
        <v>1920</v>
      </c>
      <c r="D668" s="10">
        <v>45677</v>
      </c>
      <c r="E668" s="13" t="str">
        <f>+HYPERLINK("http://trademark.i-assist.jp/data/china/image_1920th/81410142.pdf","81410142")</f>
        <v>81410142</v>
      </c>
      <c r="F668" s="9" t="s">
        <v>1943</v>
      </c>
      <c r="G668" s="9" t="s">
        <v>1944</v>
      </c>
      <c r="H668" s="12" t="s">
        <v>1945</v>
      </c>
      <c r="I668" s="10">
        <v>45581</v>
      </c>
    </row>
    <row r="669" spans="1:9" x14ac:dyDescent="0.15">
      <c r="A669" s="9">
        <v>668</v>
      </c>
      <c r="B669" s="9" t="s">
        <v>9</v>
      </c>
      <c r="C669" s="9">
        <v>1920</v>
      </c>
      <c r="D669" s="10">
        <v>45677</v>
      </c>
      <c r="E669" s="13" t="str">
        <f>+HYPERLINK("http://trademark.i-assist.jp/data/china/image_1920th/81411577.pdf","81411577")</f>
        <v>81411577</v>
      </c>
      <c r="F669" s="9" t="s">
        <v>1946</v>
      </c>
      <c r="G669" s="12" t="s">
        <v>1760</v>
      </c>
      <c r="H669" s="9" t="s">
        <v>1947</v>
      </c>
      <c r="I669" s="10">
        <v>45581</v>
      </c>
    </row>
    <row r="670" spans="1:9" x14ac:dyDescent="0.15">
      <c r="A670" s="9">
        <v>669</v>
      </c>
      <c r="B670" s="9" t="s">
        <v>9</v>
      </c>
      <c r="C670" s="9">
        <v>1920</v>
      </c>
      <c r="D670" s="10">
        <v>45677</v>
      </c>
      <c r="E670" s="13" t="str">
        <f>+HYPERLINK("http://trademark.i-assist.jp/data/china/image_1920th/81412434.pdf","81412434")</f>
        <v>81412434</v>
      </c>
      <c r="F670" s="9" t="s">
        <v>1948</v>
      </c>
      <c r="G670" s="9" t="s">
        <v>1949</v>
      </c>
      <c r="H670" s="9" t="s">
        <v>1950</v>
      </c>
      <c r="I670" s="10">
        <v>45581</v>
      </c>
    </row>
    <row r="671" spans="1:9" x14ac:dyDescent="0.15">
      <c r="A671" s="9">
        <v>670</v>
      </c>
      <c r="B671" s="9" t="s">
        <v>9</v>
      </c>
      <c r="C671" s="9">
        <v>1920</v>
      </c>
      <c r="D671" s="10">
        <v>45677</v>
      </c>
      <c r="E671" s="13" t="str">
        <f>+HYPERLINK("http://trademark.i-assist.jp/data/china/image_1920th/81412854.pdf","81412854")</f>
        <v>81412854</v>
      </c>
      <c r="F671" s="9" t="s">
        <v>1951</v>
      </c>
      <c r="G671" s="9" t="s">
        <v>1905</v>
      </c>
      <c r="H671" s="9" t="s">
        <v>1952</v>
      </c>
      <c r="I671" s="10">
        <v>45581</v>
      </c>
    </row>
    <row r="672" spans="1:9" x14ac:dyDescent="0.15">
      <c r="A672" s="9">
        <v>671</v>
      </c>
      <c r="B672" s="9" t="s">
        <v>9</v>
      </c>
      <c r="C672" s="9">
        <v>1920</v>
      </c>
      <c r="D672" s="10">
        <v>45677</v>
      </c>
      <c r="E672" s="13" t="str">
        <f>+HYPERLINK("http://trademark.i-assist.jp/data/china/image_1920th/81412985.pdf","81412985")</f>
        <v>81412985</v>
      </c>
      <c r="F672" s="9" t="s">
        <v>1953</v>
      </c>
      <c r="G672" s="9" t="s">
        <v>1954</v>
      </c>
      <c r="H672" s="9" t="s">
        <v>1955</v>
      </c>
      <c r="I672" s="10">
        <v>45581</v>
      </c>
    </row>
    <row r="673" spans="1:9" x14ac:dyDescent="0.15">
      <c r="A673" s="9">
        <v>672</v>
      </c>
      <c r="B673" s="9" t="s">
        <v>9</v>
      </c>
      <c r="C673" s="9">
        <v>1920</v>
      </c>
      <c r="D673" s="10">
        <v>45677</v>
      </c>
      <c r="E673" s="13" t="str">
        <f>+HYPERLINK("http://trademark.i-assist.jp/data/china/image_1920th/81413098.pdf","81413098")</f>
        <v>81413098</v>
      </c>
      <c r="F673" s="9" t="s">
        <v>1956</v>
      </c>
      <c r="G673" s="12" t="s">
        <v>1957</v>
      </c>
      <c r="H673" s="9" t="s">
        <v>1958</v>
      </c>
      <c r="I673" s="10">
        <v>45581</v>
      </c>
    </row>
    <row r="674" spans="1:9" x14ac:dyDescent="0.15">
      <c r="A674" s="9">
        <v>673</v>
      </c>
      <c r="B674" s="9" t="s">
        <v>9</v>
      </c>
      <c r="C674" s="9">
        <v>1920</v>
      </c>
      <c r="D674" s="10">
        <v>45677</v>
      </c>
      <c r="E674" s="13" t="str">
        <f>+HYPERLINK("http://trademark.i-assist.jp/data/china/image_1920th/81413533.pdf","81413533")</f>
        <v>81413533</v>
      </c>
      <c r="F674" s="9" t="s">
        <v>1959</v>
      </c>
      <c r="G674" s="12" t="s">
        <v>1960</v>
      </c>
      <c r="H674" s="9" t="s">
        <v>1961</v>
      </c>
      <c r="I674" s="10">
        <v>45581</v>
      </c>
    </row>
    <row r="675" spans="1:9" x14ac:dyDescent="0.15">
      <c r="A675" s="9">
        <v>674</v>
      </c>
      <c r="B675" s="9" t="s">
        <v>9</v>
      </c>
      <c r="C675" s="9">
        <v>1920</v>
      </c>
      <c r="D675" s="10">
        <v>45677</v>
      </c>
      <c r="E675" s="13" t="str">
        <f>+HYPERLINK("http://trademark.i-assist.jp/data/china/image_1920th/81413539.pdf","81413539")</f>
        <v>81413539</v>
      </c>
      <c r="F675" s="9" t="s">
        <v>1962</v>
      </c>
      <c r="G675" s="9" t="s">
        <v>1963</v>
      </c>
      <c r="H675" s="9" t="s">
        <v>1964</v>
      </c>
      <c r="I675" s="10">
        <v>45581</v>
      </c>
    </row>
    <row r="676" spans="1:9" x14ac:dyDescent="0.15">
      <c r="A676" s="9">
        <v>675</v>
      </c>
      <c r="B676" s="9" t="s">
        <v>9</v>
      </c>
      <c r="C676" s="9">
        <v>1920</v>
      </c>
      <c r="D676" s="10">
        <v>45677</v>
      </c>
      <c r="E676" s="13" t="str">
        <f>+HYPERLINK("http://trademark.i-assist.jp/data/china/image_1920th/81413582.pdf","81413582")</f>
        <v>81413582</v>
      </c>
      <c r="F676" s="9" t="s">
        <v>1965</v>
      </c>
      <c r="G676" s="9" t="s">
        <v>87</v>
      </c>
      <c r="H676" s="9" t="s">
        <v>1966</v>
      </c>
      <c r="I676" s="10">
        <v>45581</v>
      </c>
    </row>
    <row r="677" spans="1:9" x14ac:dyDescent="0.15">
      <c r="A677" s="9">
        <v>676</v>
      </c>
      <c r="B677" s="9" t="s">
        <v>9</v>
      </c>
      <c r="C677" s="9">
        <v>1920</v>
      </c>
      <c r="D677" s="10">
        <v>45677</v>
      </c>
      <c r="E677" s="13" t="str">
        <f>+HYPERLINK("http://trademark.i-assist.jp/data/china/image_1920th/81414111.pdf","81414111")</f>
        <v>81414111</v>
      </c>
      <c r="F677" s="9" t="s">
        <v>1967</v>
      </c>
      <c r="G677" s="9" t="s">
        <v>1905</v>
      </c>
      <c r="H677" s="9" t="s">
        <v>1968</v>
      </c>
      <c r="I677" s="10">
        <v>45581</v>
      </c>
    </row>
    <row r="678" spans="1:9" x14ac:dyDescent="0.15">
      <c r="A678" s="9">
        <v>677</v>
      </c>
      <c r="B678" s="9" t="s">
        <v>9</v>
      </c>
      <c r="C678" s="9">
        <v>1920</v>
      </c>
      <c r="D678" s="10">
        <v>45677</v>
      </c>
      <c r="E678" s="13" t="str">
        <f>+HYPERLINK("http://trademark.i-assist.jp/data/china/image_1920th/81414328.pdf","81414328")</f>
        <v>81414328</v>
      </c>
      <c r="F678" s="9" t="s">
        <v>1969</v>
      </c>
      <c r="G678" s="9" t="s">
        <v>1970</v>
      </c>
      <c r="H678" s="9" t="s">
        <v>1971</v>
      </c>
      <c r="I678" s="10">
        <v>45581</v>
      </c>
    </row>
    <row r="679" spans="1:9" x14ac:dyDescent="0.15">
      <c r="A679" s="9">
        <v>678</v>
      </c>
      <c r="B679" s="9" t="s">
        <v>9</v>
      </c>
      <c r="C679" s="9">
        <v>1920</v>
      </c>
      <c r="D679" s="10">
        <v>45677</v>
      </c>
      <c r="E679" s="13" t="str">
        <f>+HYPERLINK("http://trademark.i-assist.jp/data/china/image_1920th/81414497.pdf","81414497")</f>
        <v>81414497</v>
      </c>
      <c r="F679" s="9" t="s">
        <v>1972</v>
      </c>
      <c r="G679" s="12" t="s">
        <v>1973</v>
      </c>
      <c r="H679" s="9" t="s">
        <v>1974</v>
      </c>
      <c r="I679" s="10">
        <v>45581</v>
      </c>
    </row>
    <row r="680" spans="1:9" x14ac:dyDescent="0.15">
      <c r="A680" s="9">
        <v>679</v>
      </c>
      <c r="B680" s="9" t="s">
        <v>9</v>
      </c>
      <c r="C680" s="9">
        <v>1920</v>
      </c>
      <c r="D680" s="10">
        <v>45677</v>
      </c>
      <c r="E680" s="13" t="str">
        <f>+HYPERLINK("http://trademark.i-assist.jp/data/china/image_1920th/81415028.pdf","81415028")</f>
        <v>81415028</v>
      </c>
      <c r="F680" s="9" t="s">
        <v>1975</v>
      </c>
      <c r="G680" s="9" t="s">
        <v>1905</v>
      </c>
      <c r="H680" s="9" t="s">
        <v>1976</v>
      </c>
      <c r="I680" s="10">
        <v>45581</v>
      </c>
    </row>
    <row r="681" spans="1:9" x14ac:dyDescent="0.15">
      <c r="A681" s="9">
        <v>680</v>
      </c>
      <c r="B681" s="9" t="s">
        <v>9</v>
      </c>
      <c r="C681" s="9">
        <v>1920</v>
      </c>
      <c r="D681" s="10">
        <v>45677</v>
      </c>
      <c r="E681" s="13" t="str">
        <f>+HYPERLINK("http://trademark.i-assist.jp/data/china/image_1920th/81415073.pdf","81415073")</f>
        <v>81415073</v>
      </c>
      <c r="F681" s="12" t="s">
        <v>1977</v>
      </c>
      <c r="G681" s="9" t="s">
        <v>1905</v>
      </c>
      <c r="H681" s="9" t="s">
        <v>1978</v>
      </c>
      <c r="I681" s="10">
        <v>45581</v>
      </c>
    </row>
    <row r="682" spans="1:9" x14ac:dyDescent="0.15">
      <c r="A682" s="9">
        <v>681</v>
      </c>
      <c r="B682" s="9" t="s">
        <v>9</v>
      </c>
      <c r="C682" s="9">
        <v>1920</v>
      </c>
      <c r="D682" s="10">
        <v>45677</v>
      </c>
      <c r="E682" s="13" t="str">
        <f>+HYPERLINK("http://trademark.i-assist.jp/data/china/image_1920th/81416049.pdf","81416049")</f>
        <v>81416049</v>
      </c>
      <c r="F682" s="9" t="s">
        <v>1979</v>
      </c>
      <c r="G682" s="12" t="s">
        <v>1980</v>
      </c>
      <c r="H682" s="9" t="s">
        <v>1981</v>
      </c>
      <c r="I682" s="10">
        <v>45581</v>
      </c>
    </row>
    <row r="683" spans="1:9" x14ac:dyDescent="0.15">
      <c r="A683" s="9">
        <v>682</v>
      </c>
      <c r="B683" s="9" t="s">
        <v>9</v>
      </c>
      <c r="C683" s="9">
        <v>1920</v>
      </c>
      <c r="D683" s="10">
        <v>45677</v>
      </c>
      <c r="E683" s="13" t="str">
        <f>+HYPERLINK("http://trademark.i-assist.jp/data/china/image_1920th/81416104.pdf","81416104")</f>
        <v>81416104</v>
      </c>
      <c r="F683" s="11" t="s">
        <v>1982</v>
      </c>
      <c r="G683" s="9" t="s">
        <v>1927</v>
      </c>
      <c r="H683" s="9" t="s">
        <v>1983</v>
      </c>
      <c r="I683" s="10">
        <v>45581</v>
      </c>
    </row>
    <row r="684" spans="1:9" x14ac:dyDescent="0.15">
      <c r="A684" s="9">
        <v>683</v>
      </c>
      <c r="B684" s="9" t="s">
        <v>9</v>
      </c>
      <c r="C684" s="9">
        <v>1920</v>
      </c>
      <c r="D684" s="10">
        <v>45677</v>
      </c>
      <c r="E684" s="13" t="str">
        <f>+HYPERLINK("http://trademark.i-assist.jp/data/china/image_1920th/81416246.pdf","81416246")</f>
        <v>81416246</v>
      </c>
      <c r="F684" s="9" t="s">
        <v>1959</v>
      </c>
      <c r="G684" s="12" t="s">
        <v>1960</v>
      </c>
      <c r="H684" s="9" t="s">
        <v>1984</v>
      </c>
      <c r="I684" s="10">
        <v>45581</v>
      </c>
    </row>
    <row r="685" spans="1:9" x14ac:dyDescent="0.15">
      <c r="A685" s="9">
        <v>684</v>
      </c>
      <c r="B685" s="9" t="s">
        <v>9</v>
      </c>
      <c r="C685" s="9">
        <v>1920</v>
      </c>
      <c r="D685" s="10">
        <v>45677</v>
      </c>
      <c r="E685" s="13" t="str">
        <f>+HYPERLINK("http://trademark.i-assist.jp/data/china/image_1920th/81416661.pdf","81416661")</f>
        <v>81416661</v>
      </c>
      <c r="F685" s="9" t="s">
        <v>1985</v>
      </c>
      <c r="G685" s="12" t="s">
        <v>90</v>
      </c>
      <c r="H685" s="9" t="s">
        <v>1986</v>
      </c>
      <c r="I685" s="10">
        <v>45581</v>
      </c>
    </row>
    <row r="686" spans="1:9" x14ac:dyDescent="0.15">
      <c r="A686" s="9">
        <v>685</v>
      </c>
      <c r="B686" s="9" t="s">
        <v>9</v>
      </c>
      <c r="C686" s="9">
        <v>1920</v>
      </c>
      <c r="D686" s="10">
        <v>45677</v>
      </c>
      <c r="E686" s="13" t="str">
        <f>+HYPERLINK("http://trademark.i-assist.jp/data/china/image_1920th/81418300.pdf","81418300")</f>
        <v>81418300</v>
      </c>
      <c r="F686" s="12" t="s">
        <v>1987</v>
      </c>
      <c r="G686" s="9" t="s">
        <v>1988</v>
      </c>
      <c r="H686" s="9" t="s">
        <v>1989</v>
      </c>
      <c r="I686" s="10">
        <v>45581</v>
      </c>
    </row>
    <row r="687" spans="1:9" x14ac:dyDescent="0.15">
      <c r="A687" s="9">
        <v>686</v>
      </c>
      <c r="B687" s="9" t="s">
        <v>9</v>
      </c>
      <c r="C687" s="9">
        <v>1920</v>
      </c>
      <c r="D687" s="10">
        <v>45677</v>
      </c>
      <c r="E687" s="13" t="str">
        <f>+HYPERLINK("http://trademark.i-assist.jp/data/china/image_1920th/81418402.pdf","81418402")</f>
        <v>81418402</v>
      </c>
      <c r="F687" s="12" t="s">
        <v>1990</v>
      </c>
      <c r="G687" s="9" t="s">
        <v>1991</v>
      </c>
      <c r="H687" s="9" t="s">
        <v>1992</v>
      </c>
      <c r="I687" s="10">
        <v>45581</v>
      </c>
    </row>
    <row r="688" spans="1:9" x14ac:dyDescent="0.15">
      <c r="A688" s="9">
        <v>687</v>
      </c>
      <c r="B688" s="9" t="s">
        <v>9</v>
      </c>
      <c r="C688" s="9">
        <v>1920</v>
      </c>
      <c r="D688" s="10">
        <v>45677</v>
      </c>
      <c r="E688" s="13" t="str">
        <f>+HYPERLINK("http://trademark.i-assist.jp/data/china/image_1920th/81418596.pdf","81418596")</f>
        <v>81418596</v>
      </c>
      <c r="F688" s="9" t="s">
        <v>1993</v>
      </c>
      <c r="G688" s="9" t="s">
        <v>1994</v>
      </c>
      <c r="H688" s="9" t="s">
        <v>1995</v>
      </c>
      <c r="I688" s="10">
        <v>45581</v>
      </c>
    </row>
    <row r="689" spans="1:9" x14ac:dyDescent="0.15">
      <c r="A689" s="9">
        <v>688</v>
      </c>
      <c r="B689" s="9" t="s">
        <v>9</v>
      </c>
      <c r="C689" s="9">
        <v>1920</v>
      </c>
      <c r="D689" s="10">
        <v>45677</v>
      </c>
      <c r="E689" s="13" t="str">
        <f>+HYPERLINK("http://trademark.i-assist.jp/data/china/image_1920th/81419318.pdf","81419318")</f>
        <v>81419318</v>
      </c>
      <c r="F689" s="12" t="s">
        <v>1996</v>
      </c>
      <c r="G689" s="9" t="s">
        <v>1997</v>
      </c>
      <c r="H689" s="9" t="s">
        <v>1998</v>
      </c>
      <c r="I689" s="10">
        <v>45581</v>
      </c>
    </row>
    <row r="690" spans="1:9" x14ac:dyDescent="0.15">
      <c r="A690" s="9">
        <v>689</v>
      </c>
      <c r="B690" s="9" t="s">
        <v>9</v>
      </c>
      <c r="C690" s="9">
        <v>1920</v>
      </c>
      <c r="D690" s="10">
        <v>45677</v>
      </c>
      <c r="E690" s="13" t="str">
        <f>+HYPERLINK("http://trademark.i-assist.jp/data/china/image_1920th/81419327.pdf","81419327")</f>
        <v>81419327</v>
      </c>
      <c r="F690" s="9" t="s">
        <v>1999</v>
      </c>
      <c r="G690" s="9" t="s">
        <v>2000</v>
      </c>
      <c r="H690" s="9" t="s">
        <v>2001</v>
      </c>
      <c r="I690" s="10">
        <v>45581</v>
      </c>
    </row>
    <row r="691" spans="1:9" x14ac:dyDescent="0.15">
      <c r="A691" s="9">
        <v>690</v>
      </c>
      <c r="B691" s="9" t="s">
        <v>9</v>
      </c>
      <c r="C691" s="9">
        <v>1920</v>
      </c>
      <c r="D691" s="10">
        <v>45677</v>
      </c>
      <c r="E691" s="13" t="str">
        <f>+HYPERLINK("http://trademark.i-assist.jp/data/china/image_1920th/81420009.pdf","81420009")</f>
        <v>81420009</v>
      </c>
      <c r="F691" s="9" t="s">
        <v>2002</v>
      </c>
      <c r="G691" s="9" t="s">
        <v>2003</v>
      </c>
      <c r="H691" s="9" t="s">
        <v>2004</v>
      </c>
      <c r="I691" s="10">
        <v>45581</v>
      </c>
    </row>
    <row r="692" spans="1:9" x14ac:dyDescent="0.15">
      <c r="A692" s="9">
        <v>691</v>
      </c>
      <c r="B692" s="9" t="s">
        <v>9</v>
      </c>
      <c r="C692" s="9">
        <v>1920</v>
      </c>
      <c r="D692" s="10">
        <v>45677</v>
      </c>
      <c r="E692" s="13" t="str">
        <f>+HYPERLINK("http://trademark.i-assist.jp/data/china/image_1920th/81420022.pdf","81420022")</f>
        <v>81420022</v>
      </c>
      <c r="F692" s="9" t="s">
        <v>2005</v>
      </c>
      <c r="G692" s="9" t="s">
        <v>2003</v>
      </c>
      <c r="H692" s="9" t="s">
        <v>2006</v>
      </c>
      <c r="I692" s="10">
        <v>45581</v>
      </c>
    </row>
    <row r="693" spans="1:9" x14ac:dyDescent="0.15">
      <c r="A693" s="9">
        <v>692</v>
      </c>
      <c r="B693" s="9" t="s">
        <v>9</v>
      </c>
      <c r="C693" s="9">
        <v>1920</v>
      </c>
      <c r="D693" s="10">
        <v>45677</v>
      </c>
      <c r="E693" s="13" t="str">
        <f>+HYPERLINK("http://trademark.i-assist.jp/data/china/image_1920th/81420497.pdf","81420497")</f>
        <v>81420497</v>
      </c>
      <c r="F693" s="9" t="s">
        <v>2007</v>
      </c>
      <c r="G693" s="12" t="s">
        <v>86</v>
      </c>
      <c r="H693" s="9" t="s">
        <v>2008</v>
      </c>
      <c r="I693" s="10">
        <v>45581</v>
      </c>
    </row>
    <row r="694" spans="1:9" x14ac:dyDescent="0.15">
      <c r="A694" s="9">
        <v>693</v>
      </c>
      <c r="B694" s="9" t="s">
        <v>9</v>
      </c>
      <c r="C694" s="9">
        <v>1920</v>
      </c>
      <c r="D694" s="10">
        <v>45677</v>
      </c>
      <c r="E694" s="13" t="str">
        <f>+HYPERLINK("http://trademark.i-assist.jp/data/china/image_1920th/81420636.pdf","81420636")</f>
        <v>81420636</v>
      </c>
      <c r="F694" s="9" t="s">
        <v>2009</v>
      </c>
      <c r="G694" s="9" t="s">
        <v>92</v>
      </c>
      <c r="H694" s="9" t="s">
        <v>2010</v>
      </c>
      <c r="I694" s="10">
        <v>45581</v>
      </c>
    </row>
    <row r="695" spans="1:9" x14ac:dyDescent="0.15">
      <c r="A695" s="9">
        <v>694</v>
      </c>
      <c r="B695" s="9" t="s">
        <v>9</v>
      </c>
      <c r="C695" s="9">
        <v>1920</v>
      </c>
      <c r="D695" s="10">
        <v>45677</v>
      </c>
      <c r="E695" s="13" t="str">
        <f>+HYPERLINK("http://trademark.i-assist.jp/data/china/image_1920th/81421274.pdf","81421274")</f>
        <v>81421274</v>
      </c>
      <c r="F695" s="9" t="s">
        <v>2011</v>
      </c>
      <c r="G695" s="12" t="s">
        <v>90</v>
      </c>
      <c r="H695" s="9" t="s">
        <v>2012</v>
      </c>
      <c r="I695" s="10">
        <v>45581</v>
      </c>
    </row>
    <row r="696" spans="1:9" x14ac:dyDescent="0.15">
      <c r="A696" s="9">
        <v>695</v>
      </c>
      <c r="B696" s="9" t="s">
        <v>9</v>
      </c>
      <c r="C696" s="9">
        <v>1920</v>
      </c>
      <c r="D696" s="10">
        <v>45677</v>
      </c>
      <c r="E696" s="13" t="str">
        <f>+HYPERLINK("http://trademark.i-assist.jp/data/china/image_1920th/81421538.pdf","81421538")</f>
        <v>81421538</v>
      </c>
      <c r="F696" s="9" t="s">
        <v>2013</v>
      </c>
      <c r="G696" s="9" t="s">
        <v>1905</v>
      </c>
      <c r="H696" s="9" t="s">
        <v>2014</v>
      </c>
      <c r="I696" s="10">
        <v>45581</v>
      </c>
    </row>
    <row r="697" spans="1:9" x14ac:dyDescent="0.15">
      <c r="A697" s="9">
        <v>696</v>
      </c>
      <c r="B697" s="9" t="s">
        <v>9</v>
      </c>
      <c r="C697" s="9">
        <v>1920</v>
      </c>
      <c r="D697" s="10">
        <v>45677</v>
      </c>
      <c r="E697" s="13" t="str">
        <f>+HYPERLINK("http://trademark.i-assist.jp/data/china/image_1920th/81421652.pdf","81421652")</f>
        <v>81421652</v>
      </c>
      <c r="F697" s="12" t="s">
        <v>2015</v>
      </c>
      <c r="G697" s="9" t="s">
        <v>2003</v>
      </c>
      <c r="H697" s="12" t="s">
        <v>2016</v>
      </c>
      <c r="I697" s="10">
        <v>45581</v>
      </c>
    </row>
    <row r="698" spans="1:9" x14ac:dyDescent="0.15">
      <c r="A698" s="9">
        <v>697</v>
      </c>
      <c r="B698" s="9" t="s">
        <v>9</v>
      </c>
      <c r="C698" s="9">
        <v>1920</v>
      </c>
      <c r="D698" s="10">
        <v>45677</v>
      </c>
      <c r="E698" s="13" t="str">
        <f>+HYPERLINK("http://trademark.i-assist.jp/data/china/image_1920th/81421665.pdf","81421665")</f>
        <v>81421665</v>
      </c>
      <c r="F698" s="9" t="s">
        <v>2017</v>
      </c>
      <c r="G698" s="9" t="s">
        <v>2003</v>
      </c>
      <c r="H698" s="12" t="s">
        <v>2018</v>
      </c>
      <c r="I698" s="10">
        <v>45581</v>
      </c>
    </row>
    <row r="699" spans="1:9" x14ac:dyDescent="0.15">
      <c r="A699" s="9">
        <v>698</v>
      </c>
      <c r="B699" s="9" t="s">
        <v>9</v>
      </c>
      <c r="C699" s="9">
        <v>1920</v>
      </c>
      <c r="D699" s="10">
        <v>45677</v>
      </c>
      <c r="E699" s="13" t="str">
        <f>+HYPERLINK("http://trademark.i-assist.jp/data/china/image_1920th/81422055.pdf","81422055")</f>
        <v>81422055</v>
      </c>
      <c r="F699" s="12" t="s">
        <v>2019</v>
      </c>
      <c r="G699" s="9" t="s">
        <v>2020</v>
      </c>
      <c r="H699" s="9" t="s">
        <v>2021</v>
      </c>
      <c r="I699" s="10">
        <v>45581</v>
      </c>
    </row>
    <row r="700" spans="1:9" x14ac:dyDescent="0.15">
      <c r="A700" s="9">
        <v>699</v>
      </c>
      <c r="B700" s="9" t="s">
        <v>9</v>
      </c>
      <c r="C700" s="9">
        <v>1920</v>
      </c>
      <c r="D700" s="10">
        <v>45677</v>
      </c>
      <c r="E700" s="13" t="str">
        <f>+HYPERLINK("http://trademark.i-assist.jp/data/china/image_1920th/81422383.pdf","81422383")</f>
        <v>81422383</v>
      </c>
      <c r="F700" s="9" t="s">
        <v>2022</v>
      </c>
      <c r="G700" s="9" t="s">
        <v>2023</v>
      </c>
      <c r="H700" s="9" t="s">
        <v>2024</v>
      </c>
      <c r="I700" s="10">
        <v>45581</v>
      </c>
    </row>
    <row r="701" spans="1:9" x14ac:dyDescent="0.15">
      <c r="A701" s="9">
        <v>700</v>
      </c>
      <c r="B701" s="9" t="s">
        <v>9</v>
      </c>
      <c r="C701" s="9">
        <v>1920</v>
      </c>
      <c r="D701" s="10">
        <v>45677</v>
      </c>
      <c r="E701" s="13" t="str">
        <f>+HYPERLINK("http://trademark.i-assist.jp/data/china/image_1920th/81422434.pdf","81422434")</f>
        <v>81422434</v>
      </c>
      <c r="F701" s="9" t="s">
        <v>2025</v>
      </c>
      <c r="G701" s="12" t="s">
        <v>2026</v>
      </c>
      <c r="H701" s="12" t="s">
        <v>2027</v>
      </c>
      <c r="I701" s="10">
        <v>45581</v>
      </c>
    </row>
    <row r="702" spans="1:9" x14ac:dyDescent="0.15">
      <c r="A702" s="9">
        <v>701</v>
      </c>
      <c r="B702" s="9" t="s">
        <v>9</v>
      </c>
      <c r="C702" s="9">
        <v>1920</v>
      </c>
      <c r="D702" s="10">
        <v>45677</v>
      </c>
      <c r="E702" s="13" t="str">
        <f>+HYPERLINK("http://trademark.i-assist.jp/data/china/image_1920th/81422514.pdf","81422514")</f>
        <v>81422514</v>
      </c>
      <c r="F702" s="9" t="s">
        <v>1875</v>
      </c>
      <c r="G702" s="9" t="s">
        <v>21</v>
      </c>
      <c r="H702" s="9" t="s">
        <v>2028</v>
      </c>
      <c r="I702" s="10">
        <v>45581</v>
      </c>
    </row>
    <row r="703" spans="1:9" x14ac:dyDescent="0.15">
      <c r="A703" s="9">
        <v>702</v>
      </c>
      <c r="B703" s="9" t="s">
        <v>9</v>
      </c>
      <c r="C703" s="9">
        <v>1920</v>
      </c>
      <c r="D703" s="10">
        <v>45677</v>
      </c>
      <c r="E703" s="13" t="str">
        <f>+HYPERLINK("http://trademark.i-assist.jp/data/china/image_1920th/81422626.pdf","81422626")</f>
        <v>81422626</v>
      </c>
      <c r="F703" s="9" t="s">
        <v>2029</v>
      </c>
      <c r="G703" s="9" t="s">
        <v>87</v>
      </c>
      <c r="H703" s="9" t="s">
        <v>2030</v>
      </c>
      <c r="I703" s="10">
        <v>45581</v>
      </c>
    </row>
    <row r="704" spans="1:9" x14ac:dyDescent="0.15">
      <c r="A704" s="9">
        <v>703</v>
      </c>
      <c r="B704" s="9" t="s">
        <v>9</v>
      </c>
      <c r="C704" s="9">
        <v>1920</v>
      </c>
      <c r="D704" s="10">
        <v>45677</v>
      </c>
      <c r="E704" s="13" t="str">
        <f>+HYPERLINK("http://trademark.i-assist.jp/data/china/image_1920th/81422633.pdf","81422633")</f>
        <v>81422633</v>
      </c>
      <c r="F704" s="9" t="s">
        <v>2031</v>
      </c>
      <c r="G704" s="9" t="s">
        <v>1905</v>
      </c>
      <c r="H704" s="9" t="s">
        <v>2032</v>
      </c>
      <c r="I704" s="10">
        <v>45581</v>
      </c>
    </row>
    <row r="705" spans="1:9" x14ac:dyDescent="0.15">
      <c r="A705" s="9">
        <v>704</v>
      </c>
      <c r="B705" s="9" t="s">
        <v>9</v>
      </c>
      <c r="C705" s="9">
        <v>1920</v>
      </c>
      <c r="D705" s="10">
        <v>45677</v>
      </c>
      <c r="E705" s="13" t="str">
        <f>+HYPERLINK("http://trademark.i-assist.jp/data/china/image_1920th/81422922.pdf","81422922")</f>
        <v>81422922</v>
      </c>
      <c r="F705" s="9" t="s">
        <v>2033</v>
      </c>
      <c r="G705" s="12" t="s">
        <v>2034</v>
      </c>
      <c r="H705" s="9" t="s">
        <v>2035</v>
      </c>
      <c r="I705" s="10">
        <v>45581</v>
      </c>
    </row>
    <row r="706" spans="1:9" x14ac:dyDescent="0.15">
      <c r="A706" s="9">
        <v>705</v>
      </c>
      <c r="B706" s="9" t="s">
        <v>9</v>
      </c>
      <c r="C706" s="9">
        <v>1920</v>
      </c>
      <c r="D706" s="10">
        <v>45677</v>
      </c>
      <c r="E706" s="13" t="str">
        <f>+HYPERLINK("http://trademark.i-assist.jp/data/china/image_1920th/81422978.pdf","81422978")</f>
        <v>81422978</v>
      </c>
      <c r="F706" s="12" t="s">
        <v>2036</v>
      </c>
      <c r="G706" s="9" t="s">
        <v>2003</v>
      </c>
      <c r="H706" s="9" t="s">
        <v>2037</v>
      </c>
      <c r="I706" s="10">
        <v>45581</v>
      </c>
    </row>
    <row r="707" spans="1:9" x14ac:dyDescent="0.15">
      <c r="A707" s="9">
        <v>706</v>
      </c>
      <c r="B707" s="9" t="s">
        <v>9</v>
      </c>
      <c r="C707" s="9">
        <v>1920</v>
      </c>
      <c r="D707" s="10">
        <v>45677</v>
      </c>
      <c r="E707" s="13" t="str">
        <f>+HYPERLINK("http://trademark.i-assist.jp/data/china/image_1920th/81423105.pdf","81423105")</f>
        <v>81423105</v>
      </c>
      <c r="F707" s="9" t="s">
        <v>2038</v>
      </c>
      <c r="G707" s="12" t="s">
        <v>1760</v>
      </c>
      <c r="H707" s="9" t="s">
        <v>2039</v>
      </c>
      <c r="I707" s="10">
        <v>45581</v>
      </c>
    </row>
    <row r="708" spans="1:9" x14ac:dyDescent="0.15">
      <c r="A708" s="9">
        <v>707</v>
      </c>
      <c r="B708" s="9" t="s">
        <v>9</v>
      </c>
      <c r="C708" s="9">
        <v>1920</v>
      </c>
      <c r="D708" s="10">
        <v>45677</v>
      </c>
      <c r="E708" s="13" t="str">
        <f>+HYPERLINK("http://trademark.i-assist.jp/data/china/image_1920th/81423149.pdf","81423149")</f>
        <v>81423149</v>
      </c>
      <c r="F708" s="9" t="s">
        <v>2040</v>
      </c>
      <c r="G708" s="12" t="s">
        <v>85</v>
      </c>
      <c r="H708" s="12" t="s">
        <v>2041</v>
      </c>
      <c r="I708" s="10">
        <v>45581</v>
      </c>
    </row>
    <row r="709" spans="1:9" x14ac:dyDescent="0.15">
      <c r="A709" s="9">
        <v>708</v>
      </c>
      <c r="B709" s="9" t="s">
        <v>9</v>
      </c>
      <c r="C709" s="9">
        <v>1920</v>
      </c>
      <c r="D709" s="10">
        <v>45677</v>
      </c>
      <c r="E709" s="13" t="str">
        <f>+HYPERLINK("http://trademark.i-assist.jp/data/china/image_1920th/81423896.pdf","81423896")</f>
        <v>81423896</v>
      </c>
      <c r="F709" s="9" t="s">
        <v>2042</v>
      </c>
      <c r="G709" s="9" t="s">
        <v>96</v>
      </c>
      <c r="H709" s="9" t="s">
        <v>2043</v>
      </c>
      <c r="I709" s="10">
        <v>45581</v>
      </c>
    </row>
    <row r="710" spans="1:9" x14ac:dyDescent="0.15">
      <c r="A710" s="9">
        <v>709</v>
      </c>
      <c r="B710" s="9" t="s">
        <v>9</v>
      </c>
      <c r="C710" s="9">
        <v>1920</v>
      </c>
      <c r="D710" s="10">
        <v>45677</v>
      </c>
      <c r="E710" s="13" t="str">
        <f>+HYPERLINK("http://trademark.i-assist.jp/data/china/image_1920th/81424593.pdf","81424593")</f>
        <v>81424593</v>
      </c>
      <c r="F710" s="9" t="s">
        <v>2044</v>
      </c>
      <c r="G710" s="12" t="s">
        <v>85</v>
      </c>
      <c r="H710" s="9" t="s">
        <v>2045</v>
      </c>
      <c r="I710" s="10">
        <v>45581</v>
      </c>
    </row>
    <row r="711" spans="1:9" x14ac:dyDescent="0.15">
      <c r="A711" s="9">
        <v>710</v>
      </c>
      <c r="B711" s="9" t="s">
        <v>9</v>
      </c>
      <c r="C711" s="9">
        <v>1920</v>
      </c>
      <c r="D711" s="10">
        <v>45677</v>
      </c>
      <c r="E711" s="13" t="str">
        <f>+HYPERLINK("http://trademark.i-assist.jp/data/china/image_1920th/81424753.pdf","81424753")</f>
        <v>81424753</v>
      </c>
      <c r="F711" s="12" t="s">
        <v>2046</v>
      </c>
      <c r="G711" s="9" t="s">
        <v>2047</v>
      </c>
      <c r="H711" s="9" t="s">
        <v>2048</v>
      </c>
      <c r="I711" s="10">
        <v>45581</v>
      </c>
    </row>
    <row r="712" spans="1:9" x14ac:dyDescent="0.15">
      <c r="A712" s="9">
        <v>711</v>
      </c>
      <c r="B712" s="9" t="s">
        <v>9</v>
      </c>
      <c r="C712" s="9">
        <v>1920</v>
      </c>
      <c r="D712" s="10">
        <v>45677</v>
      </c>
      <c r="E712" s="13" t="str">
        <f>+HYPERLINK("http://trademark.i-assist.jp/data/china/image_1920th/81425458.pdf","81425458")</f>
        <v>81425458</v>
      </c>
      <c r="F712" s="12" t="s">
        <v>2049</v>
      </c>
      <c r="G712" s="12" t="s">
        <v>1760</v>
      </c>
      <c r="H712" s="9" t="s">
        <v>2050</v>
      </c>
      <c r="I712" s="10">
        <v>45581</v>
      </c>
    </row>
    <row r="713" spans="1:9" x14ac:dyDescent="0.15">
      <c r="A713" s="9">
        <v>712</v>
      </c>
      <c r="B713" s="9" t="s">
        <v>9</v>
      </c>
      <c r="C713" s="9">
        <v>1920</v>
      </c>
      <c r="D713" s="10">
        <v>45677</v>
      </c>
      <c r="E713" s="13" t="str">
        <f>+HYPERLINK("http://trademark.i-assist.jp/data/china/image_1920th/81425473.pdf","81425473")</f>
        <v>81425473</v>
      </c>
      <c r="F713" s="9" t="s">
        <v>2051</v>
      </c>
      <c r="G713" s="12" t="s">
        <v>1760</v>
      </c>
      <c r="H713" s="9" t="s">
        <v>2052</v>
      </c>
      <c r="I713" s="10">
        <v>45581</v>
      </c>
    </row>
    <row r="714" spans="1:9" x14ac:dyDescent="0.15">
      <c r="A714" s="9">
        <v>713</v>
      </c>
      <c r="B714" s="9" t="s">
        <v>9</v>
      </c>
      <c r="C714" s="9">
        <v>1920</v>
      </c>
      <c r="D714" s="10">
        <v>45677</v>
      </c>
      <c r="E714" s="13" t="str">
        <f>+HYPERLINK("http://trademark.i-assist.jp/data/china/image_1920th/81426876.pdf","81426876")</f>
        <v>81426876</v>
      </c>
      <c r="F714" s="9" t="s">
        <v>2053</v>
      </c>
      <c r="G714" s="12" t="s">
        <v>90</v>
      </c>
      <c r="H714" s="12" t="s">
        <v>2054</v>
      </c>
      <c r="I714" s="10">
        <v>45581</v>
      </c>
    </row>
    <row r="715" spans="1:9" x14ac:dyDescent="0.15">
      <c r="A715" s="9">
        <v>714</v>
      </c>
      <c r="B715" s="9" t="s">
        <v>9</v>
      </c>
      <c r="C715" s="9">
        <v>1920</v>
      </c>
      <c r="D715" s="10">
        <v>45677</v>
      </c>
      <c r="E715" s="13" t="str">
        <f>+HYPERLINK("http://trademark.i-assist.jp/data/china/image_1920th/81427080.pdf","81427080")</f>
        <v>81427080</v>
      </c>
      <c r="F715" s="9" t="s">
        <v>2055</v>
      </c>
      <c r="G715" s="12" t="s">
        <v>1760</v>
      </c>
      <c r="H715" s="9" t="s">
        <v>2056</v>
      </c>
      <c r="I715" s="10">
        <v>45581</v>
      </c>
    </row>
    <row r="716" spans="1:9" x14ac:dyDescent="0.15">
      <c r="A716" s="9">
        <v>715</v>
      </c>
      <c r="B716" s="9" t="s">
        <v>9</v>
      </c>
      <c r="C716" s="9">
        <v>1920</v>
      </c>
      <c r="D716" s="10">
        <v>45677</v>
      </c>
      <c r="E716" s="13" t="str">
        <f>+HYPERLINK("http://trademark.i-assist.jp/data/china/image_1920th/81427301.pdf","81427301")</f>
        <v>81427301</v>
      </c>
      <c r="F716" s="12" t="s">
        <v>2057</v>
      </c>
      <c r="G716" s="12" t="s">
        <v>2058</v>
      </c>
      <c r="H716" s="9" t="s">
        <v>2059</v>
      </c>
      <c r="I716" s="10">
        <v>45581</v>
      </c>
    </row>
    <row r="717" spans="1:9" x14ac:dyDescent="0.15">
      <c r="A717" s="9">
        <v>716</v>
      </c>
      <c r="B717" s="9" t="s">
        <v>9</v>
      </c>
      <c r="C717" s="9">
        <v>1920</v>
      </c>
      <c r="D717" s="10">
        <v>45677</v>
      </c>
      <c r="E717" s="13" t="str">
        <f>+HYPERLINK("http://trademark.i-assist.jp/data/china/image_1920th/81427778.pdf","81427778")</f>
        <v>81427778</v>
      </c>
      <c r="F717" s="9" t="s">
        <v>2060</v>
      </c>
      <c r="G717" s="12" t="s">
        <v>2061</v>
      </c>
      <c r="H717" s="9" t="s">
        <v>2062</v>
      </c>
      <c r="I717" s="10">
        <v>45581</v>
      </c>
    </row>
    <row r="718" spans="1:9" x14ac:dyDescent="0.15">
      <c r="A718" s="9">
        <v>717</v>
      </c>
      <c r="B718" s="9" t="s">
        <v>9</v>
      </c>
      <c r="C718" s="9">
        <v>1920</v>
      </c>
      <c r="D718" s="10">
        <v>45677</v>
      </c>
      <c r="E718" s="13" t="str">
        <f>+HYPERLINK("http://trademark.i-assist.jp/data/china/image_1920th/81427985.pdf","81427985")</f>
        <v>81427985</v>
      </c>
      <c r="F718" s="12" t="s">
        <v>2063</v>
      </c>
      <c r="G718" s="9" t="s">
        <v>2064</v>
      </c>
      <c r="H718" s="9" t="s">
        <v>2065</v>
      </c>
      <c r="I718" s="10">
        <v>45581</v>
      </c>
    </row>
    <row r="719" spans="1:9" x14ac:dyDescent="0.15">
      <c r="A719" s="9">
        <v>718</v>
      </c>
      <c r="B719" s="9" t="s">
        <v>9</v>
      </c>
      <c r="C719" s="9">
        <v>1920</v>
      </c>
      <c r="D719" s="10">
        <v>45677</v>
      </c>
      <c r="E719" s="13" t="str">
        <f>+HYPERLINK("http://trademark.i-assist.jp/data/china/image_1920th/81428199.pdf","81428199")</f>
        <v>81428199</v>
      </c>
      <c r="F719" s="12" t="s">
        <v>12</v>
      </c>
      <c r="G719" s="9" t="s">
        <v>2066</v>
      </c>
      <c r="H719" s="9" t="s">
        <v>2067</v>
      </c>
      <c r="I719" s="10">
        <v>45581</v>
      </c>
    </row>
    <row r="720" spans="1:9" x14ac:dyDescent="0.15">
      <c r="A720" s="9">
        <v>719</v>
      </c>
      <c r="B720" s="9" t="s">
        <v>9</v>
      </c>
      <c r="C720" s="9">
        <v>1920</v>
      </c>
      <c r="D720" s="10">
        <v>45677</v>
      </c>
      <c r="E720" s="13" t="str">
        <f>+HYPERLINK("http://trademark.i-assist.jp/data/china/image_1920th/81428246.pdf","81428246")</f>
        <v>81428246</v>
      </c>
      <c r="F720" s="12" t="s">
        <v>2068</v>
      </c>
      <c r="G720" s="9" t="s">
        <v>2003</v>
      </c>
      <c r="H720" s="12" t="s">
        <v>2069</v>
      </c>
      <c r="I720" s="10">
        <v>45581</v>
      </c>
    </row>
    <row r="721" spans="1:9" x14ac:dyDescent="0.15">
      <c r="A721" s="9">
        <v>720</v>
      </c>
      <c r="B721" s="9" t="s">
        <v>9</v>
      </c>
      <c r="C721" s="9">
        <v>1920</v>
      </c>
      <c r="D721" s="10">
        <v>45677</v>
      </c>
      <c r="E721" s="13" t="str">
        <f>+HYPERLINK("http://trademark.i-assist.jp/data/china/image_1920th/81428286.pdf","81428286")</f>
        <v>81428286</v>
      </c>
      <c r="F721" s="9" t="s">
        <v>2070</v>
      </c>
      <c r="G721" s="9" t="s">
        <v>2071</v>
      </c>
      <c r="H721" s="9" t="s">
        <v>2072</v>
      </c>
      <c r="I721" s="10">
        <v>45581</v>
      </c>
    </row>
    <row r="722" spans="1:9" x14ac:dyDescent="0.15">
      <c r="A722" s="9">
        <v>721</v>
      </c>
      <c r="B722" s="9" t="s">
        <v>9</v>
      </c>
      <c r="C722" s="9">
        <v>1920</v>
      </c>
      <c r="D722" s="10">
        <v>45677</v>
      </c>
      <c r="E722" s="13" t="str">
        <f>+HYPERLINK("http://trademark.i-assist.jp/data/china/image_1920th/81428316.pdf","81428316")</f>
        <v>81428316</v>
      </c>
      <c r="F722" s="9" t="s">
        <v>2073</v>
      </c>
      <c r="G722" s="9" t="s">
        <v>2074</v>
      </c>
      <c r="H722" s="9" t="s">
        <v>2075</v>
      </c>
      <c r="I722" s="10">
        <v>45581</v>
      </c>
    </row>
    <row r="723" spans="1:9" x14ac:dyDescent="0.15">
      <c r="A723" s="9">
        <v>722</v>
      </c>
      <c r="B723" s="9" t="s">
        <v>9</v>
      </c>
      <c r="C723" s="9">
        <v>1920</v>
      </c>
      <c r="D723" s="10">
        <v>45677</v>
      </c>
      <c r="E723" s="13" t="str">
        <f>+HYPERLINK("http://trademark.i-assist.jp/data/china/image_1920th/81429885.pdf","81429885")</f>
        <v>81429885</v>
      </c>
      <c r="F723" s="9" t="s">
        <v>2076</v>
      </c>
      <c r="G723" s="9" t="s">
        <v>2077</v>
      </c>
      <c r="H723" s="9" t="s">
        <v>2078</v>
      </c>
      <c r="I723" s="10">
        <v>45582</v>
      </c>
    </row>
    <row r="724" spans="1:9" x14ac:dyDescent="0.15">
      <c r="A724" s="9">
        <v>723</v>
      </c>
      <c r="B724" s="9" t="s">
        <v>9</v>
      </c>
      <c r="C724" s="9">
        <v>1920</v>
      </c>
      <c r="D724" s="10">
        <v>45677</v>
      </c>
      <c r="E724" s="13" t="str">
        <f>+HYPERLINK("http://trademark.i-assist.jp/data/china/image_1920th/81430246.pdf","81430246")</f>
        <v>81430246</v>
      </c>
      <c r="F724" s="9" t="s">
        <v>2079</v>
      </c>
      <c r="G724" s="9" t="s">
        <v>2080</v>
      </c>
      <c r="H724" s="9" t="s">
        <v>2081</v>
      </c>
      <c r="I724" s="10">
        <v>45583</v>
      </c>
    </row>
    <row r="725" spans="1:9" x14ac:dyDescent="0.15">
      <c r="A725" s="9">
        <v>724</v>
      </c>
      <c r="B725" s="9" t="s">
        <v>9</v>
      </c>
      <c r="C725" s="9">
        <v>1920</v>
      </c>
      <c r="D725" s="10">
        <v>45677</v>
      </c>
      <c r="E725" s="13" t="str">
        <f>+HYPERLINK("http://trademark.i-assist.jp/data/china/image_1920th/81431249.pdf","81431249")</f>
        <v>81431249</v>
      </c>
      <c r="F725" s="9" t="s">
        <v>2082</v>
      </c>
      <c r="G725" s="12" t="s">
        <v>60</v>
      </c>
      <c r="H725" s="9" t="s">
        <v>2083</v>
      </c>
      <c r="I725" s="10">
        <v>45582</v>
      </c>
    </row>
    <row r="726" spans="1:9" x14ac:dyDescent="0.15">
      <c r="A726" s="9">
        <v>725</v>
      </c>
      <c r="B726" s="9" t="s">
        <v>9</v>
      </c>
      <c r="C726" s="9">
        <v>1920</v>
      </c>
      <c r="D726" s="10">
        <v>45677</v>
      </c>
      <c r="E726" s="13" t="str">
        <f>+HYPERLINK("http://trademark.i-assist.jp/data/china/image_1920th/81431324.pdf","81431324")</f>
        <v>81431324</v>
      </c>
      <c r="F726" s="12" t="s">
        <v>12</v>
      </c>
      <c r="G726" s="9" t="s">
        <v>2084</v>
      </c>
      <c r="H726" s="9" t="s">
        <v>2085</v>
      </c>
      <c r="I726" s="10">
        <v>45582</v>
      </c>
    </row>
    <row r="727" spans="1:9" x14ac:dyDescent="0.15">
      <c r="A727" s="9">
        <v>726</v>
      </c>
      <c r="B727" s="9" t="s">
        <v>9</v>
      </c>
      <c r="C727" s="9">
        <v>1920</v>
      </c>
      <c r="D727" s="10">
        <v>45677</v>
      </c>
      <c r="E727" s="13" t="str">
        <f>+HYPERLINK("http://trademark.i-assist.jp/data/china/image_1920th/81431785.pdf","81431785")</f>
        <v>81431785</v>
      </c>
      <c r="F727" s="9" t="s">
        <v>2086</v>
      </c>
      <c r="G727" s="9" t="s">
        <v>2087</v>
      </c>
      <c r="H727" s="9" t="s">
        <v>2088</v>
      </c>
      <c r="I727" s="10">
        <v>45583</v>
      </c>
    </row>
    <row r="728" spans="1:9" x14ac:dyDescent="0.15">
      <c r="A728" s="9">
        <v>727</v>
      </c>
      <c r="B728" s="9" t="s">
        <v>9</v>
      </c>
      <c r="C728" s="9">
        <v>1920</v>
      </c>
      <c r="D728" s="10">
        <v>45677</v>
      </c>
      <c r="E728" s="13" t="str">
        <f>+HYPERLINK("http://trademark.i-assist.jp/data/china/image_1920th/81433281.pdf","81433281")</f>
        <v>81433281</v>
      </c>
      <c r="F728" s="9" t="s">
        <v>2089</v>
      </c>
      <c r="G728" s="9" t="s">
        <v>2090</v>
      </c>
      <c r="H728" s="9" t="s">
        <v>2091</v>
      </c>
      <c r="I728" s="10">
        <v>45582</v>
      </c>
    </row>
    <row r="729" spans="1:9" x14ac:dyDescent="0.15">
      <c r="A729" s="9">
        <v>728</v>
      </c>
      <c r="B729" s="9" t="s">
        <v>9</v>
      </c>
      <c r="C729" s="9">
        <v>1920</v>
      </c>
      <c r="D729" s="10">
        <v>45677</v>
      </c>
      <c r="E729" s="13" t="str">
        <f>+HYPERLINK("http://trademark.i-assist.jp/data/china/image_1920th/81434807.pdf","81434807")</f>
        <v>81434807</v>
      </c>
      <c r="F729" s="9" t="s">
        <v>2092</v>
      </c>
      <c r="G729" s="9" t="s">
        <v>2093</v>
      </c>
      <c r="H729" s="9" t="s">
        <v>2094</v>
      </c>
      <c r="I729" s="10">
        <v>45582</v>
      </c>
    </row>
    <row r="730" spans="1:9" x14ac:dyDescent="0.15">
      <c r="A730" s="9">
        <v>729</v>
      </c>
      <c r="B730" s="9" t="s">
        <v>9</v>
      </c>
      <c r="C730" s="9">
        <v>1920</v>
      </c>
      <c r="D730" s="10">
        <v>45677</v>
      </c>
      <c r="E730" s="13" t="str">
        <f>+HYPERLINK("http://trademark.i-assist.jp/data/china/image_1920th/81435225.pdf","81435225")</f>
        <v>81435225</v>
      </c>
      <c r="F730" s="9" t="s">
        <v>2095</v>
      </c>
      <c r="G730" s="9" t="s">
        <v>2096</v>
      </c>
      <c r="H730" s="9" t="s">
        <v>2097</v>
      </c>
      <c r="I730" s="10">
        <v>45582</v>
      </c>
    </row>
    <row r="731" spans="1:9" x14ac:dyDescent="0.15">
      <c r="A731" s="9">
        <v>730</v>
      </c>
      <c r="B731" s="9" t="s">
        <v>9</v>
      </c>
      <c r="C731" s="9">
        <v>1920</v>
      </c>
      <c r="D731" s="10">
        <v>45677</v>
      </c>
      <c r="E731" s="13" t="str">
        <f>+HYPERLINK("http://trademark.i-assist.jp/data/china/image_1920th/81435478.pdf","81435478")</f>
        <v>81435478</v>
      </c>
      <c r="F731" s="9" t="s">
        <v>2098</v>
      </c>
      <c r="G731" s="9" t="s">
        <v>2099</v>
      </c>
      <c r="H731" s="9" t="s">
        <v>2100</v>
      </c>
      <c r="I731" s="10">
        <v>45582</v>
      </c>
    </row>
    <row r="732" spans="1:9" x14ac:dyDescent="0.15">
      <c r="A732" s="9">
        <v>731</v>
      </c>
      <c r="B732" s="9" t="s">
        <v>9</v>
      </c>
      <c r="C732" s="9">
        <v>1920</v>
      </c>
      <c r="D732" s="10">
        <v>45677</v>
      </c>
      <c r="E732" s="13" t="str">
        <f>+HYPERLINK("http://trademark.i-assist.jp/data/china/image_1920th/81435864.pdf","81435864")</f>
        <v>81435864</v>
      </c>
      <c r="F732" s="9" t="s">
        <v>2101</v>
      </c>
      <c r="G732" s="9" t="s">
        <v>2102</v>
      </c>
      <c r="H732" s="9" t="s">
        <v>2103</v>
      </c>
      <c r="I732" s="10">
        <v>45582</v>
      </c>
    </row>
    <row r="733" spans="1:9" x14ac:dyDescent="0.15">
      <c r="A733" s="9">
        <v>732</v>
      </c>
      <c r="B733" s="9" t="s">
        <v>9</v>
      </c>
      <c r="C733" s="9">
        <v>1920</v>
      </c>
      <c r="D733" s="10">
        <v>45677</v>
      </c>
      <c r="E733" s="13" t="str">
        <f>+HYPERLINK("http://trademark.i-assist.jp/data/china/image_1920th/81435907.pdf","81435907")</f>
        <v>81435907</v>
      </c>
      <c r="F733" s="9" t="s">
        <v>2104</v>
      </c>
      <c r="G733" s="9" t="s">
        <v>2105</v>
      </c>
      <c r="H733" s="9" t="s">
        <v>2106</v>
      </c>
      <c r="I733" s="10">
        <v>45582</v>
      </c>
    </row>
    <row r="734" spans="1:9" x14ac:dyDescent="0.15">
      <c r="A734" s="9">
        <v>733</v>
      </c>
      <c r="B734" s="9" t="s">
        <v>9</v>
      </c>
      <c r="C734" s="9">
        <v>1920</v>
      </c>
      <c r="D734" s="10">
        <v>45677</v>
      </c>
      <c r="E734" s="13" t="str">
        <f>+HYPERLINK("http://trademark.i-assist.jp/data/china/image_1920th/81436075.pdf","81436075")</f>
        <v>81436075</v>
      </c>
      <c r="F734" s="9" t="s">
        <v>2107</v>
      </c>
      <c r="G734" s="9" t="s">
        <v>2108</v>
      </c>
      <c r="H734" s="9" t="s">
        <v>2109</v>
      </c>
      <c r="I734" s="10">
        <v>45582</v>
      </c>
    </row>
    <row r="735" spans="1:9" x14ac:dyDescent="0.15">
      <c r="A735" s="9">
        <v>734</v>
      </c>
      <c r="B735" s="9" t="s">
        <v>9</v>
      </c>
      <c r="C735" s="9">
        <v>1920</v>
      </c>
      <c r="D735" s="10">
        <v>45677</v>
      </c>
      <c r="E735" s="13" t="str">
        <f>+HYPERLINK("http://trademark.i-assist.jp/data/china/image_1920th/81436522.pdf","81436522")</f>
        <v>81436522</v>
      </c>
      <c r="F735" s="9" t="s">
        <v>2110</v>
      </c>
      <c r="G735" s="9" t="s">
        <v>2111</v>
      </c>
      <c r="H735" s="9" t="s">
        <v>2112</v>
      </c>
      <c r="I735" s="10">
        <v>45582</v>
      </c>
    </row>
    <row r="736" spans="1:9" x14ac:dyDescent="0.15">
      <c r="A736" s="9">
        <v>735</v>
      </c>
      <c r="B736" s="9" t="s">
        <v>9</v>
      </c>
      <c r="C736" s="9">
        <v>1920</v>
      </c>
      <c r="D736" s="10">
        <v>45677</v>
      </c>
      <c r="E736" s="13" t="str">
        <f>+HYPERLINK("http://trademark.i-assist.jp/data/china/image_1920th/81437732.pdf","81437732")</f>
        <v>81437732</v>
      </c>
      <c r="F736" s="9" t="s">
        <v>2113</v>
      </c>
      <c r="G736" s="9" t="s">
        <v>2114</v>
      </c>
      <c r="H736" s="9" t="s">
        <v>2115</v>
      </c>
      <c r="I736" s="10">
        <v>45582</v>
      </c>
    </row>
    <row r="737" spans="1:9" x14ac:dyDescent="0.15">
      <c r="A737" s="9">
        <v>736</v>
      </c>
      <c r="B737" s="9" t="s">
        <v>9</v>
      </c>
      <c r="C737" s="9">
        <v>1920</v>
      </c>
      <c r="D737" s="10">
        <v>45677</v>
      </c>
      <c r="E737" s="13" t="str">
        <f>+HYPERLINK("http://trademark.i-assist.jp/data/china/image_1920th/81438822.pdf","81438822")</f>
        <v>81438822</v>
      </c>
      <c r="F737" s="12" t="s">
        <v>2116</v>
      </c>
      <c r="G737" s="12" t="s">
        <v>2117</v>
      </c>
      <c r="H737" s="9" t="s">
        <v>2118</v>
      </c>
      <c r="I737" s="10">
        <v>45582</v>
      </c>
    </row>
    <row r="738" spans="1:9" x14ac:dyDescent="0.15">
      <c r="A738" s="9">
        <v>737</v>
      </c>
      <c r="B738" s="9" t="s">
        <v>9</v>
      </c>
      <c r="C738" s="9">
        <v>1920</v>
      </c>
      <c r="D738" s="10">
        <v>45677</v>
      </c>
      <c r="E738" s="13" t="str">
        <f>+HYPERLINK("http://trademark.i-assist.jp/data/china/image_1920th/81439265.pdf","81439265")</f>
        <v>81439265</v>
      </c>
      <c r="F738" s="9" t="s">
        <v>2119</v>
      </c>
      <c r="G738" s="12" t="s">
        <v>2120</v>
      </c>
      <c r="H738" s="9" t="s">
        <v>2121</v>
      </c>
      <c r="I738" s="10">
        <v>45582</v>
      </c>
    </row>
    <row r="739" spans="1:9" x14ac:dyDescent="0.15">
      <c r="A739" s="9">
        <v>738</v>
      </c>
      <c r="B739" s="9" t="s">
        <v>9</v>
      </c>
      <c r="C739" s="9">
        <v>1920</v>
      </c>
      <c r="D739" s="10">
        <v>45677</v>
      </c>
      <c r="E739" s="13" t="str">
        <f>+HYPERLINK("http://trademark.i-assist.jp/data/china/image_1920th/81439663.pdf","81439663")</f>
        <v>81439663</v>
      </c>
      <c r="F739" s="12" t="s">
        <v>2122</v>
      </c>
      <c r="G739" s="9" t="s">
        <v>2123</v>
      </c>
      <c r="H739" s="12" t="s">
        <v>2124</v>
      </c>
      <c r="I739" s="10">
        <v>45582</v>
      </c>
    </row>
    <row r="740" spans="1:9" x14ac:dyDescent="0.15">
      <c r="A740" s="9">
        <v>739</v>
      </c>
      <c r="B740" s="9" t="s">
        <v>9</v>
      </c>
      <c r="C740" s="9">
        <v>1920</v>
      </c>
      <c r="D740" s="10">
        <v>45677</v>
      </c>
      <c r="E740" s="13" t="str">
        <f>+HYPERLINK("http://trademark.i-assist.jp/data/china/image_1920th/81440103.pdf","81440103")</f>
        <v>81440103</v>
      </c>
      <c r="F740" s="9" t="s">
        <v>2125</v>
      </c>
      <c r="G740" s="9" t="s">
        <v>2126</v>
      </c>
      <c r="H740" s="9" t="s">
        <v>2127</v>
      </c>
      <c r="I740" s="10">
        <v>45582</v>
      </c>
    </row>
    <row r="741" spans="1:9" x14ac:dyDescent="0.15">
      <c r="A741" s="9">
        <v>740</v>
      </c>
      <c r="B741" s="9" t="s">
        <v>9</v>
      </c>
      <c r="C741" s="9">
        <v>1920</v>
      </c>
      <c r="D741" s="10">
        <v>45677</v>
      </c>
      <c r="E741" s="13" t="str">
        <f>+HYPERLINK("http://trademark.i-assist.jp/data/china/image_1920th/81441399.pdf","81441399")</f>
        <v>81441399</v>
      </c>
      <c r="F741" s="9" t="s">
        <v>2128</v>
      </c>
      <c r="G741" s="9" t="s">
        <v>2129</v>
      </c>
      <c r="H741" s="9" t="s">
        <v>2130</v>
      </c>
      <c r="I741" s="10">
        <v>45582</v>
      </c>
    </row>
    <row r="742" spans="1:9" x14ac:dyDescent="0.15">
      <c r="A742" s="9">
        <v>741</v>
      </c>
      <c r="B742" s="9" t="s">
        <v>9</v>
      </c>
      <c r="C742" s="9">
        <v>1920</v>
      </c>
      <c r="D742" s="10">
        <v>45677</v>
      </c>
      <c r="E742" s="13" t="str">
        <f>+HYPERLINK("http://trademark.i-assist.jp/data/china/image_1920th/81442710.pdf","81442710")</f>
        <v>81442710</v>
      </c>
      <c r="F742" s="9" t="s">
        <v>2131</v>
      </c>
      <c r="G742" s="9" t="s">
        <v>2132</v>
      </c>
      <c r="H742" s="9" t="s">
        <v>2133</v>
      </c>
      <c r="I742" s="10">
        <v>45582</v>
      </c>
    </row>
    <row r="743" spans="1:9" x14ac:dyDescent="0.15">
      <c r="A743" s="9">
        <v>742</v>
      </c>
      <c r="B743" s="9" t="s">
        <v>9</v>
      </c>
      <c r="C743" s="9">
        <v>1920</v>
      </c>
      <c r="D743" s="10">
        <v>45677</v>
      </c>
      <c r="E743" s="13" t="str">
        <f>+HYPERLINK("http://trademark.i-assist.jp/data/china/image_1920th/81443380.pdf","81443380")</f>
        <v>81443380</v>
      </c>
      <c r="F743" s="9" t="s">
        <v>2134</v>
      </c>
      <c r="G743" s="9" t="s">
        <v>2135</v>
      </c>
      <c r="H743" s="9" t="s">
        <v>2136</v>
      </c>
      <c r="I743" s="10">
        <v>45582</v>
      </c>
    </row>
    <row r="744" spans="1:9" x14ac:dyDescent="0.15">
      <c r="A744" s="9">
        <v>743</v>
      </c>
      <c r="B744" s="9" t="s">
        <v>9</v>
      </c>
      <c r="C744" s="9">
        <v>1920</v>
      </c>
      <c r="D744" s="10">
        <v>45677</v>
      </c>
      <c r="E744" s="13" t="str">
        <f>+HYPERLINK("http://trademark.i-assist.jp/data/china/image_1920th/81444973.pdf","81444973")</f>
        <v>81444973</v>
      </c>
      <c r="F744" s="9" t="s">
        <v>2137</v>
      </c>
      <c r="G744" s="12" t="s">
        <v>2138</v>
      </c>
      <c r="H744" s="9" t="s">
        <v>2139</v>
      </c>
      <c r="I744" s="10">
        <v>45582</v>
      </c>
    </row>
    <row r="745" spans="1:9" x14ac:dyDescent="0.15">
      <c r="A745" s="9">
        <v>744</v>
      </c>
      <c r="B745" s="9" t="s">
        <v>9</v>
      </c>
      <c r="C745" s="9">
        <v>1920</v>
      </c>
      <c r="D745" s="10">
        <v>45677</v>
      </c>
      <c r="E745" s="13" t="str">
        <f>+HYPERLINK("http://trademark.i-assist.jp/data/china/image_1920th/81445771.pdf","81445771")</f>
        <v>81445771</v>
      </c>
      <c r="F745" s="9" t="s">
        <v>2140</v>
      </c>
      <c r="G745" s="9" t="s">
        <v>2141</v>
      </c>
      <c r="H745" s="9" t="s">
        <v>2142</v>
      </c>
      <c r="I745" s="10">
        <v>45582</v>
      </c>
    </row>
    <row r="746" spans="1:9" x14ac:dyDescent="0.15">
      <c r="A746" s="9">
        <v>745</v>
      </c>
      <c r="B746" s="9" t="s">
        <v>9</v>
      </c>
      <c r="C746" s="9">
        <v>1920</v>
      </c>
      <c r="D746" s="10">
        <v>45677</v>
      </c>
      <c r="E746" s="13" t="str">
        <f>+HYPERLINK("http://trademark.i-assist.jp/data/china/image_1920th/81446230.pdf","81446230")</f>
        <v>81446230</v>
      </c>
      <c r="F746" s="9" t="s">
        <v>2143</v>
      </c>
      <c r="G746" s="12" t="s">
        <v>102</v>
      </c>
      <c r="H746" s="9" t="s">
        <v>2144</v>
      </c>
      <c r="I746" s="10">
        <v>45582</v>
      </c>
    </row>
    <row r="747" spans="1:9" x14ac:dyDescent="0.15">
      <c r="A747" s="9">
        <v>746</v>
      </c>
      <c r="B747" s="9" t="s">
        <v>9</v>
      </c>
      <c r="C747" s="9">
        <v>1920</v>
      </c>
      <c r="D747" s="10">
        <v>45677</v>
      </c>
      <c r="E747" s="13" t="str">
        <f>+HYPERLINK("http://trademark.i-assist.jp/data/china/image_1920th/81446375.pdf","81446375")</f>
        <v>81446375</v>
      </c>
      <c r="F747" s="9" t="s">
        <v>2145</v>
      </c>
      <c r="G747" s="9" t="s">
        <v>2146</v>
      </c>
      <c r="H747" s="9" t="s">
        <v>2147</v>
      </c>
      <c r="I747" s="10">
        <v>45582</v>
      </c>
    </row>
    <row r="748" spans="1:9" x14ac:dyDescent="0.15">
      <c r="A748" s="9">
        <v>747</v>
      </c>
      <c r="B748" s="9" t="s">
        <v>9</v>
      </c>
      <c r="C748" s="9">
        <v>1920</v>
      </c>
      <c r="D748" s="10">
        <v>45677</v>
      </c>
      <c r="E748" s="13" t="str">
        <f>+HYPERLINK("http://trademark.i-assist.jp/data/china/image_1920th/81446440.pdf","81446440")</f>
        <v>81446440</v>
      </c>
      <c r="F748" s="9" t="s">
        <v>2148</v>
      </c>
      <c r="G748" s="9" t="s">
        <v>2149</v>
      </c>
      <c r="H748" s="9" t="s">
        <v>2150</v>
      </c>
      <c r="I748" s="10">
        <v>45582</v>
      </c>
    </row>
    <row r="749" spans="1:9" x14ac:dyDescent="0.15">
      <c r="A749" s="9">
        <v>748</v>
      </c>
      <c r="B749" s="9" t="s">
        <v>9</v>
      </c>
      <c r="C749" s="9">
        <v>1920</v>
      </c>
      <c r="D749" s="10">
        <v>45677</v>
      </c>
      <c r="E749" s="13" t="str">
        <f>+HYPERLINK("http://trademark.i-assist.jp/data/china/image_1920th/81446597.pdf","81446597")</f>
        <v>81446597</v>
      </c>
      <c r="F749" s="9" t="s">
        <v>2151</v>
      </c>
      <c r="G749" s="9" t="s">
        <v>2152</v>
      </c>
      <c r="H749" s="9" t="s">
        <v>2153</v>
      </c>
      <c r="I749" s="10">
        <v>45582</v>
      </c>
    </row>
    <row r="750" spans="1:9" x14ac:dyDescent="0.15">
      <c r="A750" s="9">
        <v>749</v>
      </c>
      <c r="B750" s="9" t="s">
        <v>9</v>
      </c>
      <c r="C750" s="9">
        <v>1920</v>
      </c>
      <c r="D750" s="10">
        <v>45677</v>
      </c>
      <c r="E750" s="13" t="str">
        <f>+HYPERLINK("http://trademark.i-assist.jp/data/china/image_1920th/81446643.pdf","81446643")</f>
        <v>81446643</v>
      </c>
      <c r="F750" s="12" t="s">
        <v>12</v>
      </c>
      <c r="G750" s="9" t="s">
        <v>2154</v>
      </c>
      <c r="H750" s="9" t="s">
        <v>2155</v>
      </c>
      <c r="I750" s="10">
        <v>45582</v>
      </c>
    </row>
    <row r="751" spans="1:9" x14ac:dyDescent="0.15">
      <c r="A751" s="9">
        <v>750</v>
      </c>
      <c r="B751" s="9" t="s">
        <v>9</v>
      </c>
      <c r="C751" s="9">
        <v>1920</v>
      </c>
      <c r="D751" s="10">
        <v>45677</v>
      </c>
      <c r="E751" s="13" t="str">
        <f>+HYPERLINK("http://trademark.i-assist.jp/data/china/image_1920th/81447408.pdf","81447408")</f>
        <v>81447408</v>
      </c>
      <c r="F751" s="9" t="s">
        <v>2156</v>
      </c>
      <c r="G751" s="12" t="s">
        <v>2157</v>
      </c>
      <c r="H751" s="12" t="s">
        <v>2158</v>
      </c>
      <c r="I751" s="10">
        <v>45582</v>
      </c>
    </row>
    <row r="752" spans="1:9" x14ac:dyDescent="0.15">
      <c r="A752" s="9">
        <v>751</v>
      </c>
      <c r="B752" s="9" t="s">
        <v>9</v>
      </c>
      <c r="C752" s="9">
        <v>1920</v>
      </c>
      <c r="D752" s="10">
        <v>45677</v>
      </c>
      <c r="E752" s="13" t="str">
        <f>+HYPERLINK("http://trademark.i-assist.jp/data/china/image_1920th/81448368.pdf","81448368")</f>
        <v>81448368</v>
      </c>
      <c r="F752" s="9" t="s">
        <v>2159</v>
      </c>
      <c r="G752" s="9" t="s">
        <v>2160</v>
      </c>
      <c r="H752" s="9" t="s">
        <v>2161</v>
      </c>
      <c r="I752" s="10">
        <v>45583</v>
      </c>
    </row>
    <row r="753" spans="1:9" x14ac:dyDescent="0.15">
      <c r="A753" s="9">
        <v>752</v>
      </c>
      <c r="B753" s="9" t="s">
        <v>9</v>
      </c>
      <c r="C753" s="9">
        <v>1920</v>
      </c>
      <c r="D753" s="10">
        <v>45677</v>
      </c>
      <c r="E753" s="13" t="str">
        <f>+HYPERLINK("http://trademark.i-assist.jp/data/china/image_1920th/81448402.pdf","81448402")</f>
        <v>81448402</v>
      </c>
      <c r="F753" s="9" t="s">
        <v>2162</v>
      </c>
      <c r="G753" s="9" t="s">
        <v>2163</v>
      </c>
      <c r="H753" s="9" t="s">
        <v>2164</v>
      </c>
      <c r="I753" s="10">
        <v>45583</v>
      </c>
    </row>
    <row r="754" spans="1:9" x14ac:dyDescent="0.15">
      <c r="A754" s="9">
        <v>753</v>
      </c>
      <c r="B754" s="9" t="s">
        <v>9</v>
      </c>
      <c r="C754" s="9">
        <v>1920</v>
      </c>
      <c r="D754" s="10">
        <v>45677</v>
      </c>
      <c r="E754" s="13" t="str">
        <f>+HYPERLINK("http://trademark.i-assist.jp/data/china/image_1920th/81448916.pdf","81448916")</f>
        <v>81448916</v>
      </c>
      <c r="F754" s="9" t="s">
        <v>2165</v>
      </c>
      <c r="G754" s="9" t="s">
        <v>2166</v>
      </c>
      <c r="H754" s="9" t="s">
        <v>2167</v>
      </c>
      <c r="I754" s="10">
        <v>45582</v>
      </c>
    </row>
    <row r="755" spans="1:9" x14ac:dyDescent="0.15">
      <c r="A755" s="9">
        <v>754</v>
      </c>
      <c r="B755" s="9" t="s">
        <v>9</v>
      </c>
      <c r="C755" s="9">
        <v>1920</v>
      </c>
      <c r="D755" s="10">
        <v>45677</v>
      </c>
      <c r="E755" s="13" t="str">
        <f>+HYPERLINK("http://trademark.i-assist.jp/data/china/image_1920th/81448980.pdf","81448980")</f>
        <v>81448980</v>
      </c>
      <c r="F755" s="9" t="s">
        <v>2168</v>
      </c>
      <c r="G755" s="9" t="s">
        <v>2169</v>
      </c>
      <c r="H755" s="9" t="s">
        <v>2170</v>
      </c>
      <c r="I755" s="10">
        <v>45582</v>
      </c>
    </row>
    <row r="756" spans="1:9" x14ac:dyDescent="0.15">
      <c r="A756" s="9">
        <v>755</v>
      </c>
      <c r="B756" s="9" t="s">
        <v>9</v>
      </c>
      <c r="C756" s="9">
        <v>1920</v>
      </c>
      <c r="D756" s="10">
        <v>45677</v>
      </c>
      <c r="E756" s="13" t="str">
        <f>+HYPERLINK("http://trademark.i-assist.jp/data/china/image_1920th/81449335.pdf","81449335")</f>
        <v>81449335</v>
      </c>
      <c r="F756" s="9" t="s">
        <v>2171</v>
      </c>
      <c r="G756" s="9" t="s">
        <v>2172</v>
      </c>
      <c r="H756" s="9" t="s">
        <v>2173</v>
      </c>
      <c r="I756" s="10">
        <v>45582</v>
      </c>
    </row>
    <row r="757" spans="1:9" x14ac:dyDescent="0.15">
      <c r="A757" s="9">
        <v>756</v>
      </c>
      <c r="B757" s="9" t="s">
        <v>9</v>
      </c>
      <c r="C757" s="9">
        <v>1920</v>
      </c>
      <c r="D757" s="10">
        <v>45677</v>
      </c>
      <c r="E757" s="13" t="str">
        <f>+HYPERLINK("http://trademark.i-assist.jp/data/china/image_1920th/81449954.pdf","81449954")</f>
        <v>81449954</v>
      </c>
      <c r="F757" s="9" t="s">
        <v>2174</v>
      </c>
      <c r="G757" s="9" t="s">
        <v>2175</v>
      </c>
      <c r="H757" s="12" t="s">
        <v>2176</v>
      </c>
      <c r="I757" s="10">
        <v>45583</v>
      </c>
    </row>
    <row r="758" spans="1:9" x14ac:dyDescent="0.15">
      <c r="A758" s="9">
        <v>757</v>
      </c>
      <c r="B758" s="9" t="s">
        <v>9</v>
      </c>
      <c r="C758" s="9">
        <v>1920</v>
      </c>
      <c r="D758" s="10">
        <v>45677</v>
      </c>
      <c r="E758" s="13" t="str">
        <f>+HYPERLINK("http://trademark.i-assist.jp/data/china/image_1920th/81450076.pdf","81450076")</f>
        <v>81450076</v>
      </c>
      <c r="F758" s="9" t="s">
        <v>2177</v>
      </c>
      <c r="G758" s="12" t="s">
        <v>2178</v>
      </c>
      <c r="H758" s="12" t="s">
        <v>2179</v>
      </c>
      <c r="I758" s="10">
        <v>45582</v>
      </c>
    </row>
    <row r="759" spans="1:9" x14ac:dyDescent="0.15">
      <c r="A759" s="9">
        <v>758</v>
      </c>
      <c r="B759" s="9" t="s">
        <v>9</v>
      </c>
      <c r="C759" s="9">
        <v>1920</v>
      </c>
      <c r="D759" s="10">
        <v>45677</v>
      </c>
      <c r="E759" s="13" t="str">
        <f>+HYPERLINK("http://trademark.i-assist.jp/data/china/image_1920th/81450450.pdf","81450450")</f>
        <v>81450450</v>
      </c>
      <c r="F759" s="9" t="s">
        <v>2180</v>
      </c>
      <c r="G759" s="9" t="s">
        <v>2181</v>
      </c>
      <c r="H759" s="9" t="s">
        <v>2182</v>
      </c>
      <c r="I759" s="10">
        <v>45582</v>
      </c>
    </row>
    <row r="760" spans="1:9" x14ac:dyDescent="0.15">
      <c r="A760" s="9">
        <v>759</v>
      </c>
      <c r="B760" s="9" t="s">
        <v>9</v>
      </c>
      <c r="C760" s="9">
        <v>1920</v>
      </c>
      <c r="D760" s="10">
        <v>45677</v>
      </c>
      <c r="E760" s="13" t="str">
        <f>+HYPERLINK("http://trademark.i-assist.jp/data/china/image_1920th/81450591.pdf","81450591")</f>
        <v>81450591</v>
      </c>
      <c r="F760" s="9" t="s">
        <v>2183</v>
      </c>
      <c r="G760" s="9" t="s">
        <v>2184</v>
      </c>
      <c r="H760" s="9" t="s">
        <v>2185</v>
      </c>
      <c r="I760" s="10">
        <v>45582</v>
      </c>
    </row>
    <row r="761" spans="1:9" x14ac:dyDescent="0.15">
      <c r="A761" s="9">
        <v>760</v>
      </c>
      <c r="B761" s="9" t="s">
        <v>9</v>
      </c>
      <c r="C761" s="9">
        <v>1920</v>
      </c>
      <c r="D761" s="10">
        <v>45677</v>
      </c>
      <c r="E761" s="13" t="str">
        <f>+HYPERLINK("http://trademark.i-assist.jp/data/china/image_1920th/81451011.pdf","81451011")</f>
        <v>81451011</v>
      </c>
      <c r="F761" s="12" t="s">
        <v>2186</v>
      </c>
      <c r="G761" s="12" t="s">
        <v>2187</v>
      </c>
      <c r="H761" s="9" t="s">
        <v>2188</v>
      </c>
      <c r="I761" s="10">
        <v>45583</v>
      </c>
    </row>
    <row r="762" spans="1:9" x14ac:dyDescent="0.15">
      <c r="A762" s="9">
        <v>761</v>
      </c>
      <c r="B762" s="9" t="s">
        <v>9</v>
      </c>
      <c r="C762" s="9">
        <v>1920</v>
      </c>
      <c r="D762" s="10">
        <v>45677</v>
      </c>
      <c r="E762" s="13" t="str">
        <f>+HYPERLINK("http://trademark.i-assist.jp/data/china/image_1920th/81451153.pdf","81451153")</f>
        <v>81451153</v>
      </c>
      <c r="F762" s="12" t="s">
        <v>2189</v>
      </c>
      <c r="G762" s="9" t="s">
        <v>72</v>
      </c>
      <c r="H762" s="12" t="s">
        <v>2190</v>
      </c>
      <c r="I762" s="10">
        <v>45583</v>
      </c>
    </row>
    <row r="763" spans="1:9" x14ac:dyDescent="0.15">
      <c r="A763" s="9">
        <v>762</v>
      </c>
      <c r="B763" s="9" t="s">
        <v>9</v>
      </c>
      <c r="C763" s="9">
        <v>1920</v>
      </c>
      <c r="D763" s="10">
        <v>45677</v>
      </c>
      <c r="E763" s="13" t="str">
        <f>+HYPERLINK("http://trademark.i-assist.jp/data/china/image_1920th/81451159.pdf","81451159")</f>
        <v>81451159</v>
      </c>
      <c r="F763" s="12" t="s">
        <v>2191</v>
      </c>
      <c r="G763" s="9" t="s">
        <v>72</v>
      </c>
      <c r="H763" s="12" t="s">
        <v>2192</v>
      </c>
      <c r="I763" s="10">
        <v>45583</v>
      </c>
    </row>
    <row r="764" spans="1:9" x14ac:dyDescent="0.15">
      <c r="A764" s="9">
        <v>763</v>
      </c>
      <c r="B764" s="9" t="s">
        <v>9</v>
      </c>
      <c r="C764" s="9">
        <v>1920</v>
      </c>
      <c r="D764" s="10">
        <v>45677</v>
      </c>
      <c r="E764" s="13" t="str">
        <f>+HYPERLINK("http://trademark.i-assist.jp/data/china/image_1920th/81451377.pdf","81451377")</f>
        <v>81451377</v>
      </c>
      <c r="F764" s="11" t="s">
        <v>2193</v>
      </c>
      <c r="G764" s="9" t="s">
        <v>2194</v>
      </c>
      <c r="H764" s="9" t="s">
        <v>2195</v>
      </c>
      <c r="I764" s="10">
        <v>45583</v>
      </c>
    </row>
    <row r="765" spans="1:9" x14ac:dyDescent="0.15">
      <c r="A765" s="9">
        <v>764</v>
      </c>
      <c r="B765" s="9" t="s">
        <v>9</v>
      </c>
      <c r="C765" s="9">
        <v>1920</v>
      </c>
      <c r="D765" s="10">
        <v>45677</v>
      </c>
      <c r="E765" s="13" t="str">
        <f>+HYPERLINK("http://trademark.i-assist.jp/data/china/image_1920th/81451643.pdf","81451643")</f>
        <v>81451643</v>
      </c>
      <c r="F765" s="9" t="s">
        <v>2196</v>
      </c>
      <c r="G765" s="9" t="s">
        <v>2197</v>
      </c>
      <c r="H765" s="9" t="s">
        <v>2198</v>
      </c>
      <c r="I765" s="10">
        <v>45583</v>
      </c>
    </row>
    <row r="766" spans="1:9" x14ac:dyDescent="0.15">
      <c r="A766" s="9">
        <v>765</v>
      </c>
      <c r="B766" s="9" t="s">
        <v>9</v>
      </c>
      <c r="C766" s="9">
        <v>1920</v>
      </c>
      <c r="D766" s="10">
        <v>45677</v>
      </c>
      <c r="E766" s="13" t="str">
        <f>+HYPERLINK("http://trademark.i-assist.jp/data/china/image_1920th/81451707.pdf","81451707")</f>
        <v>81451707</v>
      </c>
      <c r="F766" s="9" t="s">
        <v>2199</v>
      </c>
      <c r="G766" s="12" t="s">
        <v>103</v>
      </c>
      <c r="H766" s="9" t="s">
        <v>2200</v>
      </c>
      <c r="I766" s="10">
        <v>45583</v>
      </c>
    </row>
    <row r="767" spans="1:9" x14ac:dyDescent="0.15">
      <c r="A767" s="9">
        <v>766</v>
      </c>
      <c r="B767" s="9" t="s">
        <v>9</v>
      </c>
      <c r="C767" s="9">
        <v>1920</v>
      </c>
      <c r="D767" s="10">
        <v>45677</v>
      </c>
      <c r="E767" s="13" t="str">
        <f>+HYPERLINK("http://trademark.i-assist.jp/data/china/image_1920th/81451777.pdf","81451777")</f>
        <v>81451777</v>
      </c>
      <c r="F767" s="12" t="s">
        <v>2201</v>
      </c>
      <c r="G767" s="9" t="s">
        <v>2129</v>
      </c>
      <c r="H767" s="9" t="s">
        <v>2202</v>
      </c>
      <c r="I767" s="10">
        <v>45582</v>
      </c>
    </row>
    <row r="768" spans="1:9" x14ac:dyDescent="0.15">
      <c r="A768" s="9">
        <v>767</v>
      </c>
      <c r="B768" s="9" t="s">
        <v>9</v>
      </c>
      <c r="C768" s="9">
        <v>1920</v>
      </c>
      <c r="D768" s="10">
        <v>45677</v>
      </c>
      <c r="E768" s="13" t="str">
        <f>+HYPERLINK("http://trademark.i-assist.jp/data/china/image_1920th/81451890.pdf","81451890")</f>
        <v>81451890</v>
      </c>
      <c r="F768" s="9" t="s">
        <v>2203</v>
      </c>
      <c r="G768" s="12" t="s">
        <v>2204</v>
      </c>
      <c r="H768" s="9" t="s">
        <v>2205</v>
      </c>
      <c r="I768" s="10">
        <v>45582</v>
      </c>
    </row>
    <row r="769" spans="1:9" x14ac:dyDescent="0.15">
      <c r="A769" s="9">
        <v>768</v>
      </c>
      <c r="B769" s="9" t="s">
        <v>9</v>
      </c>
      <c r="C769" s="9">
        <v>1920</v>
      </c>
      <c r="D769" s="10">
        <v>45677</v>
      </c>
      <c r="E769" s="13" t="str">
        <f>+HYPERLINK("http://trademark.i-assist.jp/data/china/image_1920th/81452328.pdf","81452328")</f>
        <v>81452328</v>
      </c>
      <c r="F769" s="9" t="s">
        <v>2206</v>
      </c>
      <c r="G769" s="9" t="s">
        <v>2207</v>
      </c>
      <c r="H769" s="9" t="s">
        <v>2208</v>
      </c>
      <c r="I769" s="10">
        <v>45582</v>
      </c>
    </row>
    <row r="770" spans="1:9" x14ac:dyDescent="0.15">
      <c r="A770" s="9">
        <v>769</v>
      </c>
      <c r="B770" s="9" t="s">
        <v>9</v>
      </c>
      <c r="C770" s="9">
        <v>1920</v>
      </c>
      <c r="D770" s="10">
        <v>45677</v>
      </c>
      <c r="E770" s="13" t="str">
        <f>+HYPERLINK("http://trademark.i-assist.jp/data/china/image_1920th/81452562.pdf","81452562")</f>
        <v>81452562</v>
      </c>
      <c r="F770" s="9" t="s">
        <v>2209</v>
      </c>
      <c r="G770" s="12" t="s">
        <v>104</v>
      </c>
      <c r="H770" s="9" t="s">
        <v>2210</v>
      </c>
      <c r="I770" s="10">
        <v>45583</v>
      </c>
    </row>
    <row r="771" spans="1:9" x14ac:dyDescent="0.15">
      <c r="A771" s="9">
        <v>770</v>
      </c>
      <c r="B771" s="9" t="s">
        <v>9</v>
      </c>
      <c r="C771" s="9">
        <v>1920</v>
      </c>
      <c r="D771" s="10">
        <v>45677</v>
      </c>
      <c r="E771" s="13" t="str">
        <f>+HYPERLINK("http://trademark.i-assist.jp/data/china/image_1920th/81452563.pdf","81452563")</f>
        <v>81452563</v>
      </c>
      <c r="F771" s="9" t="s">
        <v>2211</v>
      </c>
      <c r="G771" s="12" t="s">
        <v>104</v>
      </c>
      <c r="H771" s="9" t="s">
        <v>2212</v>
      </c>
      <c r="I771" s="10">
        <v>45583</v>
      </c>
    </row>
    <row r="772" spans="1:9" x14ac:dyDescent="0.15">
      <c r="A772" s="9">
        <v>771</v>
      </c>
      <c r="B772" s="9" t="s">
        <v>9</v>
      </c>
      <c r="C772" s="9">
        <v>1920</v>
      </c>
      <c r="D772" s="10">
        <v>45677</v>
      </c>
      <c r="E772" s="13" t="str">
        <f>+HYPERLINK("http://trademark.i-assist.jp/data/china/image_1920th/81452567.pdf","81452567")</f>
        <v>81452567</v>
      </c>
      <c r="F772" s="9" t="s">
        <v>2213</v>
      </c>
      <c r="G772" s="12" t="s">
        <v>104</v>
      </c>
      <c r="H772" s="9" t="s">
        <v>2214</v>
      </c>
      <c r="I772" s="10">
        <v>45583</v>
      </c>
    </row>
    <row r="773" spans="1:9" x14ac:dyDescent="0.15">
      <c r="A773" s="9">
        <v>772</v>
      </c>
      <c r="B773" s="9" t="s">
        <v>9</v>
      </c>
      <c r="C773" s="9">
        <v>1920</v>
      </c>
      <c r="D773" s="10">
        <v>45677</v>
      </c>
      <c r="E773" s="13" t="str">
        <f>+HYPERLINK("http://trademark.i-assist.jp/data/china/image_1920th/81453029.pdf","81453029")</f>
        <v>81453029</v>
      </c>
      <c r="F773" s="9" t="s">
        <v>2215</v>
      </c>
      <c r="G773" s="12" t="s">
        <v>2216</v>
      </c>
      <c r="H773" s="9" t="s">
        <v>2217</v>
      </c>
      <c r="I773" s="10">
        <v>45583</v>
      </c>
    </row>
    <row r="774" spans="1:9" x14ac:dyDescent="0.15">
      <c r="A774" s="9">
        <v>773</v>
      </c>
      <c r="B774" s="9" t="s">
        <v>9</v>
      </c>
      <c r="C774" s="9">
        <v>1920</v>
      </c>
      <c r="D774" s="10">
        <v>45677</v>
      </c>
      <c r="E774" s="13" t="str">
        <f>+HYPERLINK("http://trademark.i-assist.jp/data/china/image_1920th/81453207.pdf","81453207")</f>
        <v>81453207</v>
      </c>
      <c r="F774" s="9" t="s">
        <v>2218</v>
      </c>
      <c r="G774" s="9" t="s">
        <v>2194</v>
      </c>
      <c r="H774" s="9" t="s">
        <v>2219</v>
      </c>
      <c r="I774" s="10">
        <v>45583</v>
      </c>
    </row>
    <row r="775" spans="1:9" x14ac:dyDescent="0.15">
      <c r="A775" s="9">
        <v>774</v>
      </c>
      <c r="B775" s="9" t="s">
        <v>9</v>
      </c>
      <c r="C775" s="9">
        <v>1920</v>
      </c>
      <c r="D775" s="10">
        <v>45677</v>
      </c>
      <c r="E775" s="13" t="str">
        <f>+HYPERLINK("http://trademark.i-assist.jp/data/china/image_1920th/81453472.pdf","81453472")</f>
        <v>81453472</v>
      </c>
      <c r="F775" s="9" t="s">
        <v>2220</v>
      </c>
      <c r="G775" s="12" t="s">
        <v>2221</v>
      </c>
      <c r="H775" s="12" t="s">
        <v>2222</v>
      </c>
      <c r="I775" s="10">
        <v>45583</v>
      </c>
    </row>
    <row r="776" spans="1:9" x14ac:dyDescent="0.15">
      <c r="A776" s="9">
        <v>775</v>
      </c>
      <c r="B776" s="9" t="s">
        <v>9</v>
      </c>
      <c r="C776" s="9">
        <v>1920</v>
      </c>
      <c r="D776" s="10">
        <v>45677</v>
      </c>
      <c r="E776" s="13" t="str">
        <f>+HYPERLINK("http://trademark.i-assist.jp/data/china/image_1920th/81453583.pdf","81453583")</f>
        <v>81453583</v>
      </c>
      <c r="F776" s="12" t="s">
        <v>2223</v>
      </c>
      <c r="G776" s="9" t="s">
        <v>2224</v>
      </c>
      <c r="H776" s="9" t="s">
        <v>2225</v>
      </c>
      <c r="I776" s="10">
        <v>45583</v>
      </c>
    </row>
    <row r="777" spans="1:9" x14ac:dyDescent="0.15">
      <c r="A777" s="9">
        <v>776</v>
      </c>
      <c r="B777" s="9" t="s">
        <v>9</v>
      </c>
      <c r="C777" s="9">
        <v>1920</v>
      </c>
      <c r="D777" s="10">
        <v>45677</v>
      </c>
      <c r="E777" s="13" t="str">
        <f>+HYPERLINK("http://trademark.i-assist.jp/data/china/image_1920th/81453757.pdf","81453757")</f>
        <v>81453757</v>
      </c>
      <c r="F777" s="9" t="s">
        <v>2226</v>
      </c>
      <c r="G777" s="9" t="s">
        <v>2227</v>
      </c>
      <c r="H777" s="9" t="s">
        <v>2228</v>
      </c>
      <c r="I777" s="10">
        <v>45583</v>
      </c>
    </row>
    <row r="778" spans="1:9" x14ac:dyDescent="0.15">
      <c r="A778" s="9">
        <v>777</v>
      </c>
      <c r="B778" s="9" t="s">
        <v>9</v>
      </c>
      <c r="C778" s="9">
        <v>1920</v>
      </c>
      <c r="D778" s="10">
        <v>45677</v>
      </c>
      <c r="E778" s="13" t="str">
        <f>+HYPERLINK("http://trademark.i-assist.jp/data/china/image_1920th/81454041.pdf","81454041")</f>
        <v>81454041</v>
      </c>
      <c r="F778" s="9" t="s">
        <v>2229</v>
      </c>
      <c r="G778" s="9" t="s">
        <v>2230</v>
      </c>
      <c r="H778" s="9" t="s">
        <v>2231</v>
      </c>
      <c r="I778" s="10">
        <v>45583</v>
      </c>
    </row>
    <row r="779" spans="1:9" x14ac:dyDescent="0.15">
      <c r="A779" s="9">
        <v>778</v>
      </c>
      <c r="B779" s="9" t="s">
        <v>9</v>
      </c>
      <c r="C779" s="9">
        <v>1920</v>
      </c>
      <c r="D779" s="10">
        <v>45677</v>
      </c>
      <c r="E779" s="13" t="str">
        <f>+HYPERLINK("http://trademark.i-assist.jp/data/china/image_1920th/81454172.pdf","81454172")</f>
        <v>81454172</v>
      </c>
      <c r="F779" s="12" t="s">
        <v>12</v>
      </c>
      <c r="G779" s="9" t="s">
        <v>2232</v>
      </c>
      <c r="H779" s="9" t="s">
        <v>2233</v>
      </c>
      <c r="I779" s="10">
        <v>45583</v>
      </c>
    </row>
    <row r="780" spans="1:9" x14ac:dyDescent="0.15">
      <c r="A780" s="9">
        <v>779</v>
      </c>
      <c r="B780" s="9" t="s">
        <v>9</v>
      </c>
      <c r="C780" s="9">
        <v>1920</v>
      </c>
      <c r="D780" s="10">
        <v>45677</v>
      </c>
      <c r="E780" s="13" t="str">
        <f>+HYPERLINK("http://trademark.i-assist.jp/data/china/image_1920th/81454296.pdf","81454296")</f>
        <v>81454296</v>
      </c>
      <c r="F780" s="12" t="s">
        <v>2234</v>
      </c>
      <c r="G780" s="9" t="s">
        <v>2235</v>
      </c>
      <c r="H780" s="9" t="s">
        <v>2236</v>
      </c>
      <c r="I780" s="10">
        <v>45582</v>
      </c>
    </row>
    <row r="781" spans="1:9" x14ac:dyDescent="0.15">
      <c r="A781" s="9">
        <v>780</v>
      </c>
      <c r="B781" s="9" t="s">
        <v>9</v>
      </c>
      <c r="C781" s="9">
        <v>1920</v>
      </c>
      <c r="D781" s="10">
        <v>45677</v>
      </c>
      <c r="E781" s="13" t="str">
        <f>+HYPERLINK("http://trademark.i-assist.jp/data/china/image_1920th/81454834.pdf","81454834")</f>
        <v>81454834</v>
      </c>
      <c r="F781" s="9" t="s">
        <v>2237</v>
      </c>
      <c r="G781" s="9" t="s">
        <v>109</v>
      </c>
      <c r="H781" s="9" t="s">
        <v>2238</v>
      </c>
      <c r="I781" s="10">
        <v>45583</v>
      </c>
    </row>
    <row r="782" spans="1:9" x14ac:dyDescent="0.15">
      <c r="A782" s="9">
        <v>781</v>
      </c>
      <c r="B782" s="9" t="s">
        <v>9</v>
      </c>
      <c r="C782" s="9">
        <v>1920</v>
      </c>
      <c r="D782" s="10">
        <v>45677</v>
      </c>
      <c r="E782" s="13" t="str">
        <f>+HYPERLINK("http://trademark.i-assist.jp/data/china/image_1920th/81454935.pdf","81454935")</f>
        <v>81454935</v>
      </c>
      <c r="F782" s="9" t="s">
        <v>2239</v>
      </c>
      <c r="G782" s="9" t="s">
        <v>2240</v>
      </c>
      <c r="H782" s="9" t="s">
        <v>2241</v>
      </c>
      <c r="I782" s="10">
        <v>45583</v>
      </c>
    </row>
    <row r="783" spans="1:9" x14ac:dyDescent="0.15">
      <c r="A783" s="9">
        <v>782</v>
      </c>
      <c r="B783" s="9" t="s">
        <v>9</v>
      </c>
      <c r="C783" s="9">
        <v>1920</v>
      </c>
      <c r="D783" s="10">
        <v>45677</v>
      </c>
      <c r="E783" s="13" t="str">
        <f>+HYPERLINK("http://trademark.i-assist.jp/data/china/image_1920th/81454992.pdf","81454992")</f>
        <v>81454992</v>
      </c>
      <c r="F783" s="9" t="s">
        <v>2242</v>
      </c>
      <c r="G783" s="9" t="s">
        <v>2243</v>
      </c>
      <c r="H783" s="9" t="s">
        <v>2244</v>
      </c>
      <c r="I783" s="10">
        <v>45583</v>
      </c>
    </row>
    <row r="784" spans="1:9" x14ac:dyDescent="0.15">
      <c r="A784" s="9">
        <v>783</v>
      </c>
      <c r="B784" s="9" t="s">
        <v>9</v>
      </c>
      <c r="C784" s="9">
        <v>1920</v>
      </c>
      <c r="D784" s="10">
        <v>45677</v>
      </c>
      <c r="E784" s="13" t="str">
        <f>+HYPERLINK("http://trademark.i-assist.jp/data/china/image_1920th/81455056.pdf","81455056")</f>
        <v>81455056</v>
      </c>
      <c r="F784" s="12" t="s">
        <v>106</v>
      </c>
      <c r="G784" s="9" t="s">
        <v>107</v>
      </c>
      <c r="H784" s="9" t="s">
        <v>2245</v>
      </c>
      <c r="I784" s="10">
        <v>45583</v>
      </c>
    </row>
    <row r="785" spans="1:9" x14ac:dyDescent="0.15">
      <c r="A785" s="9">
        <v>784</v>
      </c>
      <c r="B785" s="9" t="s">
        <v>9</v>
      </c>
      <c r="C785" s="9">
        <v>1920</v>
      </c>
      <c r="D785" s="10">
        <v>45677</v>
      </c>
      <c r="E785" s="13" t="str">
        <f>+HYPERLINK("http://trademark.i-assist.jp/data/china/image_1920th/81455075.pdf","81455075")</f>
        <v>81455075</v>
      </c>
      <c r="F785" s="9" t="s">
        <v>2246</v>
      </c>
      <c r="G785" s="9" t="s">
        <v>111</v>
      </c>
      <c r="H785" s="12" t="s">
        <v>2247</v>
      </c>
      <c r="I785" s="10">
        <v>45583</v>
      </c>
    </row>
    <row r="786" spans="1:9" x14ac:dyDescent="0.15">
      <c r="A786" s="9">
        <v>785</v>
      </c>
      <c r="B786" s="9" t="s">
        <v>9</v>
      </c>
      <c r="C786" s="9">
        <v>1920</v>
      </c>
      <c r="D786" s="10">
        <v>45677</v>
      </c>
      <c r="E786" s="13" t="str">
        <f>+HYPERLINK("http://trademark.i-assist.jp/data/china/image_1920th/81455367.pdf","81455367")</f>
        <v>81455367</v>
      </c>
      <c r="F786" s="12" t="s">
        <v>2248</v>
      </c>
      <c r="G786" s="12" t="s">
        <v>2249</v>
      </c>
      <c r="H786" s="9" t="s">
        <v>2250</v>
      </c>
      <c r="I786" s="10">
        <v>45583</v>
      </c>
    </row>
    <row r="787" spans="1:9" x14ac:dyDescent="0.15">
      <c r="A787" s="9">
        <v>786</v>
      </c>
      <c r="B787" s="9" t="s">
        <v>9</v>
      </c>
      <c r="C787" s="9">
        <v>1920</v>
      </c>
      <c r="D787" s="10">
        <v>45677</v>
      </c>
      <c r="E787" s="13" t="str">
        <f>+HYPERLINK("http://trademark.i-assist.jp/data/china/image_1920th/81455455.pdf","81455455")</f>
        <v>81455455</v>
      </c>
      <c r="F787" s="9" t="s">
        <v>2251</v>
      </c>
      <c r="G787" s="12" t="s">
        <v>2252</v>
      </c>
      <c r="H787" s="9" t="s">
        <v>2253</v>
      </c>
      <c r="I787" s="10">
        <v>45582</v>
      </c>
    </row>
    <row r="788" spans="1:9" x14ac:dyDescent="0.15">
      <c r="A788" s="9">
        <v>787</v>
      </c>
      <c r="B788" s="9" t="s">
        <v>9</v>
      </c>
      <c r="C788" s="9">
        <v>1920</v>
      </c>
      <c r="D788" s="10">
        <v>45677</v>
      </c>
      <c r="E788" s="13" t="str">
        <f>+HYPERLINK("http://trademark.i-assist.jp/data/china/image_1920th/81455615.pdf","81455615")</f>
        <v>81455615</v>
      </c>
      <c r="F788" s="9" t="s">
        <v>2254</v>
      </c>
      <c r="G788" s="9" t="s">
        <v>2255</v>
      </c>
      <c r="H788" s="9" t="s">
        <v>2256</v>
      </c>
      <c r="I788" s="10">
        <v>45582</v>
      </c>
    </row>
    <row r="789" spans="1:9" x14ac:dyDescent="0.15">
      <c r="A789" s="9">
        <v>788</v>
      </c>
      <c r="B789" s="9" t="s">
        <v>9</v>
      </c>
      <c r="C789" s="9">
        <v>1920</v>
      </c>
      <c r="D789" s="10">
        <v>45677</v>
      </c>
      <c r="E789" s="13" t="str">
        <f>+HYPERLINK("http://trademark.i-assist.jp/data/china/image_1920th/81456125.pdf","81456125")</f>
        <v>81456125</v>
      </c>
      <c r="F789" s="9" t="s">
        <v>2257</v>
      </c>
      <c r="G789" s="9" t="s">
        <v>113</v>
      </c>
      <c r="H789" s="9" t="s">
        <v>2258</v>
      </c>
      <c r="I789" s="10">
        <v>45583</v>
      </c>
    </row>
    <row r="790" spans="1:9" x14ac:dyDescent="0.15">
      <c r="A790" s="9">
        <v>789</v>
      </c>
      <c r="B790" s="9" t="s">
        <v>9</v>
      </c>
      <c r="C790" s="9">
        <v>1920</v>
      </c>
      <c r="D790" s="10">
        <v>45677</v>
      </c>
      <c r="E790" s="13" t="str">
        <f>+HYPERLINK("http://trademark.i-assist.jp/data/china/image_1920th/81456530.pdf","81456530")</f>
        <v>81456530</v>
      </c>
      <c r="F790" s="9" t="s">
        <v>2259</v>
      </c>
      <c r="G790" s="9" t="s">
        <v>2260</v>
      </c>
      <c r="H790" s="9" t="s">
        <v>2261</v>
      </c>
      <c r="I790" s="10">
        <v>45583</v>
      </c>
    </row>
    <row r="791" spans="1:9" x14ac:dyDescent="0.15">
      <c r="A791" s="9">
        <v>790</v>
      </c>
      <c r="B791" s="9" t="s">
        <v>9</v>
      </c>
      <c r="C791" s="9">
        <v>1920</v>
      </c>
      <c r="D791" s="10">
        <v>45677</v>
      </c>
      <c r="E791" s="13" t="str">
        <f>+HYPERLINK("http://trademark.i-assist.jp/data/china/image_1920th/81456917.pdf","81456917")</f>
        <v>81456917</v>
      </c>
      <c r="F791" s="12" t="s">
        <v>2262</v>
      </c>
      <c r="G791" s="9" t="s">
        <v>45</v>
      </c>
      <c r="H791" s="9" t="s">
        <v>2263</v>
      </c>
      <c r="I791" s="10">
        <v>45582</v>
      </c>
    </row>
    <row r="792" spans="1:9" x14ac:dyDescent="0.15">
      <c r="A792" s="9">
        <v>791</v>
      </c>
      <c r="B792" s="9" t="s">
        <v>9</v>
      </c>
      <c r="C792" s="9">
        <v>1920</v>
      </c>
      <c r="D792" s="10">
        <v>45677</v>
      </c>
      <c r="E792" s="13" t="str">
        <f>+HYPERLINK("http://trademark.i-assist.jp/data/china/image_1920th/81457077.pdf","81457077")</f>
        <v>81457077</v>
      </c>
      <c r="F792" s="12" t="s">
        <v>2264</v>
      </c>
      <c r="G792" s="12" t="s">
        <v>2265</v>
      </c>
      <c r="H792" s="9" t="s">
        <v>2266</v>
      </c>
      <c r="I792" s="10">
        <v>45583</v>
      </c>
    </row>
    <row r="793" spans="1:9" x14ac:dyDescent="0.15">
      <c r="A793" s="9">
        <v>792</v>
      </c>
      <c r="B793" s="9" t="s">
        <v>9</v>
      </c>
      <c r="C793" s="9">
        <v>1920</v>
      </c>
      <c r="D793" s="10">
        <v>45677</v>
      </c>
      <c r="E793" s="13" t="str">
        <f>+HYPERLINK("http://trademark.i-assist.jp/data/china/image_1920th/81457084.pdf","81457084")</f>
        <v>81457084</v>
      </c>
      <c r="F793" s="9" t="s">
        <v>2267</v>
      </c>
      <c r="G793" s="9" t="s">
        <v>2268</v>
      </c>
      <c r="H793" s="9" t="s">
        <v>2269</v>
      </c>
      <c r="I793" s="10">
        <v>45583</v>
      </c>
    </row>
    <row r="794" spans="1:9" x14ac:dyDescent="0.15">
      <c r="A794" s="9">
        <v>793</v>
      </c>
      <c r="B794" s="9" t="s">
        <v>9</v>
      </c>
      <c r="C794" s="9">
        <v>1920</v>
      </c>
      <c r="D794" s="10">
        <v>45677</v>
      </c>
      <c r="E794" s="13" t="str">
        <f>+HYPERLINK("http://trademark.i-assist.jp/data/china/image_1920th/81457118.pdf","81457118")</f>
        <v>81457118</v>
      </c>
      <c r="F794" s="12" t="s">
        <v>2270</v>
      </c>
      <c r="G794" s="9" t="s">
        <v>65</v>
      </c>
      <c r="H794" s="12" t="s">
        <v>2271</v>
      </c>
      <c r="I794" s="10">
        <v>45583</v>
      </c>
    </row>
    <row r="795" spans="1:9" x14ac:dyDescent="0.15">
      <c r="A795" s="9">
        <v>794</v>
      </c>
      <c r="B795" s="9" t="s">
        <v>9</v>
      </c>
      <c r="C795" s="9">
        <v>1920</v>
      </c>
      <c r="D795" s="10">
        <v>45677</v>
      </c>
      <c r="E795" s="13" t="str">
        <f>+HYPERLINK("http://trademark.i-assist.jp/data/china/image_1920th/81457181.pdf","81457181")</f>
        <v>81457181</v>
      </c>
      <c r="F795" s="9" t="s">
        <v>2272</v>
      </c>
      <c r="G795" s="9" t="s">
        <v>72</v>
      </c>
      <c r="H795" s="12" t="s">
        <v>2273</v>
      </c>
      <c r="I795" s="10">
        <v>45583</v>
      </c>
    </row>
    <row r="796" spans="1:9" x14ac:dyDescent="0.15">
      <c r="A796" s="9">
        <v>795</v>
      </c>
      <c r="B796" s="9" t="s">
        <v>9</v>
      </c>
      <c r="C796" s="9">
        <v>1920</v>
      </c>
      <c r="D796" s="10">
        <v>45677</v>
      </c>
      <c r="E796" s="13" t="str">
        <f>+HYPERLINK("http://trademark.i-assist.jp/data/china/image_1920th/81457208.pdf","81457208")</f>
        <v>81457208</v>
      </c>
      <c r="F796" s="9" t="s">
        <v>2274</v>
      </c>
      <c r="G796" s="9" t="s">
        <v>72</v>
      </c>
      <c r="H796" s="12" t="s">
        <v>2275</v>
      </c>
      <c r="I796" s="10">
        <v>45583</v>
      </c>
    </row>
    <row r="797" spans="1:9" x14ac:dyDescent="0.15">
      <c r="A797" s="9">
        <v>796</v>
      </c>
      <c r="B797" s="9" t="s">
        <v>9</v>
      </c>
      <c r="C797" s="9">
        <v>1920</v>
      </c>
      <c r="D797" s="10">
        <v>45677</v>
      </c>
      <c r="E797" s="13" t="str">
        <f>+HYPERLINK("http://trademark.i-assist.jp/data/china/image_1920th/81457223.pdf","81457223")</f>
        <v>81457223</v>
      </c>
      <c r="F797" s="9" t="s">
        <v>2276</v>
      </c>
      <c r="G797" s="9" t="s">
        <v>2194</v>
      </c>
      <c r="H797" s="9" t="s">
        <v>2277</v>
      </c>
      <c r="I797" s="10">
        <v>45583</v>
      </c>
    </row>
    <row r="798" spans="1:9" x14ac:dyDescent="0.15">
      <c r="A798" s="9">
        <v>797</v>
      </c>
      <c r="B798" s="9" t="s">
        <v>9</v>
      </c>
      <c r="C798" s="9">
        <v>1920</v>
      </c>
      <c r="D798" s="10">
        <v>45677</v>
      </c>
      <c r="E798" s="13" t="str">
        <f>+HYPERLINK("http://trademark.i-assist.jp/data/china/image_1920th/81457301.pdf","81457301")</f>
        <v>81457301</v>
      </c>
      <c r="F798" s="9" t="s">
        <v>2278</v>
      </c>
      <c r="G798" s="9" t="s">
        <v>2279</v>
      </c>
      <c r="H798" s="9" t="s">
        <v>2280</v>
      </c>
      <c r="I798" s="10">
        <v>45583</v>
      </c>
    </row>
    <row r="799" spans="1:9" x14ac:dyDescent="0.15">
      <c r="A799" s="9">
        <v>798</v>
      </c>
      <c r="B799" s="9" t="s">
        <v>9</v>
      </c>
      <c r="C799" s="9">
        <v>1920</v>
      </c>
      <c r="D799" s="10">
        <v>45677</v>
      </c>
      <c r="E799" s="13" t="str">
        <f>+HYPERLINK("http://trademark.i-assist.jp/data/china/image_1920th/81457338.pdf","81457338")</f>
        <v>81457338</v>
      </c>
      <c r="F799" s="12" t="s">
        <v>12</v>
      </c>
      <c r="G799" s="9" t="s">
        <v>2281</v>
      </c>
      <c r="H799" s="9" t="s">
        <v>2282</v>
      </c>
      <c r="I799" s="10">
        <v>45583</v>
      </c>
    </row>
    <row r="800" spans="1:9" x14ac:dyDescent="0.15">
      <c r="A800" s="9">
        <v>799</v>
      </c>
      <c r="B800" s="9" t="s">
        <v>9</v>
      </c>
      <c r="C800" s="9">
        <v>1920</v>
      </c>
      <c r="D800" s="10">
        <v>45677</v>
      </c>
      <c r="E800" s="13" t="str">
        <f>+HYPERLINK("http://trademark.i-assist.jp/data/china/image_1920th/81457531.pdf","81457531")</f>
        <v>81457531</v>
      </c>
      <c r="F800" s="9" t="s">
        <v>2283</v>
      </c>
      <c r="G800" s="9" t="s">
        <v>2284</v>
      </c>
      <c r="H800" s="9" t="s">
        <v>2285</v>
      </c>
      <c r="I800" s="10">
        <v>45583</v>
      </c>
    </row>
    <row r="801" spans="1:9" x14ac:dyDescent="0.15">
      <c r="A801" s="9">
        <v>800</v>
      </c>
      <c r="B801" s="9" t="s">
        <v>9</v>
      </c>
      <c r="C801" s="9">
        <v>1920</v>
      </c>
      <c r="D801" s="10">
        <v>45677</v>
      </c>
      <c r="E801" s="13" t="str">
        <f>+HYPERLINK("http://trademark.i-assist.jp/data/china/image_1920th/81458006.pdf","81458006")</f>
        <v>81458006</v>
      </c>
      <c r="F801" s="9" t="s">
        <v>2286</v>
      </c>
      <c r="G801" s="9" t="s">
        <v>2080</v>
      </c>
      <c r="H801" s="9" t="s">
        <v>2287</v>
      </c>
      <c r="I801" s="10">
        <v>45583</v>
      </c>
    </row>
    <row r="802" spans="1:9" x14ac:dyDescent="0.15">
      <c r="A802" s="9">
        <v>801</v>
      </c>
      <c r="B802" s="9" t="s">
        <v>9</v>
      </c>
      <c r="C802" s="9">
        <v>1920</v>
      </c>
      <c r="D802" s="10">
        <v>45677</v>
      </c>
      <c r="E802" s="13" t="str">
        <f>+HYPERLINK("http://trademark.i-assist.jp/data/china/image_1920th/81459285.pdf","81459285")</f>
        <v>81459285</v>
      </c>
      <c r="F802" s="9" t="s">
        <v>2288</v>
      </c>
      <c r="G802" s="9" t="s">
        <v>2289</v>
      </c>
      <c r="H802" s="9" t="s">
        <v>2290</v>
      </c>
      <c r="I802" s="10">
        <v>45583</v>
      </c>
    </row>
    <row r="803" spans="1:9" x14ac:dyDescent="0.15">
      <c r="A803" s="9">
        <v>802</v>
      </c>
      <c r="B803" s="9" t="s">
        <v>9</v>
      </c>
      <c r="C803" s="9">
        <v>1920</v>
      </c>
      <c r="D803" s="10">
        <v>45677</v>
      </c>
      <c r="E803" s="13" t="str">
        <f>+HYPERLINK("http://trademark.i-assist.jp/data/china/image_1920th/81460123.pdf","81460123")</f>
        <v>81460123</v>
      </c>
      <c r="F803" s="9" t="s">
        <v>2291</v>
      </c>
      <c r="G803" s="9" t="s">
        <v>2292</v>
      </c>
      <c r="H803" s="9" t="s">
        <v>2293</v>
      </c>
      <c r="I803" s="10">
        <v>45583</v>
      </c>
    </row>
    <row r="804" spans="1:9" x14ac:dyDescent="0.15">
      <c r="A804" s="9">
        <v>803</v>
      </c>
      <c r="B804" s="9" t="s">
        <v>9</v>
      </c>
      <c r="C804" s="9">
        <v>1920</v>
      </c>
      <c r="D804" s="10">
        <v>45677</v>
      </c>
      <c r="E804" s="13" t="str">
        <f>+HYPERLINK("http://trademark.i-assist.jp/data/china/image_1920th/81460278.pdf","81460278")</f>
        <v>81460278</v>
      </c>
      <c r="F804" s="9" t="s">
        <v>2294</v>
      </c>
      <c r="G804" s="9" t="s">
        <v>2295</v>
      </c>
      <c r="H804" s="12" t="s">
        <v>2296</v>
      </c>
      <c r="I804" s="10">
        <v>45583</v>
      </c>
    </row>
    <row r="805" spans="1:9" x14ac:dyDescent="0.15">
      <c r="A805" s="9">
        <v>804</v>
      </c>
      <c r="B805" s="9" t="s">
        <v>9</v>
      </c>
      <c r="C805" s="9">
        <v>1920</v>
      </c>
      <c r="D805" s="10">
        <v>45677</v>
      </c>
      <c r="E805" s="13" t="str">
        <f>+HYPERLINK("http://trademark.i-assist.jp/data/china/image_1920th/81460480.pdf","81460480")</f>
        <v>81460480</v>
      </c>
      <c r="F805" s="9" t="s">
        <v>2297</v>
      </c>
      <c r="G805" s="9" t="s">
        <v>2298</v>
      </c>
      <c r="H805" s="9" t="s">
        <v>2299</v>
      </c>
      <c r="I805" s="10">
        <v>45583</v>
      </c>
    </row>
    <row r="806" spans="1:9" x14ac:dyDescent="0.15">
      <c r="A806" s="9">
        <v>805</v>
      </c>
      <c r="B806" s="9" t="s">
        <v>9</v>
      </c>
      <c r="C806" s="9">
        <v>1920</v>
      </c>
      <c r="D806" s="10">
        <v>45677</v>
      </c>
      <c r="E806" s="13" t="str">
        <f>+HYPERLINK("http://trademark.i-assist.jp/data/china/image_1920th/81460544.pdf","81460544")</f>
        <v>81460544</v>
      </c>
      <c r="F806" s="11" t="s">
        <v>2300</v>
      </c>
      <c r="G806" s="9" t="s">
        <v>2301</v>
      </c>
      <c r="H806" s="9" t="s">
        <v>2302</v>
      </c>
      <c r="I806" s="10">
        <v>45583</v>
      </c>
    </row>
    <row r="807" spans="1:9" x14ac:dyDescent="0.15">
      <c r="A807" s="9">
        <v>806</v>
      </c>
      <c r="B807" s="9" t="s">
        <v>9</v>
      </c>
      <c r="C807" s="9">
        <v>1920</v>
      </c>
      <c r="D807" s="10">
        <v>45677</v>
      </c>
      <c r="E807" s="13" t="str">
        <f>+HYPERLINK("http://trademark.i-assist.jp/data/china/image_1920th/81460565.pdf","81460565")</f>
        <v>81460565</v>
      </c>
      <c r="F807" s="9" t="s">
        <v>2303</v>
      </c>
      <c r="G807" s="9" t="s">
        <v>2304</v>
      </c>
      <c r="H807" s="9" t="s">
        <v>2305</v>
      </c>
      <c r="I807" s="10">
        <v>45583</v>
      </c>
    </row>
    <row r="808" spans="1:9" x14ac:dyDescent="0.15">
      <c r="A808" s="9">
        <v>807</v>
      </c>
      <c r="B808" s="9" t="s">
        <v>9</v>
      </c>
      <c r="C808" s="9">
        <v>1920</v>
      </c>
      <c r="D808" s="10">
        <v>45677</v>
      </c>
      <c r="E808" s="13" t="str">
        <f>+HYPERLINK("http://trademark.i-assist.jp/data/china/image_1920th/81460579.pdf","81460579")</f>
        <v>81460579</v>
      </c>
      <c r="F808" s="9" t="s">
        <v>2306</v>
      </c>
      <c r="G808" s="9" t="s">
        <v>2307</v>
      </c>
      <c r="H808" s="9" t="s">
        <v>2308</v>
      </c>
      <c r="I808" s="10">
        <v>45583</v>
      </c>
    </row>
    <row r="809" spans="1:9" x14ac:dyDescent="0.15">
      <c r="A809" s="9">
        <v>808</v>
      </c>
      <c r="B809" s="9" t="s">
        <v>9</v>
      </c>
      <c r="C809" s="9">
        <v>1920</v>
      </c>
      <c r="D809" s="10">
        <v>45677</v>
      </c>
      <c r="E809" s="13" t="str">
        <f>+HYPERLINK("http://trademark.i-assist.jp/data/china/image_1920th/81460634.pdf","81460634")</f>
        <v>81460634</v>
      </c>
      <c r="F809" s="9" t="s">
        <v>2309</v>
      </c>
      <c r="G809" s="12" t="s">
        <v>2310</v>
      </c>
      <c r="H809" s="12" t="s">
        <v>2311</v>
      </c>
      <c r="I809" s="10">
        <v>45583</v>
      </c>
    </row>
    <row r="810" spans="1:9" x14ac:dyDescent="0.15">
      <c r="A810" s="9">
        <v>809</v>
      </c>
      <c r="B810" s="9" t="s">
        <v>9</v>
      </c>
      <c r="C810" s="9">
        <v>1920</v>
      </c>
      <c r="D810" s="10">
        <v>45677</v>
      </c>
      <c r="E810" s="13" t="str">
        <f>+HYPERLINK("http://trademark.i-assist.jp/data/china/image_1920th/81460867.pdf","81460867")</f>
        <v>81460867</v>
      </c>
      <c r="F810" s="12" t="s">
        <v>2312</v>
      </c>
      <c r="G810" s="9" t="s">
        <v>113</v>
      </c>
      <c r="H810" s="9" t="s">
        <v>2313</v>
      </c>
      <c r="I810" s="10">
        <v>45583</v>
      </c>
    </row>
    <row r="811" spans="1:9" x14ac:dyDescent="0.15">
      <c r="A811" s="9">
        <v>810</v>
      </c>
      <c r="B811" s="9" t="s">
        <v>9</v>
      </c>
      <c r="C811" s="9">
        <v>1920</v>
      </c>
      <c r="D811" s="10">
        <v>45677</v>
      </c>
      <c r="E811" s="13" t="str">
        <f>+HYPERLINK("http://trademark.i-assist.jp/data/china/image_1920th/81460911.pdf","81460911")</f>
        <v>81460911</v>
      </c>
      <c r="F811" s="9" t="s">
        <v>2314</v>
      </c>
      <c r="G811" s="9" t="s">
        <v>2307</v>
      </c>
      <c r="H811" s="9" t="s">
        <v>2315</v>
      </c>
      <c r="I811" s="10">
        <v>45583</v>
      </c>
    </row>
    <row r="812" spans="1:9" x14ac:dyDescent="0.15">
      <c r="A812" s="9">
        <v>811</v>
      </c>
      <c r="B812" s="9" t="s">
        <v>9</v>
      </c>
      <c r="C812" s="9">
        <v>1920</v>
      </c>
      <c r="D812" s="10">
        <v>45677</v>
      </c>
      <c r="E812" s="13" t="str">
        <f>+HYPERLINK("http://trademark.i-assist.jp/data/china/image_1920th/81460949.pdf","81460949")</f>
        <v>81460949</v>
      </c>
      <c r="F812" s="9" t="s">
        <v>2316</v>
      </c>
      <c r="G812" s="12" t="s">
        <v>79</v>
      </c>
      <c r="H812" s="9" t="s">
        <v>2317</v>
      </c>
      <c r="I812" s="10">
        <v>45583</v>
      </c>
    </row>
    <row r="813" spans="1:9" x14ac:dyDescent="0.15">
      <c r="A813" s="9">
        <v>812</v>
      </c>
      <c r="B813" s="9" t="s">
        <v>9</v>
      </c>
      <c r="C813" s="9">
        <v>1920</v>
      </c>
      <c r="D813" s="10">
        <v>45677</v>
      </c>
      <c r="E813" s="13" t="str">
        <f>+HYPERLINK("http://trademark.i-assist.jp/data/china/image_1920th/81460972.pdf","81460972")</f>
        <v>81460972</v>
      </c>
      <c r="F813" s="9" t="s">
        <v>2318</v>
      </c>
      <c r="G813" s="9" t="s">
        <v>111</v>
      </c>
      <c r="H813" s="9" t="s">
        <v>2319</v>
      </c>
      <c r="I813" s="10">
        <v>45583</v>
      </c>
    </row>
    <row r="814" spans="1:9" x14ac:dyDescent="0.15">
      <c r="A814" s="9">
        <v>813</v>
      </c>
      <c r="B814" s="9" t="s">
        <v>9</v>
      </c>
      <c r="C814" s="9">
        <v>1920</v>
      </c>
      <c r="D814" s="10">
        <v>45677</v>
      </c>
      <c r="E814" s="13" t="str">
        <f>+HYPERLINK("http://trademark.i-assist.jp/data/china/image_1920th/81461099.pdf","81461099")</f>
        <v>81461099</v>
      </c>
      <c r="F814" s="12" t="s">
        <v>12</v>
      </c>
      <c r="G814" s="9" t="s">
        <v>2163</v>
      </c>
      <c r="H814" s="9" t="s">
        <v>2320</v>
      </c>
      <c r="I814" s="10">
        <v>45583</v>
      </c>
    </row>
    <row r="815" spans="1:9" x14ac:dyDescent="0.15">
      <c r="A815" s="9">
        <v>814</v>
      </c>
      <c r="B815" s="9" t="s">
        <v>9</v>
      </c>
      <c r="C815" s="9">
        <v>1920</v>
      </c>
      <c r="D815" s="10">
        <v>45677</v>
      </c>
      <c r="E815" s="13" t="str">
        <f>+HYPERLINK("http://trademark.i-assist.jp/data/china/image_1920th/81461722.pdf","81461722")</f>
        <v>81461722</v>
      </c>
      <c r="F815" s="9" t="s">
        <v>2321</v>
      </c>
      <c r="G815" s="12" t="s">
        <v>2322</v>
      </c>
      <c r="H815" s="9" t="s">
        <v>2323</v>
      </c>
      <c r="I815" s="10">
        <v>45583</v>
      </c>
    </row>
    <row r="816" spans="1:9" x14ac:dyDescent="0.15">
      <c r="A816" s="9">
        <v>815</v>
      </c>
      <c r="B816" s="9" t="s">
        <v>9</v>
      </c>
      <c r="C816" s="9">
        <v>1920</v>
      </c>
      <c r="D816" s="10">
        <v>45677</v>
      </c>
      <c r="E816" s="13" t="str">
        <f>+HYPERLINK("http://trademark.i-assist.jp/data/china/image_1920th/81462073.pdf","81462073")</f>
        <v>81462073</v>
      </c>
      <c r="F816" s="12" t="s">
        <v>2324</v>
      </c>
      <c r="G816" s="9" t="s">
        <v>2325</v>
      </c>
      <c r="H816" s="9" t="s">
        <v>2326</v>
      </c>
      <c r="I816" s="10">
        <v>45583</v>
      </c>
    </row>
    <row r="817" spans="1:9" x14ac:dyDescent="0.15">
      <c r="A817" s="9">
        <v>816</v>
      </c>
      <c r="B817" s="9" t="s">
        <v>9</v>
      </c>
      <c r="C817" s="9">
        <v>1920</v>
      </c>
      <c r="D817" s="10">
        <v>45677</v>
      </c>
      <c r="E817" s="13" t="str">
        <f>+HYPERLINK("http://trademark.i-assist.jp/data/china/image_1920th/81462840.pdf","81462840")</f>
        <v>81462840</v>
      </c>
      <c r="F817" s="9" t="s">
        <v>2327</v>
      </c>
      <c r="G817" s="9" t="s">
        <v>2194</v>
      </c>
      <c r="H817" s="9" t="s">
        <v>2328</v>
      </c>
      <c r="I817" s="10">
        <v>45583</v>
      </c>
    </row>
    <row r="818" spans="1:9" x14ac:dyDescent="0.15">
      <c r="A818" s="9">
        <v>817</v>
      </c>
      <c r="B818" s="9" t="s">
        <v>9</v>
      </c>
      <c r="C818" s="9">
        <v>1920</v>
      </c>
      <c r="D818" s="10">
        <v>45677</v>
      </c>
      <c r="E818" s="13" t="str">
        <f>+HYPERLINK("http://trademark.i-assist.jp/data/china/image_1920th/81462970.pdf","81462970")</f>
        <v>81462970</v>
      </c>
      <c r="F818" s="12" t="s">
        <v>2329</v>
      </c>
      <c r="G818" s="12" t="s">
        <v>2330</v>
      </c>
      <c r="H818" s="9" t="s">
        <v>2331</v>
      </c>
      <c r="I818" s="10">
        <v>45583</v>
      </c>
    </row>
    <row r="819" spans="1:9" x14ac:dyDescent="0.15">
      <c r="A819" s="9">
        <v>818</v>
      </c>
      <c r="B819" s="9" t="s">
        <v>9</v>
      </c>
      <c r="C819" s="9">
        <v>1920</v>
      </c>
      <c r="D819" s="10">
        <v>45677</v>
      </c>
      <c r="E819" s="13" t="str">
        <f>+HYPERLINK("http://trademark.i-assist.jp/data/china/image_1920th/81463705.pdf","81463705")</f>
        <v>81463705</v>
      </c>
      <c r="F819" s="9" t="s">
        <v>2332</v>
      </c>
      <c r="G819" s="9" t="s">
        <v>2333</v>
      </c>
      <c r="H819" s="9" t="s">
        <v>2334</v>
      </c>
      <c r="I819" s="10">
        <v>45583</v>
      </c>
    </row>
    <row r="820" spans="1:9" x14ac:dyDescent="0.15">
      <c r="A820" s="9">
        <v>819</v>
      </c>
      <c r="B820" s="9" t="s">
        <v>9</v>
      </c>
      <c r="C820" s="9">
        <v>1920</v>
      </c>
      <c r="D820" s="10">
        <v>45677</v>
      </c>
      <c r="E820" s="13" t="str">
        <f>+HYPERLINK("http://trademark.i-assist.jp/data/china/image_1920th/81464204.pdf","81464204")</f>
        <v>81464204</v>
      </c>
      <c r="F820" s="12" t="s">
        <v>2335</v>
      </c>
      <c r="G820" s="9" t="s">
        <v>2336</v>
      </c>
      <c r="H820" s="12" t="s">
        <v>2337</v>
      </c>
      <c r="I820" s="10">
        <v>45583</v>
      </c>
    </row>
    <row r="821" spans="1:9" x14ac:dyDescent="0.15">
      <c r="A821" s="9">
        <v>820</v>
      </c>
      <c r="B821" s="9" t="s">
        <v>9</v>
      </c>
      <c r="C821" s="9">
        <v>1920</v>
      </c>
      <c r="D821" s="10">
        <v>45677</v>
      </c>
      <c r="E821" s="13" t="str">
        <f>+HYPERLINK("http://trademark.i-assist.jp/data/china/image_1920th/81464630.pdf","81464630")</f>
        <v>81464630</v>
      </c>
      <c r="F821" s="9" t="s">
        <v>2338</v>
      </c>
      <c r="G821" s="9" t="s">
        <v>2339</v>
      </c>
      <c r="H821" s="9" t="s">
        <v>2340</v>
      </c>
      <c r="I821" s="10">
        <v>45583</v>
      </c>
    </row>
    <row r="822" spans="1:9" x14ac:dyDescent="0.15">
      <c r="A822" s="9">
        <v>821</v>
      </c>
      <c r="B822" s="9" t="s">
        <v>9</v>
      </c>
      <c r="C822" s="9">
        <v>1920</v>
      </c>
      <c r="D822" s="10">
        <v>45677</v>
      </c>
      <c r="E822" s="13" t="str">
        <f>+HYPERLINK("http://trademark.i-assist.jp/data/china/image_1920th/81465564.pdf","81465564")</f>
        <v>81465564</v>
      </c>
      <c r="F822" s="9" t="s">
        <v>2341</v>
      </c>
      <c r="G822" s="9" t="s">
        <v>2342</v>
      </c>
      <c r="H822" s="9" t="s">
        <v>2343</v>
      </c>
      <c r="I822" s="10">
        <v>45583</v>
      </c>
    </row>
    <row r="823" spans="1:9" x14ac:dyDescent="0.15">
      <c r="A823" s="9">
        <v>822</v>
      </c>
      <c r="B823" s="9" t="s">
        <v>9</v>
      </c>
      <c r="C823" s="9">
        <v>1920</v>
      </c>
      <c r="D823" s="10">
        <v>45677</v>
      </c>
      <c r="E823" s="13" t="str">
        <f>+HYPERLINK("http://trademark.i-assist.jp/data/china/image_1920th/81465606.pdf","81465606")</f>
        <v>81465606</v>
      </c>
      <c r="F823" s="12" t="s">
        <v>2344</v>
      </c>
      <c r="G823" s="9" t="s">
        <v>2345</v>
      </c>
      <c r="H823" s="9" t="s">
        <v>2346</v>
      </c>
      <c r="I823" s="10">
        <v>45583</v>
      </c>
    </row>
    <row r="824" spans="1:9" x14ac:dyDescent="0.15">
      <c r="A824" s="9">
        <v>823</v>
      </c>
      <c r="B824" s="9" t="s">
        <v>9</v>
      </c>
      <c r="C824" s="9">
        <v>1920</v>
      </c>
      <c r="D824" s="10">
        <v>45677</v>
      </c>
      <c r="E824" s="13" t="str">
        <f>+HYPERLINK("http://trademark.i-assist.jp/data/china/image_1920th/81466102.pdf","81466102")</f>
        <v>81466102</v>
      </c>
      <c r="F824" s="9" t="s">
        <v>2347</v>
      </c>
      <c r="G824" s="9" t="s">
        <v>2348</v>
      </c>
      <c r="H824" s="9" t="s">
        <v>2349</v>
      </c>
      <c r="I824" s="10">
        <v>45583</v>
      </c>
    </row>
    <row r="825" spans="1:9" x14ac:dyDescent="0.15">
      <c r="A825" s="9">
        <v>824</v>
      </c>
      <c r="B825" s="9" t="s">
        <v>9</v>
      </c>
      <c r="C825" s="9">
        <v>1920</v>
      </c>
      <c r="D825" s="10">
        <v>45677</v>
      </c>
      <c r="E825" s="13" t="str">
        <f>+HYPERLINK("http://trademark.i-assist.jp/data/china/image_1920th/81466602.pdf","81466602")</f>
        <v>81466602</v>
      </c>
      <c r="F825" s="12" t="s">
        <v>2350</v>
      </c>
      <c r="G825" s="9" t="s">
        <v>2351</v>
      </c>
      <c r="H825" s="9" t="s">
        <v>2352</v>
      </c>
      <c r="I825" s="10">
        <v>45583</v>
      </c>
    </row>
    <row r="826" spans="1:9" x14ac:dyDescent="0.15">
      <c r="A826" s="9">
        <v>825</v>
      </c>
      <c r="B826" s="9" t="s">
        <v>9</v>
      </c>
      <c r="C826" s="9">
        <v>1920</v>
      </c>
      <c r="D826" s="10">
        <v>45677</v>
      </c>
      <c r="E826" s="13" t="str">
        <f>+HYPERLINK("http://trademark.i-assist.jp/data/china/image_1920th/81466813.pdf","81466813")</f>
        <v>81466813</v>
      </c>
      <c r="F826" s="9" t="s">
        <v>2353</v>
      </c>
      <c r="G826" s="9" t="s">
        <v>2354</v>
      </c>
      <c r="H826" s="9" t="s">
        <v>2355</v>
      </c>
      <c r="I826" s="10">
        <v>45583</v>
      </c>
    </row>
    <row r="827" spans="1:9" x14ac:dyDescent="0.15">
      <c r="A827" s="9">
        <v>826</v>
      </c>
      <c r="B827" s="9" t="s">
        <v>9</v>
      </c>
      <c r="C827" s="9">
        <v>1920</v>
      </c>
      <c r="D827" s="10">
        <v>45677</v>
      </c>
      <c r="E827" s="13" t="str">
        <f>+HYPERLINK("http://trademark.i-assist.jp/data/china/image_1920th/81467025.pdf","81467025")</f>
        <v>81467025</v>
      </c>
      <c r="F827" s="12" t="s">
        <v>2356</v>
      </c>
      <c r="G827" s="12" t="s">
        <v>2357</v>
      </c>
      <c r="H827" s="9" t="s">
        <v>2358</v>
      </c>
      <c r="I827" s="10">
        <v>45583</v>
      </c>
    </row>
    <row r="828" spans="1:9" x14ac:dyDescent="0.15">
      <c r="A828" s="9">
        <v>827</v>
      </c>
      <c r="B828" s="9" t="s">
        <v>9</v>
      </c>
      <c r="C828" s="9">
        <v>1920</v>
      </c>
      <c r="D828" s="10">
        <v>45677</v>
      </c>
      <c r="E828" s="13" t="str">
        <f>+HYPERLINK("http://trademark.i-assist.jp/data/china/image_1920th/81467041.pdf","81467041")</f>
        <v>81467041</v>
      </c>
      <c r="F828" s="9" t="s">
        <v>2359</v>
      </c>
      <c r="G828" s="9" t="s">
        <v>2307</v>
      </c>
      <c r="H828" s="9" t="s">
        <v>2360</v>
      </c>
      <c r="I828" s="10">
        <v>45583</v>
      </c>
    </row>
    <row r="829" spans="1:9" x14ac:dyDescent="0.15">
      <c r="A829" s="9">
        <v>828</v>
      </c>
      <c r="B829" s="9" t="s">
        <v>9</v>
      </c>
      <c r="C829" s="9">
        <v>1920</v>
      </c>
      <c r="D829" s="10">
        <v>45677</v>
      </c>
      <c r="E829" s="13" t="str">
        <f>+HYPERLINK("http://trademark.i-assist.jp/data/china/image_1920th/81467628.pdf","81467628")</f>
        <v>81467628</v>
      </c>
      <c r="F829" s="12" t="s">
        <v>2361</v>
      </c>
      <c r="G829" s="9" t="s">
        <v>2362</v>
      </c>
      <c r="H829" s="9" t="s">
        <v>2363</v>
      </c>
      <c r="I829" s="10">
        <v>45583</v>
      </c>
    </row>
    <row r="830" spans="1:9" x14ac:dyDescent="0.15">
      <c r="A830" s="9">
        <v>829</v>
      </c>
      <c r="B830" s="9" t="s">
        <v>9</v>
      </c>
      <c r="C830" s="9">
        <v>1920</v>
      </c>
      <c r="D830" s="10">
        <v>45677</v>
      </c>
      <c r="E830" s="13" t="str">
        <f>+HYPERLINK("http://trademark.i-assist.jp/data/china/image_1920th/81468005.pdf","81468005")</f>
        <v>81468005</v>
      </c>
      <c r="F830" s="9" t="s">
        <v>2364</v>
      </c>
      <c r="G830" s="9" t="s">
        <v>1941</v>
      </c>
      <c r="H830" s="9" t="s">
        <v>2365</v>
      </c>
      <c r="I830" s="10">
        <v>45583</v>
      </c>
    </row>
    <row r="831" spans="1:9" x14ac:dyDescent="0.15">
      <c r="A831" s="9">
        <v>830</v>
      </c>
      <c r="B831" s="9" t="s">
        <v>9</v>
      </c>
      <c r="C831" s="9">
        <v>1920</v>
      </c>
      <c r="D831" s="10">
        <v>45677</v>
      </c>
      <c r="E831" s="13" t="str">
        <f>+HYPERLINK("http://trademark.i-assist.jp/data/china/image_1920th/81468290.pdf","81468290")</f>
        <v>81468290</v>
      </c>
      <c r="F831" s="12" t="s">
        <v>2366</v>
      </c>
      <c r="G831" s="12" t="s">
        <v>2187</v>
      </c>
      <c r="H831" s="9" t="s">
        <v>2367</v>
      </c>
      <c r="I831" s="10">
        <v>45583</v>
      </c>
    </row>
    <row r="832" spans="1:9" x14ac:dyDescent="0.15">
      <c r="A832" s="9">
        <v>831</v>
      </c>
      <c r="B832" s="9" t="s">
        <v>9</v>
      </c>
      <c r="C832" s="9">
        <v>1920</v>
      </c>
      <c r="D832" s="10">
        <v>45677</v>
      </c>
      <c r="E832" s="13" t="str">
        <f>+HYPERLINK("http://trademark.i-assist.jp/data/china/image_1920th/81468578.pdf","81468578")</f>
        <v>81468578</v>
      </c>
      <c r="F832" s="9" t="s">
        <v>2368</v>
      </c>
      <c r="G832" s="9" t="s">
        <v>43</v>
      </c>
      <c r="H832" s="9" t="s">
        <v>2369</v>
      </c>
      <c r="I832" s="10">
        <v>45583</v>
      </c>
    </row>
    <row r="833" spans="1:9" x14ac:dyDescent="0.15">
      <c r="A833" s="9">
        <v>832</v>
      </c>
      <c r="B833" s="9" t="s">
        <v>9</v>
      </c>
      <c r="C833" s="9">
        <v>1920</v>
      </c>
      <c r="D833" s="10">
        <v>45677</v>
      </c>
      <c r="E833" s="13" t="str">
        <f>+HYPERLINK("http://trademark.i-assist.jp/data/china/image_1920th/81468611.pdf","81468611")</f>
        <v>81468611</v>
      </c>
      <c r="F833" s="12" t="s">
        <v>2370</v>
      </c>
      <c r="G833" s="9" t="s">
        <v>2371</v>
      </c>
      <c r="H833" s="9" t="s">
        <v>2372</v>
      </c>
      <c r="I833" s="10">
        <v>45583</v>
      </c>
    </row>
    <row r="834" spans="1:9" x14ac:dyDescent="0.15">
      <c r="A834" s="9">
        <v>833</v>
      </c>
      <c r="B834" s="9" t="s">
        <v>9</v>
      </c>
      <c r="C834" s="9">
        <v>1920</v>
      </c>
      <c r="D834" s="10">
        <v>45677</v>
      </c>
      <c r="E834" s="13" t="str">
        <f>+HYPERLINK("http://trademark.i-assist.jp/data/china/image_1920th/81469221.pdf","81469221")</f>
        <v>81469221</v>
      </c>
      <c r="F834" s="12" t="s">
        <v>12</v>
      </c>
      <c r="G834" s="9" t="s">
        <v>2281</v>
      </c>
      <c r="H834" s="9" t="s">
        <v>2373</v>
      </c>
      <c r="I834" s="10">
        <v>45583</v>
      </c>
    </row>
    <row r="835" spans="1:9" x14ac:dyDescent="0.15">
      <c r="A835" s="9">
        <v>834</v>
      </c>
      <c r="B835" s="9" t="s">
        <v>9</v>
      </c>
      <c r="C835" s="9">
        <v>1920</v>
      </c>
      <c r="D835" s="10">
        <v>45677</v>
      </c>
      <c r="E835" s="13" t="str">
        <f>+HYPERLINK("http://trademark.i-assist.jp/data/china/image_1920th/81469287.pdf","81469287")</f>
        <v>81469287</v>
      </c>
      <c r="F835" s="9" t="s">
        <v>2374</v>
      </c>
      <c r="G835" s="9" t="s">
        <v>2375</v>
      </c>
      <c r="H835" s="9" t="s">
        <v>2376</v>
      </c>
      <c r="I835" s="10">
        <v>45583</v>
      </c>
    </row>
    <row r="836" spans="1:9" x14ac:dyDescent="0.15">
      <c r="A836" s="9">
        <v>835</v>
      </c>
      <c r="B836" s="9" t="s">
        <v>9</v>
      </c>
      <c r="C836" s="9">
        <v>1920</v>
      </c>
      <c r="D836" s="10">
        <v>45677</v>
      </c>
      <c r="E836" s="13" t="str">
        <f>+HYPERLINK("http://trademark.i-assist.jp/data/china/image_1920th/81469387.pdf","81469387")</f>
        <v>81469387</v>
      </c>
      <c r="F836" s="9" t="s">
        <v>2377</v>
      </c>
      <c r="G836" s="9" t="s">
        <v>2378</v>
      </c>
      <c r="H836" s="12" t="s">
        <v>2379</v>
      </c>
      <c r="I836" s="10">
        <v>45583</v>
      </c>
    </row>
    <row r="837" spans="1:9" x14ac:dyDescent="0.15">
      <c r="A837" s="9">
        <v>836</v>
      </c>
      <c r="B837" s="9" t="s">
        <v>9</v>
      </c>
      <c r="C837" s="9">
        <v>1920</v>
      </c>
      <c r="D837" s="10">
        <v>45677</v>
      </c>
      <c r="E837" s="13" t="str">
        <f>+HYPERLINK("http://trademark.i-assist.jp/data/china/image_1920th/81469498.pdf","81469498")</f>
        <v>81469498</v>
      </c>
      <c r="F837" s="9" t="s">
        <v>2380</v>
      </c>
      <c r="G837" s="9" t="s">
        <v>2381</v>
      </c>
      <c r="H837" s="12" t="s">
        <v>2382</v>
      </c>
      <c r="I837" s="10">
        <v>45583</v>
      </c>
    </row>
    <row r="838" spans="1:9" x14ac:dyDescent="0.15">
      <c r="A838" s="9">
        <v>837</v>
      </c>
      <c r="B838" s="9" t="s">
        <v>9</v>
      </c>
      <c r="C838" s="9">
        <v>1920</v>
      </c>
      <c r="D838" s="10">
        <v>45677</v>
      </c>
      <c r="E838" s="13" t="str">
        <f>+HYPERLINK("http://trademark.i-assist.jp/data/china/image_1920th/81469604.pdf","81469604")</f>
        <v>81469604</v>
      </c>
      <c r="F838" s="12" t="s">
        <v>106</v>
      </c>
      <c r="G838" s="9" t="s">
        <v>107</v>
      </c>
      <c r="H838" s="9" t="s">
        <v>2383</v>
      </c>
      <c r="I838" s="10">
        <v>45583</v>
      </c>
    </row>
    <row r="839" spans="1:9" x14ac:dyDescent="0.15">
      <c r="A839" s="9">
        <v>838</v>
      </c>
      <c r="B839" s="9" t="s">
        <v>9</v>
      </c>
      <c r="C839" s="9">
        <v>1920</v>
      </c>
      <c r="D839" s="10">
        <v>45677</v>
      </c>
      <c r="E839" s="13" t="str">
        <f>+HYPERLINK("http://trademark.i-assist.jp/data/china/image_1920th/81469721.pdf","81469721")</f>
        <v>81469721</v>
      </c>
      <c r="F839" s="12" t="s">
        <v>2384</v>
      </c>
      <c r="G839" s="9" t="s">
        <v>2385</v>
      </c>
      <c r="H839" s="9" t="s">
        <v>2386</v>
      </c>
      <c r="I839" s="10">
        <v>45583</v>
      </c>
    </row>
    <row r="840" spans="1:9" x14ac:dyDescent="0.15">
      <c r="A840" s="9">
        <v>839</v>
      </c>
      <c r="B840" s="9" t="s">
        <v>9</v>
      </c>
      <c r="C840" s="9">
        <v>1920</v>
      </c>
      <c r="D840" s="10">
        <v>45677</v>
      </c>
      <c r="E840" s="13" t="str">
        <f>+HYPERLINK("http://trademark.i-assist.jp/data/china/image_1920th/81469984.pdf","81469984")</f>
        <v>81469984</v>
      </c>
      <c r="F840" s="9" t="s">
        <v>2387</v>
      </c>
      <c r="G840" s="9" t="s">
        <v>2388</v>
      </c>
      <c r="H840" s="9" t="s">
        <v>2389</v>
      </c>
      <c r="I840" s="10">
        <v>45583</v>
      </c>
    </row>
    <row r="841" spans="1:9" x14ac:dyDescent="0.15">
      <c r="A841" s="9">
        <v>840</v>
      </c>
      <c r="B841" s="9" t="s">
        <v>9</v>
      </c>
      <c r="C841" s="9">
        <v>1920</v>
      </c>
      <c r="D841" s="10">
        <v>45677</v>
      </c>
      <c r="E841" s="13" t="str">
        <f>+HYPERLINK("http://trademark.i-assist.jp/data/china/image_1920th/81470020.pdf","81470020")</f>
        <v>81470020</v>
      </c>
      <c r="F841" s="9" t="s">
        <v>2390</v>
      </c>
      <c r="G841" s="9" t="s">
        <v>2391</v>
      </c>
      <c r="H841" s="9" t="s">
        <v>2392</v>
      </c>
      <c r="I841" s="10">
        <v>45583</v>
      </c>
    </row>
    <row r="842" spans="1:9" x14ac:dyDescent="0.15">
      <c r="A842" s="9">
        <v>841</v>
      </c>
      <c r="B842" s="9" t="s">
        <v>9</v>
      </c>
      <c r="C842" s="9">
        <v>1920</v>
      </c>
      <c r="D842" s="10">
        <v>45677</v>
      </c>
      <c r="E842" s="13" t="str">
        <f>+HYPERLINK("http://trademark.i-assist.jp/data/china/image_1920th/81470208.pdf","81470208")</f>
        <v>81470208</v>
      </c>
      <c r="F842" s="9" t="s">
        <v>2393</v>
      </c>
      <c r="G842" s="12" t="s">
        <v>79</v>
      </c>
      <c r="H842" s="9" t="s">
        <v>2394</v>
      </c>
      <c r="I842" s="10">
        <v>45583</v>
      </c>
    </row>
    <row r="843" spans="1:9" x14ac:dyDescent="0.15">
      <c r="A843" s="9">
        <v>842</v>
      </c>
      <c r="B843" s="9" t="s">
        <v>9</v>
      </c>
      <c r="C843" s="9">
        <v>1920</v>
      </c>
      <c r="D843" s="10">
        <v>45677</v>
      </c>
      <c r="E843" s="13" t="str">
        <f>+HYPERLINK("http://trademark.i-assist.jp/data/china/image_1920th/81470603.pdf","81470603")</f>
        <v>81470603</v>
      </c>
      <c r="F843" s="9" t="s">
        <v>2395</v>
      </c>
      <c r="G843" s="9" t="s">
        <v>2396</v>
      </c>
      <c r="H843" s="9" t="s">
        <v>2397</v>
      </c>
      <c r="I843" s="10">
        <v>45583</v>
      </c>
    </row>
    <row r="844" spans="1:9" x14ac:dyDescent="0.15">
      <c r="A844" s="9">
        <v>843</v>
      </c>
      <c r="B844" s="9" t="s">
        <v>9</v>
      </c>
      <c r="C844" s="9">
        <v>1920</v>
      </c>
      <c r="D844" s="10">
        <v>45677</v>
      </c>
      <c r="E844" s="13" t="str">
        <f>+HYPERLINK("http://trademark.i-assist.jp/data/china/image_1920th/81470672.pdf","81470672")</f>
        <v>81470672</v>
      </c>
      <c r="F844" s="12" t="s">
        <v>2398</v>
      </c>
      <c r="G844" s="9" t="s">
        <v>2399</v>
      </c>
      <c r="H844" s="9" t="s">
        <v>2400</v>
      </c>
      <c r="I844" s="10">
        <v>45583</v>
      </c>
    </row>
    <row r="845" spans="1:9" x14ac:dyDescent="0.15">
      <c r="A845" s="9">
        <v>844</v>
      </c>
      <c r="B845" s="9" t="s">
        <v>9</v>
      </c>
      <c r="C845" s="9">
        <v>1920</v>
      </c>
      <c r="D845" s="10">
        <v>45677</v>
      </c>
      <c r="E845" s="13" t="str">
        <f>+HYPERLINK("http://trademark.i-assist.jp/data/china/image_1920th/81471128.pdf","81471128")</f>
        <v>81471128</v>
      </c>
      <c r="F845" s="12" t="s">
        <v>2401</v>
      </c>
      <c r="G845" s="12" t="s">
        <v>2402</v>
      </c>
      <c r="H845" s="9" t="s">
        <v>2403</v>
      </c>
      <c r="I845" s="10">
        <v>45583</v>
      </c>
    </row>
    <row r="846" spans="1:9" x14ac:dyDescent="0.15">
      <c r="A846" s="9">
        <v>845</v>
      </c>
      <c r="B846" s="9" t="s">
        <v>9</v>
      </c>
      <c r="C846" s="9">
        <v>1920</v>
      </c>
      <c r="D846" s="10">
        <v>45677</v>
      </c>
      <c r="E846" s="13" t="str">
        <f>+HYPERLINK("http://trademark.i-assist.jp/data/china/image_1920th/81471224.pdf","81471224")</f>
        <v>81471224</v>
      </c>
      <c r="F846" s="9" t="s">
        <v>2404</v>
      </c>
      <c r="G846" s="9" t="s">
        <v>2405</v>
      </c>
      <c r="H846" s="9" t="s">
        <v>2406</v>
      </c>
      <c r="I846" s="10">
        <v>45583</v>
      </c>
    </row>
    <row r="847" spans="1:9" x14ac:dyDescent="0.15">
      <c r="A847" s="9">
        <v>846</v>
      </c>
      <c r="B847" s="9" t="s">
        <v>9</v>
      </c>
      <c r="C847" s="9">
        <v>1920</v>
      </c>
      <c r="D847" s="10">
        <v>45677</v>
      </c>
      <c r="E847" s="13" t="str">
        <f>+HYPERLINK("http://trademark.i-assist.jp/data/china/image_1920th/81471265.pdf","81471265")</f>
        <v>81471265</v>
      </c>
      <c r="F847" s="9" t="s">
        <v>2407</v>
      </c>
      <c r="G847" s="12" t="s">
        <v>2408</v>
      </c>
      <c r="H847" s="9" t="s">
        <v>2409</v>
      </c>
      <c r="I847" s="10">
        <v>45583</v>
      </c>
    </row>
    <row r="848" spans="1:9" x14ac:dyDescent="0.15">
      <c r="A848" s="9">
        <v>847</v>
      </c>
      <c r="B848" s="9" t="s">
        <v>9</v>
      </c>
      <c r="C848" s="9">
        <v>1920</v>
      </c>
      <c r="D848" s="10">
        <v>45677</v>
      </c>
      <c r="E848" s="13" t="str">
        <f>+HYPERLINK("http://trademark.i-assist.jp/data/china/image_1920th/81471544.pdf","81471544")</f>
        <v>81471544</v>
      </c>
      <c r="F848" s="9" t="s">
        <v>2410</v>
      </c>
      <c r="G848" s="9" t="s">
        <v>2411</v>
      </c>
      <c r="H848" s="9" t="s">
        <v>2412</v>
      </c>
      <c r="I848" s="10">
        <v>45583</v>
      </c>
    </row>
    <row r="849" spans="1:9" x14ac:dyDescent="0.15">
      <c r="A849" s="9">
        <v>848</v>
      </c>
      <c r="B849" s="9" t="s">
        <v>9</v>
      </c>
      <c r="C849" s="9">
        <v>1920</v>
      </c>
      <c r="D849" s="10">
        <v>45677</v>
      </c>
      <c r="E849" s="13" t="str">
        <f>+HYPERLINK("http://trademark.i-assist.jp/data/china/image_1920th/81471838.pdf","81471838")</f>
        <v>81471838</v>
      </c>
      <c r="F849" s="9" t="s">
        <v>2413</v>
      </c>
      <c r="G849" s="9" t="s">
        <v>2414</v>
      </c>
      <c r="H849" s="9" t="s">
        <v>2415</v>
      </c>
      <c r="I849" s="10">
        <v>45583</v>
      </c>
    </row>
    <row r="850" spans="1:9" x14ac:dyDescent="0.15">
      <c r="A850" s="9">
        <v>849</v>
      </c>
      <c r="B850" s="9" t="s">
        <v>9</v>
      </c>
      <c r="C850" s="9">
        <v>1920</v>
      </c>
      <c r="D850" s="10">
        <v>45677</v>
      </c>
      <c r="E850" s="13" t="str">
        <f>+HYPERLINK("http://trademark.i-assist.jp/data/china/image_1920th/81472030.pdf","81472030")</f>
        <v>81472030</v>
      </c>
      <c r="F850" s="12" t="s">
        <v>2416</v>
      </c>
      <c r="G850" s="9" t="s">
        <v>2417</v>
      </c>
      <c r="H850" s="9" t="s">
        <v>2418</v>
      </c>
      <c r="I850" s="10">
        <v>45583</v>
      </c>
    </row>
    <row r="851" spans="1:9" x14ac:dyDescent="0.15">
      <c r="A851" s="9">
        <v>850</v>
      </c>
      <c r="B851" s="9" t="s">
        <v>9</v>
      </c>
      <c r="C851" s="9">
        <v>1920</v>
      </c>
      <c r="D851" s="10">
        <v>45677</v>
      </c>
      <c r="E851" s="13" t="str">
        <f>+HYPERLINK("http://trademark.i-assist.jp/data/china/image_1920th/81472273.pdf","81472273")</f>
        <v>81472273</v>
      </c>
      <c r="F851" s="12" t="s">
        <v>12</v>
      </c>
      <c r="G851" s="9" t="s">
        <v>2281</v>
      </c>
      <c r="H851" s="9" t="s">
        <v>2419</v>
      </c>
      <c r="I851" s="10">
        <v>45583</v>
      </c>
    </row>
    <row r="852" spans="1:9" x14ac:dyDescent="0.15">
      <c r="A852" s="9">
        <v>851</v>
      </c>
      <c r="B852" s="9" t="s">
        <v>9</v>
      </c>
      <c r="C852" s="9">
        <v>1920</v>
      </c>
      <c r="D852" s="10">
        <v>45677</v>
      </c>
      <c r="E852" s="13" t="str">
        <f>+HYPERLINK("http://trademark.i-assist.jp/data/china/image_1920th/81472751.pdf","81472751")</f>
        <v>81472751</v>
      </c>
      <c r="F852" s="9" t="s">
        <v>2420</v>
      </c>
      <c r="G852" s="9" t="s">
        <v>2421</v>
      </c>
      <c r="H852" s="9" t="s">
        <v>2422</v>
      </c>
      <c r="I852" s="10">
        <v>45583</v>
      </c>
    </row>
    <row r="853" spans="1:9" x14ac:dyDescent="0.15">
      <c r="A853" s="9">
        <v>852</v>
      </c>
      <c r="B853" s="9" t="s">
        <v>9</v>
      </c>
      <c r="C853" s="9">
        <v>1920</v>
      </c>
      <c r="D853" s="10">
        <v>45677</v>
      </c>
      <c r="E853" s="13" t="str">
        <f>+HYPERLINK("http://trademark.i-assist.jp/data/china/image_1920th/81473045.pdf","81473045")</f>
        <v>81473045</v>
      </c>
      <c r="F853" s="12" t="s">
        <v>12</v>
      </c>
      <c r="G853" s="9" t="s">
        <v>2423</v>
      </c>
      <c r="H853" s="9" t="s">
        <v>2424</v>
      </c>
      <c r="I853" s="10">
        <v>45583</v>
      </c>
    </row>
    <row r="854" spans="1:9" x14ac:dyDescent="0.15">
      <c r="A854" s="9">
        <v>853</v>
      </c>
      <c r="B854" s="9" t="s">
        <v>9</v>
      </c>
      <c r="C854" s="9">
        <v>1920</v>
      </c>
      <c r="D854" s="10">
        <v>45677</v>
      </c>
      <c r="E854" s="13" t="str">
        <f>+HYPERLINK("http://trademark.i-assist.jp/data/china/image_1920th/81473333.pdf","81473333")</f>
        <v>81473333</v>
      </c>
      <c r="F854" s="9" t="s">
        <v>2425</v>
      </c>
      <c r="G854" s="9" t="s">
        <v>2426</v>
      </c>
      <c r="H854" s="9" t="s">
        <v>2427</v>
      </c>
      <c r="I854" s="10">
        <v>45582</v>
      </c>
    </row>
    <row r="855" spans="1:9" x14ac:dyDescent="0.15">
      <c r="A855" s="9">
        <v>854</v>
      </c>
      <c r="B855" s="9" t="s">
        <v>9</v>
      </c>
      <c r="C855" s="9">
        <v>1920</v>
      </c>
      <c r="D855" s="10">
        <v>45677</v>
      </c>
      <c r="E855" s="13" t="str">
        <f>+HYPERLINK("http://trademark.i-assist.jp/data/china/image_1920th/81474262.pdf","81474262")</f>
        <v>81474262</v>
      </c>
      <c r="F855" s="9" t="s">
        <v>2428</v>
      </c>
      <c r="G855" s="9" t="s">
        <v>2429</v>
      </c>
      <c r="H855" s="9" t="s">
        <v>2430</v>
      </c>
      <c r="I855" s="10">
        <v>45583</v>
      </c>
    </row>
    <row r="856" spans="1:9" x14ac:dyDescent="0.15">
      <c r="A856" s="9">
        <v>855</v>
      </c>
      <c r="B856" s="9" t="s">
        <v>9</v>
      </c>
      <c r="C856" s="9">
        <v>1920</v>
      </c>
      <c r="D856" s="10">
        <v>45677</v>
      </c>
      <c r="E856" s="13" t="str">
        <f>+HYPERLINK("http://trademark.i-assist.jp/data/china/image_1920th/81474307.pdf","81474307")</f>
        <v>81474307</v>
      </c>
      <c r="F856" s="9" t="s">
        <v>2431</v>
      </c>
      <c r="G856" s="9" t="s">
        <v>2432</v>
      </c>
      <c r="H856" s="9" t="s">
        <v>2433</v>
      </c>
      <c r="I856" s="10">
        <v>45583</v>
      </c>
    </row>
    <row r="857" spans="1:9" x14ac:dyDescent="0.15">
      <c r="A857" s="9">
        <v>856</v>
      </c>
      <c r="B857" s="9" t="s">
        <v>9</v>
      </c>
      <c r="C857" s="9">
        <v>1920</v>
      </c>
      <c r="D857" s="10">
        <v>45677</v>
      </c>
      <c r="E857" s="13" t="str">
        <f>+HYPERLINK("http://trademark.i-assist.jp/data/china/image_1920th/81474394.pdf","81474394")</f>
        <v>81474394</v>
      </c>
      <c r="F857" s="9" t="s">
        <v>2434</v>
      </c>
      <c r="G857" s="12" t="s">
        <v>110</v>
      </c>
      <c r="H857" s="12" t="s">
        <v>2435</v>
      </c>
      <c r="I857" s="10">
        <v>45583</v>
      </c>
    </row>
    <row r="858" spans="1:9" x14ac:dyDescent="0.15">
      <c r="A858" s="9">
        <v>857</v>
      </c>
      <c r="B858" s="9" t="s">
        <v>9</v>
      </c>
      <c r="C858" s="9">
        <v>1920</v>
      </c>
      <c r="D858" s="10">
        <v>45677</v>
      </c>
      <c r="E858" s="13" t="str">
        <f>+HYPERLINK("http://trademark.i-assist.jp/data/china/image_1920th/81474543.pdf","81474543")</f>
        <v>81474543</v>
      </c>
      <c r="F858" s="9" t="s">
        <v>2436</v>
      </c>
      <c r="G858" s="9" t="s">
        <v>2108</v>
      </c>
      <c r="H858" s="9" t="s">
        <v>2437</v>
      </c>
      <c r="I858" s="10">
        <v>45582</v>
      </c>
    </row>
    <row r="859" spans="1:9" x14ac:dyDescent="0.15">
      <c r="A859" s="9">
        <v>858</v>
      </c>
      <c r="B859" s="9" t="s">
        <v>9</v>
      </c>
      <c r="C859" s="9">
        <v>1920</v>
      </c>
      <c r="D859" s="10">
        <v>45677</v>
      </c>
      <c r="E859" s="13" t="str">
        <f>+HYPERLINK("http://trademark.i-assist.jp/data/china/image_1920th/81474545.pdf","81474545")</f>
        <v>81474545</v>
      </c>
      <c r="F859" s="9" t="s">
        <v>2438</v>
      </c>
      <c r="G859" s="9" t="s">
        <v>2439</v>
      </c>
      <c r="H859" s="9" t="s">
        <v>2440</v>
      </c>
      <c r="I859" s="10">
        <v>45582</v>
      </c>
    </row>
    <row r="860" spans="1:9" x14ac:dyDescent="0.15">
      <c r="A860" s="9">
        <v>859</v>
      </c>
      <c r="B860" s="9" t="s">
        <v>9</v>
      </c>
      <c r="C860" s="9">
        <v>1920</v>
      </c>
      <c r="D860" s="10">
        <v>45677</v>
      </c>
      <c r="E860" s="13" t="str">
        <f>+HYPERLINK("http://trademark.i-assist.jp/data/china/image_1920th/81474787.pdf","81474787")</f>
        <v>81474787</v>
      </c>
      <c r="F860" s="9" t="s">
        <v>2441</v>
      </c>
      <c r="G860" s="9" t="s">
        <v>2442</v>
      </c>
      <c r="H860" s="12" t="s">
        <v>2443</v>
      </c>
      <c r="I860" s="10">
        <v>45583</v>
      </c>
    </row>
    <row r="861" spans="1:9" x14ac:dyDescent="0.15">
      <c r="A861" s="9">
        <v>860</v>
      </c>
      <c r="B861" s="9" t="s">
        <v>9</v>
      </c>
      <c r="C861" s="9">
        <v>1920</v>
      </c>
      <c r="D861" s="10">
        <v>45677</v>
      </c>
      <c r="E861" s="13" t="str">
        <f>+HYPERLINK("http://trademark.i-assist.jp/data/china/image_1920th/81474994.pdf","81474994")</f>
        <v>81474994</v>
      </c>
      <c r="F861" s="12" t="s">
        <v>2444</v>
      </c>
      <c r="G861" s="9" t="s">
        <v>2445</v>
      </c>
      <c r="H861" s="9" t="s">
        <v>2446</v>
      </c>
      <c r="I861" s="10">
        <v>45583</v>
      </c>
    </row>
    <row r="862" spans="1:9" x14ac:dyDescent="0.15">
      <c r="A862" s="9">
        <v>861</v>
      </c>
      <c r="B862" s="9" t="s">
        <v>9</v>
      </c>
      <c r="C862" s="9">
        <v>1920</v>
      </c>
      <c r="D862" s="10">
        <v>45677</v>
      </c>
      <c r="E862" s="13" t="str">
        <f>+HYPERLINK("http://trademark.i-assist.jp/data/china/image_1920th/81475011.pdf","81475011")</f>
        <v>81475011</v>
      </c>
      <c r="F862" s="9" t="s">
        <v>2447</v>
      </c>
      <c r="G862" s="9" t="s">
        <v>2448</v>
      </c>
      <c r="H862" s="9" t="s">
        <v>2449</v>
      </c>
      <c r="I862" s="10">
        <v>45583</v>
      </c>
    </row>
    <row r="863" spans="1:9" x14ac:dyDescent="0.15">
      <c r="A863" s="9">
        <v>862</v>
      </c>
      <c r="B863" s="9" t="s">
        <v>9</v>
      </c>
      <c r="C863" s="9">
        <v>1920</v>
      </c>
      <c r="D863" s="10">
        <v>45677</v>
      </c>
      <c r="E863" s="13" t="str">
        <f>+HYPERLINK("http://trademark.i-assist.jp/data/china/image_1920th/81475930.pdf","81475930")</f>
        <v>81475930</v>
      </c>
      <c r="F863" s="12" t="s">
        <v>2450</v>
      </c>
      <c r="G863" s="9" t="s">
        <v>2451</v>
      </c>
      <c r="H863" s="9" t="s">
        <v>2452</v>
      </c>
      <c r="I863" s="10">
        <v>45583</v>
      </c>
    </row>
    <row r="864" spans="1:9" x14ac:dyDescent="0.15">
      <c r="A864" s="9">
        <v>863</v>
      </c>
      <c r="B864" s="9" t="s">
        <v>9</v>
      </c>
      <c r="C864" s="9">
        <v>1920</v>
      </c>
      <c r="D864" s="10">
        <v>45677</v>
      </c>
      <c r="E864" s="13" t="str">
        <f>+HYPERLINK("http://trademark.i-assist.jp/data/china/image_1920th/81476136.pdf","81476136")</f>
        <v>81476136</v>
      </c>
      <c r="F864" s="12" t="s">
        <v>2453</v>
      </c>
      <c r="G864" s="9" t="s">
        <v>115</v>
      </c>
      <c r="H864" s="9" t="s">
        <v>2454</v>
      </c>
      <c r="I864" s="10">
        <v>45584</v>
      </c>
    </row>
    <row r="865" spans="1:9" x14ac:dyDescent="0.15">
      <c r="A865" s="9">
        <v>864</v>
      </c>
      <c r="B865" s="9" t="s">
        <v>9</v>
      </c>
      <c r="C865" s="9">
        <v>1920</v>
      </c>
      <c r="D865" s="10">
        <v>45677</v>
      </c>
      <c r="E865" s="13" t="str">
        <f>+HYPERLINK("http://trademark.i-assist.jp/data/china/image_1920th/81476187.pdf","81476187")</f>
        <v>81476187</v>
      </c>
      <c r="F865" s="9" t="s">
        <v>2455</v>
      </c>
      <c r="G865" s="9" t="s">
        <v>2456</v>
      </c>
      <c r="H865" s="9" t="s">
        <v>2457</v>
      </c>
      <c r="I865" s="10">
        <v>45584</v>
      </c>
    </row>
    <row r="866" spans="1:9" x14ac:dyDescent="0.15">
      <c r="A866" s="9">
        <v>865</v>
      </c>
      <c r="B866" s="9" t="s">
        <v>9</v>
      </c>
      <c r="C866" s="9">
        <v>1920</v>
      </c>
      <c r="D866" s="10">
        <v>45677</v>
      </c>
      <c r="E866" s="13" t="str">
        <f>+HYPERLINK("http://trademark.i-assist.jp/data/china/image_1920th/81476245.pdf","81476245")</f>
        <v>81476245</v>
      </c>
      <c r="F866" s="9" t="s">
        <v>2458</v>
      </c>
      <c r="G866" s="12" t="s">
        <v>2459</v>
      </c>
      <c r="H866" s="12" t="s">
        <v>2460</v>
      </c>
      <c r="I866" s="10">
        <v>45584</v>
      </c>
    </row>
    <row r="867" spans="1:9" x14ac:dyDescent="0.15">
      <c r="A867" s="9">
        <v>866</v>
      </c>
      <c r="B867" s="9" t="s">
        <v>9</v>
      </c>
      <c r="C867" s="9">
        <v>1920</v>
      </c>
      <c r="D867" s="10">
        <v>45677</v>
      </c>
      <c r="E867" s="13" t="str">
        <f>+HYPERLINK("http://trademark.i-assist.jp/data/china/image_1920th/81476576.pdf","81476576")</f>
        <v>81476576</v>
      </c>
      <c r="F867" s="9" t="s">
        <v>2461</v>
      </c>
      <c r="G867" s="9" t="s">
        <v>2462</v>
      </c>
      <c r="H867" s="9" t="s">
        <v>2463</v>
      </c>
      <c r="I867" s="10">
        <v>45584</v>
      </c>
    </row>
    <row r="868" spans="1:9" x14ac:dyDescent="0.15">
      <c r="A868" s="9">
        <v>867</v>
      </c>
      <c r="B868" s="9" t="s">
        <v>9</v>
      </c>
      <c r="C868" s="9">
        <v>1920</v>
      </c>
      <c r="D868" s="10">
        <v>45677</v>
      </c>
      <c r="E868" s="13" t="str">
        <f>+HYPERLINK("http://trademark.i-assist.jp/data/china/image_1920th/81476712.pdf","81476712")</f>
        <v>81476712</v>
      </c>
      <c r="F868" s="9" t="s">
        <v>2464</v>
      </c>
      <c r="G868" s="9" t="s">
        <v>2465</v>
      </c>
      <c r="H868" s="9" t="s">
        <v>2466</v>
      </c>
      <c r="I868" s="10">
        <v>45584</v>
      </c>
    </row>
    <row r="869" spans="1:9" x14ac:dyDescent="0.15">
      <c r="A869" s="9">
        <v>868</v>
      </c>
      <c r="B869" s="9" t="s">
        <v>9</v>
      </c>
      <c r="C869" s="9">
        <v>1920</v>
      </c>
      <c r="D869" s="10">
        <v>45677</v>
      </c>
      <c r="E869" s="13" t="str">
        <f>+HYPERLINK("http://trademark.i-assist.jp/data/china/image_1920th/81476941.pdf","81476941")</f>
        <v>81476941</v>
      </c>
      <c r="F869" s="9" t="s">
        <v>2467</v>
      </c>
      <c r="G869" s="9" t="s">
        <v>101</v>
      </c>
      <c r="H869" s="9" t="s">
        <v>2468</v>
      </c>
      <c r="I869" s="10">
        <v>45584</v>
      </c>
    </row>
    <row r="870" spans="1:9" x14ac:dyDescent="0.15">
      <c r="A870" s="9">
        <v>869</v>
      </c>
      <c r="B870" s="9" t="s">
        <v>9</v>
      </c>
      <c r="C870" s="9">
        <v>1920</v>
      </c>
      <c r="D870" s="10">
        <v>45677</v>
      </c>
      <c r="E870" s="13" t="str">
        <f>+HYPERLINK("http://trademark.i-assist.jp/data/china/image_1920th/81477123.pdf","81477123")</f>
        <v>81477123</v>
      </c>
      <c r="F870" s="12" t="s">
        <v>2469</v>
      </c>
      <c r="G870" s="9" t="s">
        <v>2470</v>
      </c>
      <c r="H870" s="9" t="s">
        <v>2471</v>
      </c>
      <c r="I870" s="10">
        <v>45584</v>
      </c>
    </row>
    <row r="871" spans="1:9" x14ac:dyDescent="0.15">
      <c r="A871" s="9">
        <v>870</v>
      </c>
      <c r="B871" s="9" t="s">
        <v>9</v>
      </c>
      <c r="C871" s="9">
        <v>1920</v>
      </c>
      <c r="D871" s="10">
        <v>45677</v>
      </c>
      <c r="E871" s="13" t="str">
        <f>+HYPERLINK("http://trademark.i-assist.jp/data/china/image_1920th/81477343.pdf","81477343")</f>
        <v>81477343</v>
      </c>
      <c r="F871" s="9" t="s">
        <v>2472</v>
      </c>
      <c r="G871" s="12" t="s">
        <v>32</v>
      </c>
      <c r="H871" s="12" t="s">
        <v>2473</v>
      </c>
      <c r="I871" s="10">
        <v>45584</v>
      </c>
    </row>
    <row r="872" spans="1:9" x14ac:dyDescent="0.15">
      <c r="A872" s="9">
        <v>871</v>
      </c>
      <c r="B872" s="9" t="s">
        <v>9</v>
      </c>
      <c r="C872" s="9">
        <v>1920</v>
      </c>
      <c r="D872" s="10">
        <v>45677</v>
      </c>
      <c r="E872" s="13" t="str">
        <f>+HYPERLINK("http://trademark.i-assist.jp/data/china/image_1920th/81477356.pdf","81477356")</f>
        <v>81477356</v>
      </c>
      <c r="F872" s="9" t="s">
        <v>2474</v>
      </c>
      <c r="G872" s="9" t="s">
        <v>2475</v>
      </c>
      <c r="H872" s="9" t="s">
        <v>2476</v>
      </c>
      <c r="I872" s="10">
        <v>45584</v>
      </c>
    </row>
    <row r="873" spans="1:9" x14ac:dyDescent="0.15">
      <c r="A873" s="9">
        <v>872</v>
      </c>
      <c r="B873" s="9" t="s">
        <v>9</v>
      </c>
      <c r="C873" s="9">
        <v>1920</v>
      </c>
      <c r="D873" s="10">
        <v>45677</v>
      </c>
      <c r="E873" s="13" t="str">
        <f>+HYPERLINK("http://trademark.i-assist.jp/data/china/image_1920th/81477468.pdf","81477468")</f>
        <v>81477468</v>
      </c>
      <c r="F873" s="12" t="s">
        <v>12</v>
      </c>
      <c r="G873" s="9" t="s">
        <v>2456</v>
      </c>
      <c r="H873" s="9" t="s">
        <v>2477</v>
      </c>
      <c r="I873" s="10">
        <v>45584</v>
      </c>
    </row>
    <row r="874" spans="1:9" x14ac:dyDescent="0.15">
      <c r="A874" s="9">
        <v>873</v>
      </c>
      <c r="B874" s="9" t="s">
        <v>9</v>
      </c>
      <c r="C874" s="9">
        <v>1920</v>
      </c>
      <c r="D874" s="10">
        <v>45677</v>
      </c>
      <c r="E874" s="13" t="str">
        <f>+HYPERLINK("http://trademark.i-assist.jp/data/china/image_1920th/81477940.pdf","81477940")</f>
        <v>81477940</v>
      </c>
      <c r="F874" s="9" t="s">
        <v>2478</v>
      </c>
      <c r="G874" s="9" t="s">
        <v>2479</v>
      </c>
      <c r="H874" s="9" t="s">
        <v>2480</v>
      </c>
      <c r="I874" s="10">
        <v>45584</v>
      </c>
    </row>
    <row r="875" spans="1:9" x14ac:dyDescent="0.15">
      <c r="A875" s="9">
        <v>874</v>
      </c>
      <c r="B875" s="9" t="s">
        <v>9</v>
      </c>
      <c r="C875" s="9">
        <v>1920</v>
      </c>
      <c r="D875" s="10">
        <v>45677</v>
      </c>
      <c r="E875" s="13" t="str">
        <f>+HYPERLINK("http://trademark.i-assist.jp/data/china/image_1920th/81478906.pdf","81478906")</f>
        <v>81478906</v>
      </c>
      <c r="F875" s="9" t="s">
        <v>2481</v>
      </c>
      <c r="G875" s="12" t="s">
        <v>114</v>
      </c>
      <c r="H875" s="9" t="s">
        <v>2482</v>
      </c>
      <c r="I875" s="10">
        <v>45584</v>
      </c>
    </row>
    <row r="876" spans="1:9" x14ac:dyDescent="0.15">
      <c r="A876" s="9">
        <v>875</v>
      </c>
      <c r="B876" s="9" t="s">
        <v>9</v>
      </c>
      <c r="C876" s="9">
        <v>1920</v>
      </c>
      <c r="D876" s="10">
        <v>45677</v>
      </c>
      <c r="E876" s="13" t="str">
        <f>+HYPERLINK("http://trademark.i-assist.jp/data/china/image_1920th/81478947.pdf","81478947")</f>
        <v>81478947</v>
      </c>
      <c r="F876" s="9" t="s">
        <v>2483</v>
      </c>
      <c r="G876" s="12" t="s">
        <v>2484</v>
      </c>
      <c r="H876" s="9" t="s">
        <v>2485</v>
      </c>
      <c r="I876" s="10">
        <v>45584</v>
      </c>
    </row>
    <row r="877" spans="1:9" x14ac:dyDescent="0.15">
      <c r="A877" s="9">
        <v>876</v>
      </c>
      <c r="B877" s="9" t="s">
        <v>9</v>
      </c>
      <c r="C877" s="9">
        <v>1920</v>
      </c>
      <c r="D877" s="10">
        <v>45677</v>
      </c>
      <c r="E877" s="13" t="str">
        <f>+HYPERLINK("http://trademark.i-assist.jp/data/china/image_1920th/81479591.pdf","81479591")</f>
        <v>81479591</v>
      </c>
      <c r="F877" s="9" t="s">
        <v>2486</v>
      </c>
      <c r="G877" s="9" t="s">
        <v>2487</v>
      </c>
      <c r="H877" s="12" t="s">
        <v>2488</v>
      </c>
      <c r="I877" s="10">
        <v>45584</v>
      </c>
    </row>
    <row r="878" spans="1:9" x14ac:dyDescent="0.15">
      <c r="A878" s="9">
        <v>877</v>
      </c>
      <c r="B878" s="9" t="s">
        <v>9</v>
      </c>
      <c r="C878" s="9">
        <v>1920</v>
      </c>
      <c r="D878" s="10">
        <v>45677</v>
      </c>
      <c r="E878" s="13" t="str">
        <f>+HYPERLINK("http://trademark.i-assist.jp/data/china/image_1920th/81480125.pdf","81480125")</f>
        <v>81480125</v>
      </c>
      <c r="F878" s="9" t="s">
        <v>2486</v>
      </c>
      <c r="G878" s="9" t="s">
        <v>2487</v>
      </c>
      <c r="H878" s="9" t="s">
        <v>2489</v>
      </c>
      <c r="I878" s="10">
        <v>45584</v>
      </c>
    </row>
    <row r="879" spans="1:9" x14ac:dyDescent="0.15">
      <c r="A879" s="9">
        <v>878</v>
      </c>
      <c r="B879" s="9" t="s">
        <v>9</v>
      </c>
      <c r="C879" s="9">
        <v>1920</v>
      </c>
      <c r="D879" s="10">
        <v>45677</v>
      </c>
      <c r="E879" s="13" t="str">
        <f>+HYPERLINK("http://trademark.i-assist.jp/data/china/image_1920th/81480943.pdf","81480943")</f>
        <v>81480943</v>
      </c>
      <c r="F879" s="9" t="s">
        <v>2490</v>
      </c>
      <c r="G879" s="9" t="s">
        <v>2491</v>
      </c>
      <c r="H879" s="9" t="s">
        <v>2492</v>
      </c>
      <c r="I879" s="10">
        <v>45584</v>
      </c>
    </row>
    <row r="880" spans="1:9" x14ac:dyDescent="0.15">
      <c r="A880" s="9">
        <v>879</v>
      </c>
      <c r="B880" s="9" t="s">
        <v>9</v>
      </c>
      <c r="C880" s="9">
        <v>1920</v>
      </c>
      <c r="D880" s="10">
        <v>45677</v>
      </c>
      <c r="E880" s="13" t="str">
        <f>+HYPERLINK("http://trademark.i-assist.jp/data/china/image_1920th/81481313.pdf","81481313")</f>
        <v>81481313</v>
      </c>
      <c r="F880" s="12" t="s">
        <v>2493</v>
      </c>
      <c r="G880" s="9" t="s">
        <v>2494</v>
      </c>
      <c r="H880" s="9" t="s">
        <v>2495</v>
      </c>
      <c r="I880" s="10">
        <v>45584</v>
      </c>
    </row>
    <row r="881" spans="1:9" x14ac:dyDescent="0.15">
      <c r="A881" s="9">
        <v>880</v>
      </c>
      <c r="B881" s="9" t="s">
        <v>9</v>
      </c>
      <c r="C881" s="9">
        <v>1920</v>
      </c>
      <c r="D881" s="10">
        <v>45677</v>
      </c>
      <c r="E881" s="13" t="str">
        <f>+HYPERLINK("http://trademark.i-assist.jp/data/china/image_1920th/81481787.pdf","81481787")</f>
        <v>81481787</v>
      </c>
      <c r="F881" s="9" t="s">
        <v>2496</v>
      </c>
      <c r="G881" s="9" t="s">
        <v>2497</v>
      </c>
      <c r="H881" s="9" t="s">
        <v>2498</v>
      </c>
      <c r="I881" s="10">
        <v>45585</v>
      </c>
    </row>
    <row r="882" spans="1:9" x14ac:dyDescent="0.15">
      <c r="A882" s="9">
        <v>881</v>
      </c>
      <c r="B882" s="9" t="s">
        <v>9</v>
      </c>
      <c r="C882" s="9">
        <v>1920</v>
      </c>
      <c r="D882" s="10">
        <v>45677</v>
      </c>
      <c r="E882" s="13" t="str">
        <f>+HYPERLINK("http://trademark.i-assist.jp/data/china/image_1920th/81482031.pdf","81482031")</f>
        <v>81482031</v>
      </c>
      <c r="F882" s="12" t="s">
        <v>2499</v>
      </c>
      <c r="G882" s="9" t="s">
        <v>2500</v>
      </c>
      <c r="H882" s="9" t="s">
        <v>2501</v>
      </c>
      <c r="I882" s="10">
        <v>45585</v>
      </c>
    </row>
    <row r="883" spans="1:9" x14ac:dyDescent="0.15">
      <c r="A883" s="9">
        <v>882</v>
      </c>
      <c r="B883" s="9" t="s">
        <v>9</v>
      </c>
      <c r="C883" s="9">
        <v>1920</v>
      </c>
      <c r="D883" s="10">
        <v>45677</v>
      </c>
      <c r="E883" s="13" t="str">
        <f>+HYPERLINK("http://trademark.i-assist.jp/data/china/image_1920th/81482099.pdf","81482099")</f>
        <v>81482099</v>
      </c>
      <c r="F883" s="9" t="s">
        <v>2502</v>
      </c>
      <c r="G883" s="9" t="s">
        <v>116</v>
      </c>
      <c r="H883" s="9" t="s">
        <v>2503</v>
      </c>
      <c r="I883" s="10">
        <v>45585</v>
      </c>
    </row>
    <row r="884" spans="1:9" x14ac:dyDescent="0.15">
      <c r="A884" s="9">
        <v>883</v>
      </c>
      <c r="B884" s="9" t="s">
        <v>9</v>
      </c>
      <c r="C884" s="9">
        <v>1920</v>
      </c>
      <c r="D884" s="10">
        <v>45677</v>
      </c>
      <c r="E884" s="13" t="str">
        <f>+HYPERLINK("http://trademark.i-assist.jp/data/china/image_1920th/81484256.pdf","81484256")</f>
        <v>81484256</v>
      </c>
      <c r="F884" s="9" t="s">
        <v>2504</v>
      </c>
      <c r="G884" s="9" t="s">
        <v>2505</v>
      </c>
      <c r="H884" s="9" t="s">
        <v>2506</v>
      </c>
      <c r="I884" s="10">
        <v>45585</v>
      </c>
    </row>
    <row r="885" spans="1:9" x14ac:dyDescent="0.15">
      <c r="A885" s="9">
        <v>884</v>
      </c>
      <c r="B885" s="9" t="s">
        <v>9</v>
      </c>
      <c r="C885" s="9">
        <v>1920</v>
      </c>
      <c r="D885" s="10">
        <v>45677</v>
      </c>
      <c r="E885" s="13" t="str">
        <f>+HYPERLINK("http://trademark.i-assist.jp/data/china/image_1920th/81484291.pdf","81484291")</f>
        <v>81484291</v>
      </c>
      <c r="F885" s="9" t="s">
        <v>2507</v>
      </c>
      <c r="G885" s="9" t="s">
        <v>2508</v>
      </c>
      <c r="H885" s="9" t="s">
        <v>2509</v>
      </c>
      <c r="I885" s="10">
        <v>45585</v>
      </c>
    </row>
    <row r="886" spans="1:9" x14ac:dyDescent="0.15">
      <c r="A886" s="9">
        <v>885</v>
      </c>
      <c r="B886" s="9" t="s">
        <v>9</v>
      </c>
      <c r="C886" s="9">
        <v>1920</v>
      </c>
      <c r="D886" s="10">
        <v>45677</v>
      </c>
      <c r="E886" s="13" t="str">
        <f>+HYPERLINK("http://trademark.i-assist.jp/data/china/image_1920th/81484340.pdf","81484340")</f>
        <v>81484340</v>
      </c>
      <c r="F886" s="9" t="s">
        <v>2510</v>
      </c>
      <c r="G886" s="9" t="s">
        <v>112</v>
      </c>
      <c r="H886" s="9" t="s">
        <v>2511</v>
      </c>
      <c r="I886" s="10">
        <v>45586</v>
      </c>
    </row>
    <row r="887" spans="1:9" x14ac:dyDescent="0.15">
      <c r="A887" s="9">
        <v>886</v>
      </c>
      <c r="B887" s="9" t="s">
        <v>9</v>
      </c>
      <c r="C887" s="9">
        <v>1920</v>
      </c>
      <c r="D887" s="10">
        <v>45677</v>
      </c>
      <c r="E887" s="13" t="str">
        <f>+HYPERLINK("http://trademark.i-assist.jp/data/china/image_1920th/81484588.pdf","81484588")</f>
        <v>81484588</v>
      </c>
      <c r="F887" s="9" t="s">
        <v>2512</v>
      </c>
      <c r="G887" s="9" t="s">
        <v>2513</v>
      </c>
      <c r="H887" s="9" t="s">
        <v>2514</v>
      </c>
      <c r="I887" s="10">
        <v>45586</v>
      </c>
    </row>
    <row r="888" spans="1:9" x14ac:dyDescent="0.15">
      <c r="A888" s="9">
        <v>887</v>
      </c>
      <c r="B888" s="9" t="s">
        <v>9</v>
      </c>
      <c r="C888" s="9">
        <v>1920</v>
      </c>
      <c r="D888" s="10">
        <v>45677</v>
      </c>
      <c r="E888" s="13" t="str">
        <f>+HYPERLINK("http://trademark.i-assist.jp/data/china/image_1920th/81485131.pdf","81485131")</f>
        <v>81485131</v>
      </c>
      <c r="F888" s="9" t="s">
        <v>2515</v>
      </c>
      <c r="G888" s="12" t="s">
        <v>2516</v>
      </c>
      <c r="H888" s="9" t="s">
        <v>2517</v>
      </c>
      <c r="I888" s="10">
        <v>45586</v>
      </c>
    </row>
    <row r="889" spans="1:9" x14ac:dyDescent="0.15">
      <c r="A889" s="9">
        <v>888</v>
      </c>
      <c r="B889" s="9" t="s">
        <v>9</v>
      </c>
      <c r="C889" s="9">
        <v>1920</v>
      </c>
      <c r="D889" s="10">
        <v>45677</v>
      </c>
      <c r="E889" s="13" t="str">
        <f>+HYPERLINK("http://trademark.i-assist.jp/data/china/image_1920th/81485198.pdf","81485198")</f>
        <v>81485198</v>
      </c>
      <c r="F889" s="9" t="s">
        <v>2518</v>
      </c>
      <c r="G889" s="9" t="s">
        <v>20</v>
      </c>
      <c r="H889" s="9" t="s">
        <v>2519</v>
      </c>
      <c r="I889" s="10">
        <v>45586</v>
      </c>
    </row>
    <row r="890" spans="1:9" x14ac:dyDescent="0.15">
      <c r="A890" s="9">
        <v>889</v>
      </c>
      <c r="B890" s="9" t="s">
        <v>9</v>
      </c>
      <c r="C890" s="9">
        <v>1920</v>
      </c>
      <c r="D890" s="10">
        <v>45677</v>
      </c>
      <c r="E890" s="13" t="str">
        <f>+HYPERLINK("http://trademark.i-assist.jp/data/china/image_1920th/81485329.pdf","81485329")</f>
        <v>81485329</v>
      </c>
      <c r="F890" s="9" t="s">
        <v>2520</v>
      </c>
      <c r="G890" s="12" t="s">
        <v>2521</v>
      </c>
      <c r="H890" s="9" t="s">
        <v>2522</v>
      </c>
      <c r="I890" s="10">
        <v>45586</v>
      </c>
    </row>
    <row r="891" spans="1:9" x14ac:dyDescent="0.15">
      <c r="A891" s="9">
        <v>890</v>
      </c>
      <c r="B891" s="9" t="s">
        <v>9</v>
      </c>
      <c r="C891" s="9">
        <v>1920</v>
      </c>
      <c r="D891" s="10">
        <v>45677</v>
      </c>
      <c r="E891" s="13" t="str">
        <f>+HYPERLINK("http://trademark.i-assist.jp/data/china/image_1920th/81485417.pdf","81485417")</f>
        <v>81485417</v>
      </c>
      <c r="F891" s="9" t="s">
        <v>117</v>
      </c>
      <c r="G891" s="12" t="s">
        <v>118</v>
      </c>
      <c r="H891" s="9" t="s">
        <v>2523</v>
      </c>
      <c r="I891" s="10">
        <v>45586</v>
      </c>
    </row>
    <row r="892" spans="1:9" x14ac:dyDescent="0.15">
      <c r="A892" s="9">
        <v>891</v>
      </c>
      <c r="B892" s="9" t="s">
        <v>9</v>
      </c>
      <c r="C892" s="9">
        <v>1920</v>
      </c>
      <c r="D892" s="10">
        <v>45677</v>
      </c>
      <c r="E892" s="13" t="str">
        <f>+HYPERLINK("http://trademark.i-assist.jp/data/china/image_1920th/81485801.pdf","81485801")</f>
        <v>81485801</v>
      </c>
      <c r="F892" s="9" t="s">
        <v>2524</v>
      </c>
      <c r="G892" s="9" t="s">
        <v>2525</v>
      </c>
      <c r="H892" s="9" t="s">
        <v>2526</v>
      </c>
      <c r="I892" s="10">
        <v>45586</v>
      </c>
    </row>
    <row r="893" spans="1:9" x14ac:dyDescent="0.15">
      <c r="A893" s="9">
        <v>892</v>
      </c>
      <c r="B893" s="9" t="s">
        <v>9</v>
      </c>
      <c r="C893" s="9">
        <v>1920</v>
      </c>
      <c r="D893" s="10">
        <v>45677</v>
      </c>
      <c r="E893" s="13" t="str">
        <f>+HYPERLINK("http://trademark.i-assist.jp/data/china/image_1920th/81485817.pdf","81485817")</f>
        <v>81485817</v>
      </c>
      <c r="F893" s="9" t="s">
        <v>2527</v>
      </c>
      <c r="G893" s="9" t="s">
        <v>2525</v>
      </c>
      <c r="H893" s="9" t="s">
        <v>2528</v>
      </c>
      <c r="I893" s="10">
        <v>45586</v>
      </c>
    </row>
    <row r="894" spans="1:9" x14ac:dyDescent="0.15">
      <c r="A894" s="9">
        <v>893</v>
      </c>
      <c r="B894" s="9" t="s">
        <v>9</v>
      </c>
      <c r="C894" s="9">
        <v>1920</v>
      </c>
      <c r="D894" s="10">
        <v>45677</v>
      </c>
      <c r="E894" s="13" t="str">
        <f>+HYPERLINK("http://trademark.i-assist.jp/data/china/image_1920th/81485943.pdf","81485943")</f>
        <v>81485943</v>
      </c>
      <c r="F894" s="9" t="s">
        <v>2529</v>
      </c>
      <c r="G894" s="9" t="s">
        <v>2530</v>
      </c>
      <c r="H894" s="9" t="s">
        <v>2531</v>
      </c>
      <c r="I894" s="10">
        <v>45586</v>
      </c>
    </row>
    <row r="895" spans="1:9" x14ac:dyDescent="0.15">
      <c r="A895" s="9">
        <v>894</v>
      </c>
      <c r="B895" s="9" t="s">
        <v>9</v>
      </c>
      <c r="C895" s="9">
        <v>1920</v>
      </c>
      <c r="D895" s="10">
        <v>45677</v>
      </c>
      <c r="E895" s="13" t="str">
        <f>+HYPERLINK("http://trademark.i-assist.jp/data/china/image_1920th/81486023.pdf","81486023")</f>
        <v>81486023</v>
      </c>
      <c r="F895" s="9" t="s">
        <v>2532</v>
      </c>
      <c r="G895" s="9" t="s">
        <v>2533</v>
      </c>
      <c r="H895" s="9" t="s">
        <v>2534</v>
      </c>
      <c r="I895" s="10">
        <v>45586</v>
      </c>
    </row>
    <row r="896" spans="1:9" x14ac:dyDescent="0.15">
      <c r="A896" s="9">
        <v>895</v>
      </c>
      <c r="B896" s="9" t="s">
        <v>9</v>
      </c>
      <c r="C896" s="9">
        <v>1920</v>
      </c>
      <c r="D896" s="10">
        <v>45677</v>
      </c>
      <c r="E896" s="13" t="str">
        <f>+HYPERLINK("http://trademark.i-assist.jp/data/china/image_1920th/81486168.pdf","81486168")</f>
        <v>81486168</v>
      </c>
      <c r="F896" s="9" t="s">
        <v>2535</v>
      </c>
      <c r="G896" s="12" t="s">
        <v>2536</v>
      </c>
      <c r="H896" s="9" t="s">
        <v>2537</v>
      </c>
      <c r="I896" s="10">
        <v>45586</v>
      </c>
    </row>
    <row r="897" spans="1:9" x14ac:dyDescent="0.15">
      <c r="A897" s="9">
        <v>896</v>
      </c>
      <c r="B897" s="9" t="s">
        <v>9</v>
      </c>
      <c r="C897" s="9">
        <v>1920</v>
      </c>
      <c r="D897" s="10">
        <v>45677</v>
      </c>
      <c r="E897" s="13" t="str">
        <f>+HYPERLINK("http://trademark.i-assist.jp/data/china/image_1920th/81486623.pdf","81486623")</f>
        <v>81486623</v>
      </c>
      <c r="F897" s="9" t="s">
        <v>2538</v>
      </c>
      <c r="G897" s="9" t="s">
        <v>2539</v>
      </c>
      <c r="H897" s="9" t="s">
        <v>2540</v>
      </c>
      <c r="I897" s="10">
        <v>45586</v>
      </c>
    </row>
    <row r="898" spans="1:9" x14ac:dyDescent="0.15">
      <c r="A898" s="9">
        <v>897</v>
      </c>
      <c r="B898" s="9" t="s">
        <v>9</v>
      </c>
      <c r="C898" s="9">
        <v>1920</v>
      </c>
      <c r="D898" s="10">
        <v>45677</v>
      </c>
      <c r="E898" s="13" t="str">
        <f>+HYPERLINK("http://trademark.i-assist.jp/data/china/image_1920th/81487311.pdf","81487311")</f>
        <v>81487311</v>
      </c>
      <c r="F898" s="9" t="s">
        <v>2541</v>
      </c>
      <c r="G898" s="9" t="s">
        <v>2542</v>
      </c>
      <c r="H898" s="9" t="s">
        <v>2543</v>
      </c>
      <c r="I898" s="10">
        <v>45586</v>
      </c>
    </row>
    <row r="899" spans="1:9" x14ac:dyDescent="0.15">
      <c r="A899" s="9">
        <v>898</v>
      </c>
      <c r="B899" s="9" t="s">
        <v>9</v>
      </c>
      <c r="C899" s="9">
        <v>1920</v>
      </c>
      <c r="D899" s="10">
        <v>45677</v>
      </c>
      <c r="E899" s="13" t="str">
        <f>+HYPERLINK("http://trademark.i-assist.jp/data/china/image_1920th/81487658.pdf","81487658")</f>
        <v>81487658</v>
      </c>
      <c r="F899" s="9" t="s">
        <v>2544</v>
      </c>
      <c r="G899" s="9" t="s">
        <v>2545</v>
      </c>
      <c r="H899" s="9" t="s">
        <v>2546</v>
      </c>
      <c r="I899" s="10">
        <v>45586</v>
      </c>
    </row>
    <row r="900" spans="1:9" x14ac:dyDescent="0.15">
      <c r="A900" s="9">
        <v>899</v>
      </c>
      <c r="B900" s="9" t="s">
        <v>9</v>
      </c>
      <c r="C900" s="9">
        <v>1920</v>
      </c>
      <c r="D900" s="10">
        <v>45677</v>
      </c>
      <c r="E900" s="13" t="str">
        <f>+HYPERLINK("http://trademark.i-assist.jp/data/china/image_1920th/81488038.pdf","81488038")</f>
        <v>81488038</v>
      </c>
      <c r="F900" s="9" t="s">
        <v>2547</v>
      </c>
      <c r="G900" s="9" t="s">
        <v>2548</v>
      </c>
      <c r="H900" s="9" t="s">
        <v>2549</v>
      </c>
      <c r="I900" s="10">
        <v>45586</v>
      </c>
    </row>
    <row r="901" spans="1:9" x14ac:dyDescent="0.15">
      <c r="A901" s="9">
        <v>900</v>
      </c>
      <c r="B901" s="9" t="s">
        <v>9</v>
      </c>
      <c r="C901" s="9">
        <v>1920</v>
      </c>
      <c r="D901" s="10">
        <v>45677</v>
      </c>
      <c r="E901" s="13" t="str">
        <f>+HYPERLINK("http://trademark.i-assist.jp/data/china/image_1920th/81488263.pdf","81488263")</f>
        <v>81488263</v>
      </c>
      <c r="F901" s="9" t="s">
        <v>2550</v>
      </c>
      <c r="G901" s="9" t="s">
        <v>123</v>
      </c>
      <c r="H901" s="9" t="s">
        <v>2551</v>
      </c>
      <c r="I901" s="10">
        <v>45586</v>
      </c>
    </row>
    <row r="902" spans="1:9" x14ac:dyDescent="0.15">
      <c r="A902" s="9">
        <v>901</v>
      </c>
      <c r="B902" s="9" t="s">
        <v>9</v>
      </c>
      <c r="C902" s="9">
        <v>1920</v>
      </c>
      <c r="D902" s="10">
        <v>45677</v>
      </c>
      <c r="E902" s="13" t="str">
        <f>+HYPERLINK("http://trademark.i-assist.jp/data/china/image_1920th/81488452.pdf","81488452")</f>
        <v>81488452</v>
      </c>
      <c r="F902" s="9" t="s">
        <v>2552</v>
      </c>
      <c r="G902" s="12" t="s">
        <v>121</v>
      </c>
      <c r="H902" s="9" t="s">
        <v>2553</v>
      </c>
      <c r="I902" s="10">
        <v>45586</v>
      </c>
    </row>
    <row r="903" spans="1:9" x14ac:dyDescent="0.15">
      <c r="A903" s="9">
        <v>902</v>
      </c>
      <c r="B903" s="9" t="s">
        <v>9</v>
      </c>
      <c r="C903" s="9">
        <v>1920</v>
      </c>
      <c r="D903" s="10">
        <v>45677</v>
      </c>
      <c r="E903" s="13" t="str">
        <f>+HYPERLINK("http://trademark.i-assist.jp/data/china/image_1920th/81489408.pdf","81489408")</f>
        <v>81489408</v>
      </c>
      <c r="F903" s="9" t="s">
        <v>2554</v>
      </c>
      <c r="G903" s="9" t="s">
        <v>2555</v>
      </c>
      <c r="H903" s="9" t="s">
        <v>2556</v>
      </c>
      <c r="I903" s="10">
        <v>45586</v>
      </c>
    </row>
    <row r="904" spans="1:9" x14ac:dyDescent="0.15">
      <c r="A904" s="9">
        <v>903</v>
      </c>
      <c r="B904" s="9" t="s">
        <v>9</v>
      </c>
      <c r="C904" s="9">
        <v>1920</v>
      </c>
      <c r="D904" s="10">
        <v>45677</v>
      </c>
      <c r="E904" s="13" t="str">
        <f>+HYPERLINK("http://trademark.i-assist.jp/data/china/image_1920th/81489888.pdf","81489888")</f>
        <v>81489888</v>
      </c>
      <c r="F904" s="9" t="s">
        <v>2557</v>
      </c>
      <c r="G904" s="9" t="s">
        <v>2539</v>
      </c>
      <c r="H904" s="12" t="s">
        <v>2558</v>
      </c>
      <c r="I904" s="10">
        <v>45586</v>
      </c>
    </row>
    <row r="905" spans="1:9" x14ac:dyDescent="0.15">
      <c r="A905" s="9">
        <v>904</v>
      </c>
      <c r="B905" s="9" t="s">
        <v>9</v>
      </c>
      <c r="C905" s="9">
        <v>1920</v>
      </c>
      <c r="D905" s="10">
        <v>45677</v>
      </c>
      <c r="E905" s="13" t="str">
        <f>+HYPERLINK("http://trademark.i-assist.jp/data/china/image_1920th/81490306.pdf","81490306")</f>
        <v>81490306</v>
      </c>
      <c r="F905" s="9" t="s">
        <v>2559</v>
      </c>
      <c r="G905" s="9" t="s">
        <v>2560</v>
      </c>
      <c r="H905" s="9" t="s">
        <v>2561</v>
      </c>
      <c r="I905" s="10">
        <v>45586</v>
      </c>
    </row>
    <row r="906" spans="1:9" x14ac:dyDescent="0.15">
      <c r="A906" s="9">
        <v>905</v>
      </c>
      <c r="B906" s="9" t="s">
        <v>9</v>
      </c>
      <c r="C906" s="9">
        <v>1920</v>
      </c>
      <c r="D906" s="10">
        <v>45677</v>
      </c>
      <c r="E906" s="13" t="str">
        <f>+HYPERLINK("http://trademark.i-assist.jp/data/china/image_1920th/81490443.pdf","81490443")</f>
        <v>81490443</v>
      </c>
      <c r="F906" s="9" t="s">
        <v>2562</v>
      </c>
      <c r="G906" s="9" t="s">
        <v>122</v>
      </c>
      <c r="H906" s="9" t="s">
        <v>2563</v>
      </c>
      <c r="I906" s="10">
        <v>45586</v>
      </c>
    </row>
    <row r="907" spans="1:9" x14ac:dyDescent="0.15">
      <c r="A907" s="9">
        <v>906</v>
      </c>
      <c r="B907" s="9" t="s">
        <v>9</v>
      </c>
      <c r="C907" s="9">
        <v>1920</v>
      </c>
      <c r="D907" s="10">
        <v>45677</v>
      </c>
      <c r="E907" s="13" t="str">
        <f>+HYPERLINK("http://trademark.i-assist.jp/data/china/image_1920th/81490786.pdf","81490786")</f>
        <v>81490786</v>
      </c>
      <c r="F907" s="9" t="s">
        <v>2564</v>
      </c>
      <c r="G907" s="9" t="s">
        <v>123</v>
      </c>
      <c r="H907" s="9" t="s">
        <v>2565</v>
      </c>
      <c r="I907" s="10">
        <v>45586</v>
      </c>
    </row>
    <row r="908" spans="1:9" x14ac:dyDescent="0.15">
      <c r="A908" s="9">
        <v>907</v>
      </c>
      <c r="B908" s="9" t="s">
        <v>9</v>
      </c>
      <c r="C908" s="9">
        <v>1920</v>
      </c>
      <c r="D908" s="10">
        <v>45677</v>
      </c>
      <c r="E908" s="13" t="str">
        <f>+HYPERLINK("http://trademark.i-assist.jp/data/china/image_1920th/81491024.pdf","81491024")</f>
        <v>81491024</v>
      </c>
      <c r="F908" s="9" t="s">
        <v>2566</v>
      </c>
      <c r="G908" s="9" t="s">
        <v>2567</v>
      </c>
      <c r="H908" s="9" t="s">
        <v>2568</v>
      </c>
      <c r="I908" s="10">
        <v>45586</v>
      </c>
    </row>
    <row r="909" spans="1:9" x14ac:dyDescent="0.15">
      <c r="A909" s="9">
        <v>908</v>
      </c>
      <c r="B909" s="9" t="s">
        <v>9</v>
      </c>
      <c r="C909" s="9">
        <v>1920</v>
      </c>
      <c r="D909" s="10">
        <v>45677</v>
      </c>
      <c r="E909" s="13" t="str">
        <f>+HYPERLINK("http://trademark.i-assist.jp/data/china/image_1920th/81491098.pdf","81491098")</f>
        <v>81491098</v>
      </c>
      <c r="F909" s="9" t="s">
        <v>2569</v>
      </c>
      <c r="G909" s="9" t="s">
        <v>2570</v>
      </c>
      <c r="H909" s="12" t="s">
        <v>2571</v>
      </c>
      <c r="I909" s="10">
        <v>45586</v>
      </c>
    </row>
    <row r="910" spans="1:9" x14ac:dyDescent="0.15">
      <c r="A910" s="9">
        <v>909</v>
      </c>
      <c r="B910" s="9" t="s">
        <v>9</v>
      </c>
      <c r="C910" s="9">
        <v>1920</v>
      </c>
      <c r="D910" s="10">
        <v>45677</v>
      </c>
      <c r="E910" s="13" t="str">
        <f>+HYPERLINK("http://trademark.i-assist.jp/data/china/image_1920th/81491529.pdf","81491529")</f>
        <v>81491529</v>
      </c>
      <c r="F910" s="9" t="s">
        <v>2572</v>
      </c>
      <c r="G910" s="9" t="s">
        <v>127</v>
      </c>
      <c r="H910" s="9" t="s">
        <v>2573</v>
      </c>
      <c r="I910" s="10">
        <v>45586</v>
      </c>
    </row>
    <row r="911" spans="1:9" x14ac:dyDescent="0.15">
      <c r="A911" s="9">
        <v>910</v>
      </c>
      <c r="B911" s="9" t="s">
        <v>9</v>
      </c>
      <c r="C911" s="9">
        <v>1920</v>
      </c>
      <c r="D911" s="10">
        <v>45677</v>
      </c>
      <c r="E911" s="13" t="str">
        <f>+HYPERLINK("http://trademark.i-assist.jp/data/china/image_1920th/81491658.pdf","81491658")</f>
        <v>81491658</v>
      </c>
      <c r="F911" s="9" t="s">
        <v>2574</v>
      </c>
      <c r="G911" s="9" t="s">
        <v>2575</v>
      </c>
      <c r="H911" s="9" t="s">
        <v>2576</v>
      </c>
      <c r="I911" s="10">
        <v>45586</v>
      </c>
    </row>
    <row r="912" spans="1:9" x14ac:dyDescent="0.15">
      <c r="A912" s="9">
        <v>911</v>
      </c>
      <c r="B912" s="9" t="s">
        <v>9</v>
      </c>
      <c r="C912" s="9">
        <v>1920</v>
      </c>
      <c r="D912" s="10">
        <v>45677</v>
      </c>
      <c r="E912" s="13" t="str">
        <f>+HYPERLINK("http://trademark.i-assist.jp/data/china/image_1920th/81492538.pdf","81492538")</f>
        <v>81492538</v>
      </c>
      <c r="F912" s="9" t="s">
        <v>2577</v>
      </c>
      <c r="G912" s="9" t="s">
        <v>57</v>
      </c>
      <c r="H912" s="9" t="s">
        <v>2578</v>
      </c>
      <c r="I912" s="10">
        <v>45586</v>
      </c>
    </row>
    <row r="913" spans="1:9" x14ac:dyDescent="0.15">
      <c r="A913" s="9">
        <v>912</v>
      </c>
      <c r="B913" s="9" t="s">
        <v>9</v>
      </c>
      <c r="C913" s="9">
        <v>1920</v>
      </c>
      <c r="D913" s="10">
        <v>45677</v>
      </c>
      <c r="E913" s="13" t="str">
        <f>+HYPERLINK("http://trademark.i-assist.jp/data/china/image_1920th/81492722.pdf","81492722")</f>
        <v>81492722</v>
      </c>
      <c r="F913" s="9" t="s">
        <v>2579</v>
      </c>
      <c r="G913" s="9" t="s">
        <v>2580</v>
      </c>
      <c r="H913" s="12" t="s">
        <v>2581</v>
      </c>
      <c r="I913" s="10">
        <v>45586</v>
      </c>
    </row>
    <row r="914" spans="1:9" x14ac:dyDescent="0.15">
      <c r="A914" s="9">
        <v>913</v>
      </c>
      <c r="B914" s="9" t="s">
        <v>9</v>
      </c>
      <c r="C914" s="9">
        <v>1920</v>
      </c>
      <c r="D914" s="10">
        <v>45677</v>
      </c>
      <c r="E914" s="13" t="str">
        <f>+HYPERLINK("http://trademark.i-assist.jp/data/china/image_1920th/81492778.pdf","81492778")</f>
        <v>81492778</v>
      </c>
      <c r="F914" s="9" t="s">
        <v>2582</v>
      </c>
      <c r="G914" s="9" t="s">
        <v>2583</v>
      </c>
      <c r="H914" s="9" t="s">
        <v>2584</v>
      </c>
      <c r="I914" s="10">
        <v>45586</v>
      </c>
    </row>
    <row r="915" spans="1:9" x14ac:dyDescent="0.15">
      <c r="A915" s="9">
        <v>914</v>
      </c>
      <c r="B915" s="9" t="s">
        <v>9</v>
      </c>
      <c r="C915" s="9">
        <v>1920</v>
      </c>
      <c r="D915" s="10">
        <v>45677</v>
      </c>
      <c r="E915" s="13" t="str">
        <f>+HYPERLINK("http://trademark.i-assist.jp/data/china/image_1920th/81492967.pdf","81492967")</f>
        <v>81492967</v>
      </c>
      <c r="F915" s="12" t="s">
        <v>2585</v>
      </c>
      <c r="G915" s="9" t="s">
        <v>2586</v>
      </c>
      <c r="H915" s="9" t="s">
        <v>2587</v>
      </c>
      <c r="I915" s="10">
        <v>45586</v>
      </c>
    </row>
    <row r="916" spans="1:9" x14ac:dyDescent="0.15">
      <c r="A916" s="9">
        <v>915</v>
      </c>
      <c r="B916" s="9" t="s">
        <v>9</v>
      </c>
      <c r="C916" s="9">
        <v>1920</v>
      </c>
      <c r="D916" s="10">
        <v>45677</v>
      </c>
      <c r="E916" s="13" t="str">
        <f>+HYPERLINK("http://trademark.i-assist.jp/data/china/image_1920th/81493741.pdf","81493741")</f>
        <v>81493741</v>
      </c>
      <c r="F916" s="11" t="s">
        <v>2588</v>
      </c>
      <c r="G916" s="9" t="s">
        <v>2525</v>
      </c>
      <c r="H916" s="9" t="s">
        <v>2589</v>
      </c>
      <c r="I916" s="10">
        <v>45586</v>
      </c>
    </row>
    <row r="917" spans="1:9" x14ac:dyDescent="0.15">
      <c r="A917" s="9">
        <v>916</v>
      </c>
      <c r="B917" s="9" t="s">
        <v>9</v>
      </c>
      <c r="C917" s="9">
        <v>1920</v>
      </c>
      <c r="D917" s="10">
        <v>45677</v>
      </c>
      <c r="E917" s="13" t="str">
        <f>+HYPERLINK("http://trademark.i-assist.jp/data/china/image_1920th/81493823.pdf","81493823")</f>
        <v>81493823</v>
      </c>
      <c r="F917" s="9" t="s">
        <v>2590</v>
      </c>
      <c r="G917" s="9" t="s">
        <v>2591</v>
      </c>
      <c r="H917" s="9" t="s">
        <v>2592</v>
      </c>
      <c r="I917" s="10">
        <v>45586</v>
      </c>
    </row>
    <row r="918" spans="1:9" x14ac:dyDescent="0.15">
      <c r="A918" s="9">
        <v>917</v>
      </c>
      <c r="B918" s="9" t="s">
        <v>9</v>
      </c>
      <c r="C918" s="9">
        <v>1920</v>
      </c>
      <c r="D918" s="10">
        <v>45677</v>
      </c>
      <c r="E918" s="13" t="str">
        <f>+HYPERLINK("http://trademark.i-assist.jp/data/china/image_1920th/81494250.pdf","81494250")</f>
        <v>81494250</v>
      </c>
      <c r="F918" s="9" t="s">
        <v>2593</v>
      </c>
      <c r="G918" s="12" t="s">
        <v>2594</v>
      </c>
      <c r="H918" s="12" t="s">
        <v>2595</v>
      </c>
      <c r="I918" s="10">
        <v>45586</v>
      </c>
    </row>
    <row r="919" spans="1:9" x14ac:dyDescent="0.15">
      <c r="A919" s="9">
        <v>918</v>
      </c>
      <c r="B919" s="9" t="s">
        <v>9</v>
      </c>
      <c r="C919" s="9">
        <v>1920</v>
      </c>
      <c r="D919" s="10">
        <v>45677</v>
      </c>
      <c r="E919" s="13" t="str">
        <f>+HYPERLINK("http://trademark.i-assist.jp/data/china/image_1920th/81494854.pdf","81494854")</f>
        <v>81494854</v>
      </c>
      <c r="F919" s="12" t="s">
        <v>2596</v>
      </c>
      <c r="G919" s="9" t="s">
        <v>2597</v>
      </c>
      <c r="H919" s="9" t="s">
        <v>2598</v>
      </c>
      <c r="I919" s="10">
        <v>45586</v>
      </c>
    </row>
    <row r="920" spans="1:9" x14ac:dyDescent="0.15">
      <c r="A920" s="9">
        <v>919</v>
      </c>
      <c r="B920" s="9" t="s">
        <v>9</v>
      </c>
      <c r="C920" s="9">
        <v>1920</v>
      </c>
      <c r="D920" s="10">
        <v>45677</v>
      </c>
      <c r="E920" s="13" t="str">
        <f>+HYPERLINK("http://trademark.i-assist.jp/data/china/image_1920th/81495499.pdf","81495499")</f>
        <v>81495499</v>
      </c>
      <c r="F920" s="9" t="s">
        <v>2599</v>
      </c>
      <c r="G920" s="9" t="s">
        <v>2600</v>
      </c>
      <c r="H920" s="9" t="s">
        <v>2601</v>
      </c>
      <c r="I920" s="10">
        <v>45586</v>
      </c>
    </row>
    <row r="921" spans="1:9" x14ac:dyDescent="0.15">
      <c r="A921" s="9">
        <v>920</v>
      </c>
      <c r="B921" s="9" t="s">
        <v>9</v>
      </c>
      <c r="C921" s="9">
        <v>1920</v>
      </c>
      <c r="D921" s="10">
        <v>45677</v>
      </c>
      <c r="E921" s="13" t="str">
        <f>+HYPERLINK("http://trademark.i-assist.jp/data/china/image_1920th/81495568.pdf","81495568")</f>
        <v>81495568</v>
      </c>
      <c r="F921" s="9" t="s">
        <v>2602</v>
      </c>
      <c r="G921" s="12" t="s">
        <v>2603</v>
      </c>
      <c r="H921" s="9" t="s">
        <v>2604</v>
      </c>
      <c r="I921" s="10">
        <v>45586</v>
      </c>
    </row>
    <row r="922" spans="1:9" x14ac:dyDescent="0.15">
      <c r="A922" s="9">
        <v>921</v>
      </c>
      <c r="B922" s="9" t="s">
        <v>9</v>
      </c>
      <c r="C922" s="9">
        <v>1920</v>
      </c>
      <c r="D922" s="10">
        <v>45677</v>
      </c>
      <c r="E922" s="13" t="str">
        <f>+HYPERLINK("http://trademark.i-assist.jp/data/china/image_1920th/81495834.pdf","81495834")</f>
        <v>81495834</v>
      </c>
      <c r="F922" s="12" t="s">
        <v>2605</v>
      </c>
      <c r="G922" s="9" t="s">
        <v>2606</v>
      </c>
      <c r="H922" s="9" t="s">
        <v>2607</v>
      </c>
      <c r="I922" s="10">
        <v>45586</v>
      </c>
    </row>
    <row r="923" spans="1:9" x14ac:dyDescent="0.15">
      <c r="A923" s="9">
        <v>922</v>
      </c>
      <c r="B923" s="9" t="s">
        <v>9</v>
      </c>
      <c r="C923" s="9">
        <v>1920</v>
      </c>
      <c r="D923" s="10">
        <v>45677</v>
      </c>
      <c r="E923" s="13" t="str">
        <f>+HYPERLINK("http://trademark.i-assist.jp/data/china/image_1920th/81495890.pdf","81495890")</f>
        <v>81495890</v>
      </c>
      <c r="F923" s="12" t="s">
        <v>2608</v>
      </c>
      <c r="G923" s="9" t="s">
        <v>2609</v>
      </c>
      <c r="H923" s="12" t="s">
        <v>2610</v>
      </c>
      <c r="I923" s="10">
        <v>45586</v>
      </c>
    </row>
    <row r="924" spans="1:9" x14ac:dyDescent="0.15">
      <c r="A924" s="9">
        <v>923</v>
      </c>
      <c r="B924" s="9" t="s">
        <v>9</v>
      </c>
      <c r="C924" s="9">
        <v>1920</v>
      </c>
      <c r="D924" s="10">
        <v>45677</v>
      </c>
      <c r="E924" s="13" t="str">
        <f>+HYPERLINK("http://trademark.i-assist.jp/data/china/image_1920th/81495994.pdf","81495994")</f>
        <v>81495994</v>
      </c>
      <c r="F924" s="9" t="s">
        <v>2611</v>
      </c>
      <c r="G924" s="9" t="s">
        <v>2612</v>
      </c>
      <c r="H924" s="9" t="s">
        <v>2613</v>
      </c>
      <c r="I924" s="10">
        <v>45586</v>
      </c>
    </row>
    <row r="925" spans="1:9" x14ac:dyDescent="0.15">
      <c r="A925" s="9">
        <v>924</v>
      </c>
      <c r="B925" s="9" t="s">
        <v>9</v>
      </c>
      <c r="C925" s="9">
        <v>1920</v>
      </c>
      <c r="D925" s="10">
        <v>45677</v>
      </c>
      <c r="E925" s="13" t="str">
        <f>+HYPERLINK("http://trademark.i-assist.jp/data/china/image_1920th/81496405.pdf","81496405")</f>
        <v>81496405</v>
      </c>
      <c r="F925" s="9" t="s">
        <v>2614</v>
      </c>
      <c r="G925" s="9" t="s">
        <v>150</v>
      </c>
      <c r="H925" s="9" t="s">
        <v>2615</v>
      </c>
      <c r="I925" s="10">
        <v>45586</v>
      </c>
    </row>
    <row r="926" spans="1:9" x14ac:dyDescent="0.15">
      <c r="A926" s="9">
        <v>925</v>
      </c>
      <c r="B926" s="9" t="s">
        <v>9</v>
      </c>
      <c r="C926" s="9">
        <v>1920</v>
      </c>
      <c r="D926" s="10">
        <v>45677</v>
      </c>
      <c r="E926" s="13" t="str">
        <f>+HYPERLINK("http://trademark.i-assist.jp/data/china/image_1920th/81497100.pdf","81497100")</f>
        <v>81497100</v>
      </c>
      <c r="F926" s="11" t="s">
        <v>2616</v>
      </c>
      <c r="G926" s="9" t="s">
        <v>2617</v>
      </c>
      <c r="H926" s="9" t="s">
        <v>2618</v>
      </c>
      <c r="I926" s="10">
        <v>45586</v>
      </c>
    </row>
    <row r="927" spans="1:9" x14ac:dyDescent="0.15">
      <c r="A927" s="9">
        <v>926</v>
      </c>
      <c r="B927" s="9" t="s">
        <v>9</v>
      </c>
      <c r="C927" s="9">
        <v>1920</v>
      </c>
      <c r="D927" s="10">
        <v>45677</v>
      </c>
      <c r="E927" s="13" t="str">
        <f>+HYPERLINK("http://trademark.i-assist.jp/data/china/image_1920th/81497130.pdf","81497130")</f>
        <v>81497130</v>
      </c>
      <c r="F927" s="9" t="s">
        <v>2619</v>
      </c>
      <c r="G927" s="9" t="s">
        <v>2620</v>
      </c>
      <c r="H927" s="9" t="s">
        <v>2621</v>
      </c>
      <c r="I927" s="10">
        <v>45586</v>
      </c>
    </row>
    <row r="928" spans="1:9" x14ac:dyDescent="0.15">
      <c r="A928" s="9">
        <v>927</v>
      </c>
      <c r="B928" s="9" t="s">
        <v>9</v>
      </c>
      <c r="C928" s="9">
        <v>1920</v>
      </c>
      <c r="D928" s="10">
        <v>45677</v>
      </c>
      <c r="E928" s="13" t="str">
        <f>+HYPERLINK("http://trademark.i-assist.jp/data/china/image_1920th/81497185.pdf","81497185")</f>
        <v>81497185</v>
      </c>
      <c r="F928" s="12" t="s">
        <v>12</v>
      </c>
      <c r="G928" s="9" t="s">
        <v>2622</v>
      </c>
      <c r="H928" s="9" t="s">
        <v>2623</v>
      </c>
      <c r="I928" s="10">
        <v>45586</v>
      </c>
    </row>
    <row r="929" spans="1:9" x14ac:dyDescent="0.15">
      <c r="A929" s="9">
        <v>928</v>
      </c>
      <c r="B929" s="9" t="s">
        <v>9</v>
      </c>
      <c r="C929" s="9">
        <v>1920</v>
      </c>
      <c r="D929" s="10">
        <v>45677</v>
      </c>
      <c r="E929" s="13" t="str">
        <f>+HYPERLINK("http://trademark.i-assist.jp/data/china/image_1920th/81497381.pdf","81497381")</f>
        <v>81497381</v>
      </c>
      <c r="F929" s="12" t="s">
        <v>2624</v>
      </c>
      <c r="G929" s="9" t="s">
        <v>2625</v>
      </c>
      <c r="H929" s="9" t="s">
        <v>2626</v>
      </c>
      <c r="I929" s="10">
        <v>45586</v>
      </c>
    </row>
    <row r="930" spans="1:9" x14ac:dyDescent="0.15">
      <c r="A930" s="9">
        <v>929</v>
      </c>
      <c r="B930" s="9" t="s">
        <v>9</v>
      </c>
      <c r="C930" s="9">
        <v>1920</v>
      </c>
      <c r="D930" s="10">
        <v>45677</v>
      </c>
      <c r="E930" s="13" t="str">
        <f>+HYPERLINK("http://trademark.i-assist.jp/data/china/image_1920th/81497500.pdf","81497500")</f>
        <v>81497500</v>
      </c>
      <c r="F930" s="9" t="s">
        <v>2627</v>
      </c>
      <c r="G930" s="9" t="s">
        <v>2513</v>
      </c>
      <c r="H930" s="9" t="s">
        <v>2628</v>
      </c>
      <c r="I930" s="10">
        <v>45586</v>
      </c>
    </row>
    <row r="931" spans="1:9" x14ac:dyDescent="0.15">
      <c r="A931" s="9">
        <v>930</v>
      </c>
      <c r="B931" s="9" t="s">
        <v>9</v>
      </c>
      <c r="C931" s="9">
        <v>1920</v>
      </c>
      <c r="D931" s="10">
        <v>45677</v>
      </c>
      <c r="E931" s="13" t="str">
        <f>+HYPERLINK("http://trademark.i-assist.jp/data/china/image_1920th/81497504.pdf","81497504")</f>
        <v>81497504</v>
      </c>
      <c r="F931" s="9" t="s">
        <v>2629</v>
      </c>
      <c r="G931" s="9" t="s">
        <v>2606</v>
      </c>
      <c r="H931" s="9" t="s">
        <v>2630</v>
      </c>
      <c r="I931" s="10">
        <v>45586</v>
      </c>
    </row>
    <row r="932" spans="1:9" x14ac:dyDescent="0.15">
      <c r="A932" s="9">
        <v>931</v>
      </c>
      <c r="B932" s="9" t="s">
        <v>9</v>
      </c>
      <c r="C932" s="9">
        <v>1920</v>
      </c>
      <c r="D932" s="10">
        <v>45677</v>
      </c>
      <c r="E932" s="13" t="str">
        <f>+HYPERLINK("http://trademark.i-assist.jp/data/china/image_1920th/81497506.pdf","81497506")</f>
        <v>81497506</v>
      </c>
      <c r="F932" s="9" t="s">
        <v>2590</v>
      </c>
      <c r="G932" s="9" t="s">
        <v>2591</v>
      </c>
      <c r="H932" s="9" t="s">
        <v>2631</v>
      </c>
      <c r="I932" s="10">
        <v>45586</v>
      </c>
    </row>
    <row r="933" spans="1:9" x14ac:dyDescent="0.15">
      <c r="A933" s="9">
        <v>932</v>
      </c>
      <c r="B933" s="9" t="s">
        <v>9</v>
      </c>
      <c r="C933" s="9">
        <v>1920</v>
      </c>
      <c r="D933" s="10">
        <v>45677</v>
      </c>
      <c r="E933" s="13" t="str">
        <f>+HYPERLINK("http://trademark.i-assist.jp/data/china/image_1920th/81497517.pdf","81497517")</f>
        <v>81497517</v>
      </c>
      <c r="F933" s="9" t="s">
        <v>2632</v>
      </c>
      <c r="G933" s="9" t="s">
        <v>2633</v>
      </c>
      <c r="H933" s="9" t="s">
        <v>2634</v>
      </c>
      <c r="I933" s="10">
        <v>45586</v>
      </c>
    </row>
    <row r="934" spans="1:9" x14ac:dyDescent="0.15">
      <c r="A934" s="9">
        <v>933</v>
      </c>
      <c r="B934" s="9" t="s">
        <v>9</v>
      </c>
      <c r="C934" s="9">
        <v>1920</v>
      </c>
      <c r="D934" s="10">
        <v>45677</v>
      </c>
      <c r="E934" s="13" t="str">
        <f>+HYPERLINK("http://trademark.i-assist.jp/data/china/image_1920th/81497522.pdf","81497522")</f>
        <v>81497522</v>
      </c>
      <c r="F934" s="12" t="s">
        <v>2635</v>
      </c>
      <c r="G934" s="9" t="s">
        <v>2513</v>
      </c>
      <c r="H934" s="12" t="s">
        <v>2636</v>
      </c>
      <c r="I934" s="10">
        <v>45586</v>
      </c>
    </row>
    <row r="935" spans="1:9" x14ac:dyDescent="0.15">
      <c r="A935" s="9">
        <v>934</v>
      </c>
      <c r="B935" s="9" t="s">
        <v>9</v>
      </c>
      <c r="C935" s="9">
        <v>1920</v>
      </c>
      <c r="D935" s="10">
        <v>45677</v>
      </c>
      <c r="E935" s="13" t="str">
        <f>+HYPERLINK("http://trademark.i-assist.jp/data/china/image_1920th/81497635.pdf","81497635")</f>
        <v>81497635</v>
      </c>
      <c r="F935" s="9" t="s">
        <v>2637</v>
      </c>
      <c r="G935" s="12" t="s">
        <v>2638</v>
      </c>
      <c r="H935" s="9" t="s">
        <v>2639</v>
      </c>
      <c r="I935" s="10">
        <v>45586</v>
      </c>
    </row>
    <row r="936" spans="1:9" x14ac:dyDescent="0.15">
      <c r="A936" s="9">
        <v>935</v>
      </c>
      <c r="B936" s="9" t="s">
        <v>9</v>
      </c>
      <c r="C936" s="9">
        <v>1920</v>
      </c>
      <c r="D936" s="10">
        <v>45677</v>
      </c>
      <c r="E936" s="13" t="str">
        <f>+HYPERLINK("http://trademark.i-assist.jp/data/china/image_1920th/81497740.pdf","81497740")</f>
        <v>81497740</v>
      </c>
      <c r="F936" s="12" t="s">
        <v>12</v>
      </c>
      <c r="G936" s="9" t="s">
        <v>2640</v>
      </c>
      <c r="H936" s="9" t="s">
        <v>2641</v>
      </c>
      <c r="I936" s="10">
        <v>45586</v>
      </c>
    </row>
    <row r="937" spans="1:9" x14ac:dyDescent="0.15">
      <c r="A937" s="9">
        <v>936</v>
      </c>
      <c r="B937" s="9" t="s">
        <v>9</v>
      </c>
      <c r="C937" s="9">
        <v>1920</v>
      </c>
      <c r="D937" s="10">
        <v>45677</v>
      </c>
      <c r="E937" s="13" t="str">
        <f>+HYPERLINK("http://trademark.i-assist.jp/data/china/image_1920th/81498067.pdf","81498067")</f>
        <v>81498067</v>
      </c>
      <c r="F937" s="9" t="s">
        <v>2642</v>
      </c>
      <c r="G937" s="9" t="s">
        <v>2643</v>
      </c>
      <c r="H937" s="9" t="s">
        <v>2644</v>
      </c>
      <c r="I937" s="10">
        <v>45586</v>
      </c>
    </row>
    <row r="938" spans="1:9" x14ac:dyDescent="0.15">
      <c r="A938" s="9">
        <v>937</v>
      </c>
      <c r="B938" s="9" t="s">
        <v>9</v>
      </c>
      <c r="C938" s="9">
        <v>1920</v>
      </c>
      <c r="D938" s="10">
        <v>45677</v>
      </c>
      <c r="E938" s="13" t="str">
        <f>+HYPERLINK("http://trademark.i-assist.jp/data/china/image_1920th/81498193.pdf","81498193")</f>
        <v>81498193</v>
      </c>
      <c r="F938" s="9" t="s">
        <v>2645</v>
      </c>
      <c r="G938" s="9" t="s">
        <v>2646</v>
      </c>
      <c r="H938" s="9" t="s">
        <v>2647</v>
      </c>
      <c r="I938" s="10">
        <v>45586</v>
      </c>
    </row>
    <row r="939" spans="1:9" x14ac:dyDescent="0.15">
      <c r="A939" s="9">
        <v>938</v>
      </c>
      <c r="B939" s="9" t="s">
        <v>9</v>
      </c>
      <c r="C939" s="9">
        <v>1920</v>
      </c>
      <c r="D939" s="10">
        <v>45677</v>
      </c>
      <c r="E939" s="13" t="str">
        <f>+HYPERLINK("http://trademark.i-assist.jp/data/china/image_1920th/81498410.pdf","81498410")</f>
        <v>81498410</v>
      </c>
      <c r="F939" s="9" t="s">
        <v>2648</v>
      </c>
      <c r="G939" s="9" t="s">
        <v>2649</v>
      </c>
      <c r="H939" s="9" t="s">
        <v>2650</v>
      </c>
      <c r="I939" s="10">
        <v>45586</v>
      </c>
    </row>
    <row r="940" spans="1:9" x14ac:dyDescent="0.15">
      <c r="A940" s="9">
        <v>939</v>
      </c>
      <c r="B940" s="9" t="s">
        <v>9</v>
      </c>
      <c r="C940" s="9">
        <v>1920</v>
      </c>
      <c r="D940" s="10">
        <v>45677</v>
      </c>
      <c r="E940" s="13" t="str">
        <f>+HYPERLINK("http://trademark.i-assist.jp/data/china/image_1920th/81498709.pdf","81498709")</f>
        <v>81498709</v>
      </c>
      <c r="F940" s="12" t="s">
        <v>12</v>
      </c>
      <c r="G940" s="9" t="s">
        <v>2651</v>
      </c>
      <c r="H940" s="9" t="s">
        <v>2652</v>
      </c>
      <c r="I940" s="10">
        <v>45586</v>
      </c>
    </row>
    <row r="941" spans="1:9" x14ac:dyDescent="0.15">
      <c r="A941" s="9">
        <v>940</v>
      </c>
      <c r="B941" s="9" t="s">
        <v>9</v>
      </c>
      <c r="C941" s="9">
        <v>1920</v>
      </c>
      <c r="D941" s="10">
        <v>45677</v>
      </c>
      <c r="E941" s="13" t="str">
        <f>+HYPERLINK("http://trademark.i-assist.jp/data/china/image_1920th/81498731.pdf","81498731")</f>
        <v>81498731</v>
      </c>
      <c r="F941" s="9" t="s">
        <v>2653</v>
      </c>
      <c r="G941" s="9" t="s">
        <v>2600</v>
      </c>
      <c r="H941" s="9" t="s">
        <v>2654</v>
      </c>
      <c r="I941" s="10">
        <v>45586</v>
      </c>
    </row>
    <row r="942" spans="1:9" x14ac:dyDescent="0.15">
      <c r="A942" s="9">
        <v>941</v>
      </c>
      <c r="B942" s="9" t="s">
        <v>9</v>
      </c>
      <c r="C942" s="9">
        <v>1920</v>
      </c>
      <c r="D942" s="10">
        <v>45677</v>
      </c>
      <c r="E942" s="13" t="str">
        <f>+HYPERLINK("http://trademark.i-assist.jp/data/china/image_1920th/81498753.pdf","81498753")</f>
        <v>81498753</v>
      </c>
      <c r="F942" s="9" t="s">
        <v>2655</v>
      </c>
      <c r="G942" s="9" t="s">
        <v>2656</v>
      </c>
      <c r="H942" s="9" t="s">
        <v>2657</v>
      </c>
      <c r="I942" s="10">
        <v>45586</v>
      </c>
    </row>
    <row r="943" spans="1:9" x14ac:dyDescent="0.15">
      <c r="A943" s="9">
        <v>942</v>
      </c>
      <c r="B943" s="9" t="s">
        <v>9</v>
      </c>
      <c r="C943" s="9">
        <v>1920</v>
      </c>
      <c r="D943" s="10">
        <v>45677</v>
      </c>
      <c r="E943" s="13" t="str">
        <f>+HYPERLINK("http://trademark.i-assist.jp/data/china/image_1920th/81499006.pdf","81499006")</f>
        <v>81499006</v>
      </c>
      <c r="F943" s="9" t="s">
        <v>2658</v>
      </c>
      <c r="G943" s="9" t="s">
        <v>2583</v>
      </c>
      <c r="H943" s="9" t="s">
        <v>2659</v>
      </c>
      <c r="I943" s="10">
        <v>45586</v>
      </c>
    </row>
    <row r="944" spans="1:9" x14ac:dyDescent="0.15">
      <c r="A944" s="9">
        <v>943</v>
      </c>
      <c r="B944" s="9" t="s">
        <v>9</v>
      </c>
      <c r="C944" s="9">
        <v>1920</v>
      </c>
      <c r="D944" s="10">
        <v>45677</v>
      </c>
      <c r="E944" s="13" t="str">
        <f>+HYPERLINK("http://trademark.i-assist.jp/data/china/image_1920th/81499418.pdf","81499418")</f>
        <v>81499418</v>
      </c>
      <c r="F944" s="9" t="s">
        <v>2660</v>
      </c>
      <c r="G944" s="9" t="s">
        <v>2661</v>
      </c>
      <c r="H944" s="9" t="s">
        <v>2662</v>
      </c>
      <c r="I944" s="10">
        <v>45586</v>
      </c>
    </row>
    <row r="945" spans="1:9" x14ac:dyDescent="0.15">
      <c r="A945" s="9">
        <v>944</v>
      </c>
      <c r="B945" s="9" t="s">
        <v>9</v>
      </c>
      <c r="C945" s="9">
        <v>1920</v>
      </c>
      <c r="D945" s="10">
        <v>45677</v>
      </c>
      <c r="E945" s="13" t="str">
        <f>+HYPERLINK("http://trademark.i-assist.jp/data/china/image_1920th/81500025.pdf","81500025")</f>
        <v>81500025</v>
      </c>
      <c r="F945" s="9" t="s">
        <v>2663</v>
      </c>
      <c r="G945" s="9" t="s">
        <v>123</v>
      </c>
      <c r="H945" s="9" t="s">
        <v>2664</v>
      </c>
      <c r="I945" s="10">
        <v>45586</v>
      </c>
    </row>
    <row r="946" spans="1:9" x14ac:dyDescent="0.15">
      <c r="A946" s="9">
        <v>945</v>
      </c>
      <c r="B946" s="9" t="s">
        <v>9</v>
      </c>
      <c r="C946" s="9">
        <v>1920</v>
      </c>
      <c r="D946" s="10">
        <v>45677</v>
      </c>
      <c r="E946" s="13" t="str">
        <f>+HYPERLINK("http://trademark.i-assist.jp/data/china/image_1920th/81500378.pdf","81500378")</f>
        <v>81500378</v>
      </c>
      <c r="F946" s="9" t="s">
        <v>2665</v>
      </c>
      <c r="G946" s="12" t="s">
        <v>2666</v>
      </c>
      <c r="H946" s="9" t="s">
        <v>2667</v>
      </c>
      <c r="I946" s="10">
        <v>45586</v>
      </c>
    </row>
    <row r="947" spans="1:9" x14ac:dyDescent="0.15">
      <c r="A947" s="9">
        <v>946</v>
      </c>
      <c r="B947" s="9" t="s">
        <v>9</v>
      </c>
      <c r="C947" s="9">
        <v>1920</v>
      </c>
      <c r="D947" s="10">
        <v>45677</v>
      </c>
      <c r="E947" s="13" t="str">
        <f>+HYPERLINK("http://trademark.i-assist.jp/data/china/image_1920th/81500677.pdf","81500677")</f>
        <v>81500677</v>
      </c>
      <c r="F947" s="9" t="s">
        <v>2668</v>
      </c>
      <c r="G947" s="12" t="s">
        <v>2594</v>
      </c>
      <c r="H947" s="9" t="s">
        <v>2669</v>
      </c>
      <c r="I947" s="10">
        <v>45586</v>
      </c>
    </row>
    <row r="948" spans="1:9" x14ac:dyDescent="0.15">
      <c r="A948" s="9">
        <v>947</v>
      </c>
      <c r="B948" s="9" t="s">
        <v>9</v>
      </c>
      <c r="C948" s="9">
        <v>1920</v>
      </c>
      <c r="D948" s="10">
        <v>45677</v>
      </c>
      <c r="E948" s="13" t="str">
        <f>+HYPERLINK("http://trademark.i-assist.jp/data/china/image_1920th/81501409.pdf","81501409")</f>
        <v>81501409</v>
      </c>
      <c r="F948" s="12" t="s">
        <v>2670</v>
      </c>
      <c r="G948" s="9" t="s">
        <v>54</v>
      </c>
      <c r="H948" s="9" t="s">
        <v>2671</v>
      </c>
      <c r="I948" s="10">
        <v>45586</v>
      </c>
    </row>
    <row r="949" spans="1:9" x14ac:dyDescent="0.15">
      <c r="A949" s="9">
        <v>948</v>
      </c>
      <c r="B949" s="9" t="s">
        <v>9</v>
      </c>
      <c r="C949" s="9">
        <v>1920</v>
      </c>
      <c r="D949" s="10">
        <v>45677</v>
      </c>
      <c r="E949" s="13" t="str">
        <f>+HYPERLINK("http://trademark.i-assist.jp/data/china/image_1920th/81501459.pdf","81501459")</f>
        <v>81501459</v>
      </c>
      <c r="F949" s="9" t="s">
        <v>2672</v>
      </c>
      <c r="G949" s="9" t="s">
        <v>2673</v>
      </c>
      <c r="H949" s="9" t="s">
        <v>2674</v>
      </c>
      <c r="I949" s="10">
        <v>45586</v>
      </c>
    </row>
    <row r="950" spans="1:9" x14ac:dyDescent="0.15">
      <c r="A950" s="9">
        <v>949</v>
      </c>
      <c r="B950" s="9" t="s">
        <v>9</v>
      </c>
      <c r="C950" s="9">
        <v>1920</v>
      </c>
      <c r="D950" s="10">
        <v>45677</v>
      </c>
      <c r="E950" s="13" t="str">
        <f>+HYPERLINK("http://trademark.i-assist.jp/data/china/image_1920th/81501503.pdf","81501503")</f>
        <v>81501503</v>
      </c>
      <c r="F950" s="9" t="s">
        <v>2675</v>
      </c>
      <c r="G950" s="9" t="s">
        <v>2676</v>
      </c>
      <c r="H950" s="9" t="s">
        <v>2677</v>
      </c>
      <c r="I950" s="10">
        <v>45586</v>
      </c>
    </row>
    <row r="951" spans="1:9" x14ac:dyDescent="0.15">
      <c r="A951" s="9">
        <v>950</v>
      </c>
      <c r="B951" s="9" t="s">
        <v>9</v>
      </c>
      <c r="C951" s="9">
        <v>1920</v>
      </c>
      <c r="D951" s="10">
        <v>45677</v>
      </c>
      <c r="E951" s="13" t="str">
        <f>+HYPERLINK("http://trademark.i-assist.jp/data/china/image_1920th/81501868.pdf","81501868")</f>
        <v>81501868</v>
      </c>
      <c r="F951" s="12" t="s">
        <v>2678</v>
      </c>
      <c r="G951" s="9" t="s">
        <v>2679</v>
      </c>
      <c r="H951" s="12" t="s">
        <v>2680</v>
      </c>
      <c r="I951" s="10">
        <v>45586</v>
      </c>
    </row>
    <row r="952" spans="1:9" x14ac:dyDescent="0.15">
      <c r="A952" s="9">
        <v>951</v>
      </c>
      <c r="B952" s="9" t="s">
        <v>9</v>
      </c>
      <c r="C952" s="9">
        <v>1920</v>
      </c>
      <c r="D952" s="10">
        <v>45677</v>
      </c>
      <c r="E952" s="13" t="str">
        <f>+HYPERLINK("http://trademark.i-assist.jp/data/china/image_1920th/81502289.pdf","81502289")</f>
        <v>81502289</v>
      </c>
      <c r="F952" s="12" t="s">
        <v>12</v>
      </c>
      <c r="G952" s="9" t="s">
        <v>2681</v>
      </c>
      <c r="H952" s="12" t="s">
        <v>2682</v>
      </c>
      <c r="I952" s="10">
        <v>45586</v>
      </c>
    </row>
    <row r="953" spans="1:9" x14ac:dyDescent="0.15">
      <c r="A953" s="9">
        <v>952</v>
      </c>
      <c r="B953" s="9" t="s">
        <v>9</v>
      </c>
      <c r="C953" s="9">
        <v>1920</v>
      </c>
      <c r="D953" s="10">
        <v>45677</v>
      </c>
      <c r="E953" s="13" t="str">
        <f>+HYPERLINK("http://trademark.i-assist.jp/data/china/image_1920th/81502457.pdf","81502457")</f>
        <v>81502457</v>
      </c>
      <c r="F953" s="9" t="s">
        <v>2683</v>
      </c>
      <c r="G953" s="9" t="s">
        <v>2684</v>
      </c>
      <c r="H953" s="9" t="s">
        <v>2685</v>
      </c>
      <c r="I953" s="10">
        <v>45586</v>
      </c>
    </row>
    <row r="954" spans="1:9" x14ac:dyDescent="0.15">
      <c r="A954" s="9">
        <v>953</v>
      </c>
      <c r="B954" s="9" t="s">
        <v>9</v>
      </c>
      <c r="C954" s="9">
        <v>1920</v>
      </c>
      <c r="D954" s="10">
        <v>45677</v>
      </c>
      <c r="E954" s="13" t="str">
        <f>+HYPERLINK("http://trademark.i-assist.jp/data/china/image_1920th/81502645.pdf","81502645")</f>
        <v>81502645</v>
      </c>
      <c r="F954" s="9" t="s">
        <v>2686</v>
      </c>
      <c r="G954" s="9" t="s">
        <v>2687</v>
      </c>
      <c r="H954" s="9" t="s">
        <v>2688</v>
      </c>
      <c r="I954" s="10">
        <v>45586</v>
      </c>
    </row>
    <row r="955" spans="1:9" x14ac:dyDescent="0.15">
      <c r="A955" s="9">
        <v>954</v>
      </c>
      <c r="B955" s="9" t="s">
        <v>9</v>
      </c>
      <c r="C955" s="9">
        <v>1920</v>
      </c>
      <c r="D955" s="10">
        <v>45677</v>
      </c>
      <c r="E955" s="13" t="str">
        <f>+HYPERLINK("http://trademark.i-assist.jp/data/china/image_1920th/81502691.pdf","81502691")</f>
        <v>81502691</v>
      </c>
      <c r="F955" s="9" t="s">
        <v>2689</v>
      </c>
      <c r="G955" s="9" t="s">
        <v>2656</v>
      </c>
      <c r="H955" s="9" t="s">
        <v>2690</v>
      </c>
      <c r="I955" s="10">
        <v>45586</v>
      </c>
    </row>
    <row r="956" spans="1:9" x14ac:dyDescent="0.15">
      <c r="A956" s="9">
        <v>955</v>
      </c>
      <c r="B956" s="9" t="s">
        <v>9</v>
      </c>
      <c r="C956" s="9">
        <v>1920</v>
      </c>
      <c r="D956" s="10">
        <v>45677</v>
      </c>
      <c r="E956" s="13" t="str">
        <f>+HYPERLINK("http://trademark.i-assist.jp/data/china/image_1920th/81502726.pdf","81502726")</f>
        <v>81502726</v>
      </c>
      <c r="F956" s="12" t="s">
        <v>2691</v>
      </c>
      <c r="G956" s="9" t="s">
        <v>2692</v>
      </c>
      <c r="H956" s="9" t="s">
        <v>2693</v>
      </c>
      <c r="I956" s="10">
        <v>45586</v>
      </c>
    </row>
    <row r="957" spans="1:9" x14ac:dyDescent="0.15">
      <c r="A957" s="9">
        <v>956</v>
      </c>
      <c r="B957" s="9" t="s">
        <v>9</v>
      </c>
      <c r="C957" s="9">
        <v>1920</v>
      </c>
      <c r="D957" s="10">
        <v>45677</v>
      </c>
      <c r="E957" s="13" t="str">
        <f>+HYPERLINK("http://trademark.i-assist.jp/data/china/image_1920th/81502734.pdf","81502734")</f>
        <v>81502734</v>
      </c>
      <c r="F957" s="9" t="s">
        <v>2590</v>
      </c>
      <c r="G957" s="9" t="s">
        <v>2591</v>
      </c>
      <c r="H957" s="12" t="s">
        <v>2694</v>
      </c>
      <c r="I957" s="10">
        <v>45586</v>
      </c>
    </row>
    <row r="958" spans="1:9" x14ac:dyDescent="0.15">
      <c r="A958" s="9">
        <v>957</v>
      </c>
      <c r="B958" s="9" t="s">
        <v>9</v>
      </c>
      <c r="C958" s="9">
        <v>1920</v>
      </c>
      <c r="D958" s="10">
        <v>45677</v>
      </c>
      <c r="E958" s="13" t="str">
        <f>+HYPERLINK("http://trademark.i-assist.jp/data/china/image_1920th/81502863.pdf","81502863")</f>
        <v>81502863</v>
      </c>
      <c r="F958" s="9" t="s">
        <v>2695</v>
      </c>
      <c r="G958" s="12" t="s">
        <v>2696</v>
      </c>
      <c r="H958" s="9" t="s">
        <v>2697</v>
      </c>
      <c r="I958" s="10">
        <v>45586</v>
      </c>
    </row>
    <row r="959" spans="1:9" x14ac:dyDescent="0.15">
      <c r="A959" s="9">
        <v>958</v>
      </c>
      <c r="B959" s="9" t="s">
        <v>9</v>
      </c>
      <c r="C959" s="9">
        <v>1920</v>
      </c>
      <c r="D959" s="10">
        <v>45677</v>
      </c>
      <c r="E959" s="13" t="str">
        <f>+HYPERLINK("http://trademark.i-assist.jp/data/china/image_1920th/81502997.pdf","81502997")</f>
        <v>81502997</v>
      </c>
      <c r="F959" s="9" t="s">
        <v>2698</v>
      </c>
      <c r="G959" s="9" t="s">
        <v>2699</v>
      </c>
      <c r="H959" s="9" t="s">
        <v>2700</v>
      </c>
      <c r="I959" s="10">
        <v>45586</v>
      </c>
    </row>
    <row r="960" spans="1:9" x14ac:dyDescent="0.15">
      <c r="A960" s="9">
        <v>959</v>
      </c>
      <c r="B960" s="9" t="s">
        <v>9</v>
      </c>
      <c r="C960" s="9">
        <v>1920</v>
      </c>
      <c r="D960" s="10">
        <v>45677</v>
      </c>
      <c r="E960" s="13" t="str">
        <f>+HYPERLINK("http://trademark.i-assist.jp/data/china/image_1920th/81503883.pdf","81503883")</f>
        <v>81503883</v>
      </c>
      <c r="F960" s="9" t="s">
        <v>2701</v>
      </c>
      <c r="G960" s="9" t="s">
        <v>2702</v>
      </c>
      <c r="H960" s="9" t="s">
        <v>2703</v>
      </c>
      <c r="I960" s="10">
        <v>45586</v>
      </c>
    </row>
    <row r="961" spans="1:9" x14ac:dyDescent="0.15">
      <c r="A961" s="9">
        <v>960</v>
      </c>
      <c r="B961" s="9" t="s">
        <v>9</v>
      </c>
      <c r="C961" s="9">
        <v>1920</v>
      </c>
      <c r="D961" s="10">
        <v>45677</v>
      </c>
      <c r="E961" s="13" t="str">
        <f>+HYPERLINK("http://trademark.i-assist.jp/data/china/image_1920th/81504172.pdf","81504172")</f>
        <v>81504172</v>
      </c>
      <c r="F961" s="9" t="s">
        <v>2704</v>
      </c>
      <c r="G961" s="9" t="s">
        <v>2539</v>
      </c>
      <c r="H961" s="9" t="s">
        <v>2705</v>
      </c>
      <c r="I961" s="10">
        <v>45586</v>
      </c>
    </row>
    <row r="962" spans="1:9" x14ac:dyDescent="0.15">
      <c r="A962" s="9">
        <v>961</v>
      </c>
      <c r="B962" s="9" t="s">
        <v>9</v>
      </c>
      <c r="C962" s="9">
        <v>1920</v>
      </c>
      <c r="D962" s="10">
        <v>45677</v>
      </c>
      <c r="E962" s="13" t="str">
        <f>+HYPERLINK("http://trademark.i-assist.jp/data/china/image_1920th/81504333.pdf","81504333")</f>
        <v>81504333</v>
      </c>
      <c r="F962" s="9" t="s">
        <v>2706</v>
      </c>
      <c r="G962" s="9" t="s">
        <v>2707</v>
      </c>
      <c r="H962" s="9" t="s">
        <v>2708</v>
      </c>
      <c r="I962" s="10">
        <v>45586</v>
      </c>
    </row>
    <row r="963" spans="1:9" x14ac:dyDescent="0.15">
      <c r="A963" s="9">
        <v>962</v>
      </c>
      <c r="B963" s="9" t="s">
        <v>9</v>
      </c>
      <c r="C963" s="9">
        <v>1920</v>
      </c>
      <c r="D963" s="10">
        <v>45677</v>
      </c>
      <c r="E963" s="13" t="str">
        <f>+HYPERLINK("http://trademark.i-assist.jp/data/china/image_1920th/81504672.pdf","81504672")</f>
        <v>81504672</v>
      </c>
      <c r="F963" s="9" t="s">
        <v>2709</v>
      </c>
      <c r="G963" s="9" t="s">
        <v>2710</v>
      </c>
      <c r="H963" s="9" t="s">
        <v>2711</v>
      </c>
      <c r="I963" s="10">
        <v>45586</v>
      </c>
    </row>
    <row r="964" spans="1:9" x14ac:dyDescent="0.15">
      <c r="A964" s="9">
        <v>963</v>
      </c>
      <c r="B964" s="9" t="s">
        <v>9</v>
      </c>
      <c r="C964" s="9">
        <v>1920</v>
      </c>
      <c r="D964" s="10">
        <v>45677</v>
      </c>
      <c r="E964" s="13" t="str">
        <f>+HYPERLINK("http://trademark.i-assist.jp/data/china/image_1920th/81504862.pdf","81504862")</f>
        <v>81504862</v>
      </c>
      <c r="F964" s="12" t="s">
        <v>12</v>
      </c>
      <c r="G964" s="9" t="s">
        <v>2712</v>
      </c>
      <c r="H964" s="9" t="s">
        <v>2713</v>
      </c>
      <c r="I964" s="10">
        <v>45586</v>
      </c>
    </row>
    <row r="965" spans="1:9" x14ac:dyDescent="0.15">
      <c r="A965" s="9">
        <v>964</v>
      </c>
      <c r="B965" s="9" t="s">
        <v>9</v>
      </c>
      <c r="C965" s="9">
        <v>1920</v>
      </c>
      <c r="D965" s="10">
        <v>45677</v>
      </c>
      <c r="E965" s="13" t="str">
        <f>+HYPERLINK("http://trademark.i-assist.jp/data/china/image_1920th/81505281.pdf","81505281")</f>
        <v>81505281</v>
      </c>
      <c r="F965" s="9" t="s">
        <v>2714</v>
      </c>
      <c r="G965" s="9" t="s">
        <v>2715</v>
      </c>
      <c r="H965" s="9" t="s">
        <v>2716</v>
      </c>
      <c r="I965" s="10">
        <v>45586</v>
      </c>
    </row>
    <row r="966" spans="1:9" x14ac:dyDescent="0.15">
      <c r="A966" s="9">
        <v>965</v>
      </c>
      <c r="B966" s="9" t="s">
        <v>9</v>
      </c>
      <c r="C966" s="9">
        <v>1920</v>
      </c>
      <c r="D966" s="10">
        <v>45677</v>
      </c>
      <c r="E966" s="13" t="str">
        <f>+HYPERLINK("http://trademark.i-assist.jp/data/china/image_1920th/81505467.pdf","81505467")</f>
        <v>81505467</v>
      </c>
      <c r="F966" s="9" t="s">
        <v>2717</v>
      </c>
      <c r="G966" s="9" t="s">
        <v>2718</v>
      </c>
      <c r="H966" s="9" t="s">
        <v>2719</v>
      </c>
      <c r="I966" s="10">
        <v>45586</v>
      </c>
    </row>
    <row r="967" spans="1:9" x14ac:dyDescent="0.15">
      <c r="A967" s="9">
        <v>966</v>
      </c>
      <c r="B967" s="9" t="s">
        <v>9</v>
      </c>
      <c r="C967" s="9">
        <v>1920</v>
      </c>
      <c r="D967" s="10">
        <v>45677</v>
      </c>
      <c r="E967" s="13" t="str">
        <f>+HYPERLINK("http://trademark.i-assist.jp/data/china/image_1920th/81505787.pdf","81505787")</f>
        <v>81505787</v>
      </c>
      <c r="F967" s="9" t="s">
        <v>2720</v>
      </c>
      <c r="G967" s="9" t="s">
        <v>2721</v>
      </c>
      <c r="H967" s="9" t="s">
        <v>2722</v>
      </c>
      <c r="I967" s="10">
        <v>45586</v>
      </c>
    </row>
    <row r="968" spans="1:9" x14ac:dyDescent="0.15">
      <c r="A968" s="9">
        <v>967</v>
      </c>
      <c r="B968" s="9" t="s">
        <v>9</v>
      </c>
      <c r="C968" s="9">
        <v>1920</v>
      </c>
      <c r="D968" s="10">
        <v>45677</v>
      </c>
      <c r="E968" s="13" t="str">
        <f>+HYPERLINK("http://trademark.i-assist.jp/data/china/image_1920th/81505978.pdf","81505978")</f>
        <v>81505978</v>
      </c>
      <c r="F968" s="9" t="s">
        <v>2723</v>
      </c>
      <c r="G968" s="12" t="s">
        <v>2724</v>
      </c>
      <c r="H968" s="12" t="s">
        <v>2725</v>
      </c>
      <c r="I968" s="10">
        <v>45586</v>
      </c>
    </row>
    <row r="969" spans="1:9" x14ac:dyDescent="0.15">
      <c r="A969" s="9">
        <v>968</v>
      </c>
      <c r="B969" s="9" t="s">
        <v>9</v>
      </c>
      <c r="C969" s="9">
        <v>1920</v>
      </c>
      <c r="D969" s="10">
        <v>45677</v>
      </c>
      <c r="E969" s="13" t="str">
        <f>+HYPERLINK("http://trademark.i-assist.jp/data/china/image_1920th/81506096.pdf","81506096")</f>
        <v>81506096</v>
      </c>
      <c r="F969" s="9" t="s">
        <v>2726</v>
      </c>
      <c r="G969" s="12" t="s">
        <v>2727</v>
      </c>
      <c r="H969" s="9" t="s">
        <v>2728</v>
      </c>
      <c r="I969" s="10">
        <v>45586</v>
      </c>
    </row>
    <row r="970" spans="1:9" x14ac:dyDescent="0.15">
      <c r="A970" s="9">
        <v>969</v>
      </c>
      <c r="B970" s="9" t="s">
        <v>9</v>
      </c>
      <c r="C970" s="9">
        <v>1920</v>
      </c>
      <c r="D970" s="10">
        <v>45677</v>
      </c>
      <c r="E970" s="13" t="str">
        <f>+HYPERLINK("http://trademark.i-assist.jp/data/china/image_1920th/81506125.pdf","81506125")</f>
        <v>81506125</v>
      </c>
      <c r="F970" s="9" t="s">
        <v>2729</v>
      </c>
      <c r="G970" s="9" t="s">
        <v>119</v>
      </c>
      <c r="H970" s="12" t="s">
        <v>2730</v>
      </c>
      <c r="I970" s="10">
        <v>45586</v>
      </c>
    </row>
    <row r="971" spans="1:9" x14ac:dyDescent="0.15">
      <c r="A971" s="9">
        <v>970</v>
      </c>
      <c r="B971" s="9" t="s">
        <v>9</v>
      </c>
      <c r="C971" s="9">
        <v>1920</v>
      </c>
      <c r="D971" s="10">
        <v>45677</v>
      </c>
      <c r="E971" s="13" t="str">
        <f>+HYPERLINK("http://trademark.i-assist.jp/data/china/image_1920th/81506239.pdf","81506239")</f>
        <v>81506239</v>
      </c>
      <c r="F971" s="9" t="s">
        <v>2731</v>
      </c>
      <c r="G971" s="12" t="s">
        <v>2732</v>
      </c>
      <c r="H971" s="9" t="s">
        <v>2733</v>
      </c>
      <c r="I971" s="10">
        <v>45586</v>
      </c>
    </row>
    <row r="972" spans="1:9" x14ac:dyDescent="0.15">
      <c r="A972" s="9">
        <v>971</v>
      </c>
      <c r="B972" s="9" t="s">
        <v>9</v>
      </c>
      <c r="C972" s="9">
        <v>1920</v>
      </c>
      <c r="D972" s="10">
        <v>45677</v>
      </c>
      <c r="E972" s="13" t="str">
        <f>+HYPERLINK("http://trademark.i-assist.jp/data/china/image_1920th/81507184.pdf","81507184")</f>
        <v>81507184</v>
      </c>
      <c r="F972" s="9" t="s">
        <v>2734</v>
      </c>
      <c r="G972" s="9" t="s">
        <v>2735</v>
      </c>
      <c r="H972" s="9" t="s">
        <v>2736</v>
      </c>
      <c r="I972" s="10">
        <v>45586</v>
      </c>
    </row>
    <row r="973" spans="1:9" x14ac:dyDescent="0.15">
      <c r="A973" s="9">
        <v>972</v>
      </c>
      <c r="B973" s="9" t="s">
        <v>9</v>
      </c>
      <c r="C973" s="9">
        <v>1920</v>
      </c>
      <c r="D973" s="10">
        <v>45677</v>
      </c>
      <c r="E973" s="13" t="str">
        <f>+HYPERLINK("http://trademark.i-assist.jp/data/china/image_1920th/81507459.pdf","81507459")</f>
        <v>81507459</v>
      </c>
      <c r="F973" s="9" t="s">
        <v>2737</v>
      </c>
      <c r="G973" s="9" t="s">
        <v>2542</v>
      </c>
      <c r="H973" s="12" t="s">
        <v>2738</v>
      </c>
      <c r="I973" s="10">
        <v>45586</v>
      </c>
    </row>
    <row r="974" spans="1:9" x14ac:dyDescent="0.15">
      <c r="A974" s="9">
        <v>973</v>
      </c>
      <c r="B974" s="9" t="s">
        <v>9</v>
      </c>
      <c r="C974" s="9">
        <v>1920</v>
      </c>
      <c r="D974" s="10">
        <v>45677</v>
      </c>
      <c r="E974" s="13" t="str">
        <f>+HYPERLINK("http://trademark.i-assist.jp/data/china/image_1920th/81508880.pdf","81508880")</f>
        <v>81508880</v>
      </c>
      <c r="F974" s="9" t="s">
        <v>2739</v>
      </c>
      <c r="G974" s="9" t="s">
        <v>2740</v>
      </c>
      <c r="H974" s="12" t="s">
        <v>2741</v>
      </c>
      <c r="I974" s="10">
        <v>45587</v>
      </c>
    </row>
    <row r="975" spans="1:9" x14ac:dyDescent="0.15">
      <c r="A975" s="9">
        <v>974</v>
      </c>
      <c r="B975" s="9" t="s">
        <v>9</v>
      </c>
      <c r="C975" s="9">
        <v>1920</v>
      </c>
      <c r="D975" s="10">
        <v>45677</v>
      </c>
      <c r="E975" s="13" t="str">
        <f>+HYPERLINK("http://trademark.i-assist.jp/data/china/image_1920th/81509376.pdf","81509376")</f>
        <v>81509376</v>
      </c>
      <c r="F975" s="12" t="s">
        <v>12</v>
      </c>
      <c r="G975" s="9" t="s">
        <v>2742</v>
      </c>
      <c r="H975" s="9" t="s">
        <v>2743</v>
      </c>
      <c r="I975" s="10">
        <v>45587</v>
      </c>
    </row>
    <row r="976" spans="1:9" x14ac:dyDescent="0.15">
      <c r="A976" s="9">
        <v>975</v>
      </c>
      <c r="B976" s="9" t="s">
        <v>9</v>
      </c>
      <c r="C976" s="9">
        <v>1920</v>
      </c>
      <c r="D976" s="10">
        <v>45677</v>
      </c>
      <c r="E976" s="13" t="str">
        <f>+HYPERLINK("http://trademark.i-assist.jp/data/china/image_1920th/81509568.pdf","81509568")</f>
        <v>81509568</v>
      </c>
      <c r="F976" s="9" t="s">
        <v>2744</v>
      </c>
      <c r="G976" s="12" t="s">
        <v>46</v>
      </c>
      <c r="H976" s="9" t="s">
        <v>2745</v>
      </c>
      <c r="I976" s="10">
        <v>45587</v>
      </c>
    </row>
    <row r="977" spans="1:9" x14ac:dyDescent="0.15">
      <c r="A977" s="9">
        <v>976</v>
      </c>
      <c r="B977" s="9" t="s">
        <v>9</v>
      </c>
      <c r="C977" s="9">
        <v>1920</v>
      </c>
      <c r="D977" s="10">
        <v>45677</v>
      </c>
      <c r="E977" s="13" t="str">
        <f>+HYPERLINK("http://trademark.i-assist.jp/data/china/image_1920th/81509704.pdf","81509704")</f>
        <v>81509704</v>
      </c>
      <c r="F977" s="9" t="s">
        <v>2746</v>
      </c>
      <c r="G977" s="9" t="s">
        <v>2747</v>
      </c>
      <c r="H977" s="9" t="s">
        <v>2748</v>
      </c>
      <c r="I977" s="10">
        <v>45587</v>
      </c>
    </row>
    <row r="978" spans="1:9" x14ac:dyDescent="0.15">
      <c r="A978" s="9">
        <v>977</v>
      </c>
      <c r="B978" s="9" t="s">
        <v>9</v>
      </c>
      <c r="C978" s="9">
        <v>1920</v>
      </c>
      <c r="D978" s="10">
        <v>45677</v>
      </c>
      <c r="E978" s="13" t="str">
        <f>+HYPERLINK("http://trademark.i-assist.jp/data/china/image_1920th/81510654.pdf","81510654")</f>
        <v>81510654</v>
      </c>
      <c r="F978" s="9" t="s">
        <v>2749</v>
      </c>
      <c r="G978" s="9" t="s">
        <v>2750</v>
      </c>
      <c r="H978" s="12" t="s">
        <v>2751</v>
      </c>
      <c r="I978" s="10">
        <v>45587</v>
      </c>
    </row>
    <row r="979" spans="1:9" x14ac:dyDescent="0.15">
      <c r="A979" s="9">
        <v>978</v>
      </c>
      <c r="B979" s="9" t="s">
        <v>9</v>
      </c>
      <c r="C979" s="9">
        <v>1920</v>
      </c>
      <c r="D979" s="10">
        <v>45677</v>
      </c>
      <c r="E979" s="13" t="str">
        <f>+HYPERLINK("http://trademark.i-assist.jp/data/china/image_1920th/81510804.pdf","81510804")</f>
        <v>81510804</v>
      </c>
      <c r="F979" s="12" t="s">
        <v>2752</v>
      </c>
      <c r="G979" s="9" t="s">
        <v>2753</v>
      </c>
      <c r="H979" s="9" t="s">
        <v>2754</v>
      </c>
      <c r="I979" s="10">
        <v>45587</v>
      </c>
    </row>
    <row r="980" spans="1:9" x14ac:dyDescent="0.15">
      <c r="A980" s="9">
        <v>979</v>
      </c>
      <c r="B980" s="9" t="s">
        <v>9</v>
      </c>
      <c r="C980" s="9">
        <v>1920</v>
      </c>
      <c r="D980" s="10">
        <v>45677</v>
      </c>
      <c r="E980" s="13" t="str">
        <f>+HYPERLINK("http://trademark.i-assist.jp/data/china/image_1920th/81510931.pdf","81510931")</f>
        <v>81510931</v>
      </c>
      <c r="F980" s="9" t="s">
        <v>2755</v>
      </c>
      <c r="G980" s="9" t="s">
        <v>2756</v>
      </c>
      <c r="H980" s="9" t="s">
        <v>2757</v>
      </c>
      <c r="I980" s="10">
        <v>45587</v>
      </c>
    </row>
    <row r="981" spans="1:9" x14ac:dyDescent="0.15">
      <c r="A981" s="9">
        <v>980</v>
      </c>
      <c r="B981" s="9" t="s">
        <v>9</v>
      </c>
      <c r="C981" s="9">
        <v>1920</v>
      </c>
      <c r="D981" s="10">
        <v>45677</v>
      </c>
      <c r="E981" s="13" t="str">
        <f>+HYPERLINK("http://trademark.i-assist.jp/data/china/image_1920th/81511301.pdf","81511301")</f>
        <v>81511301</v>
      </c>
      <c r="F981" s="12" t="s">
        <v>12</v>
      </c>
      <c r="G981" s="9" t="s">
        <v>2758</v>
      </c>
      <c r="H981" s="9" t="s">
        <v>2759</v>
      </c>
      <c r="I981" s="10">
        <v>45587</v>
      </c>
    </row>
    <row r="982" spans="1:9" x14ac:dyDescent="0.15">
      <c r="A982" s="9">
        <v>981</v>
      </c>
      <c r="B982" s="9" t="s">
        <v>9</v>
      </c>
      <c r="C982" s="9">
        <v>1920</v>
      </c>
      <c r="D982" s="10">
        <v>45677</v>
      </c>
      <c r="E982" s="13" t="str">
        <f>+HYPERLINK("http://trademark.i-assist.jp/data/china/image_1920th/81511573.pdf","81511573")</f>
        <v>81511573</v>
      </c>
      <c r="F982" s="11" t="s">
        <v>2760</v>
      </c>
      <c r="G982" s="9" t="s">
        <v>2761</v>
      </c>
      <c r="H982" s="9" t="s">
        <v>2762</v>
      </c>
      <c r="I982" s="10">
        <v>45587</v>
      </c>
    </row>
    <row r="983" spans="1:9" x14ac:dyDescent="0.15">
      <c r="A983" s="9">
        <v>982</v>
      </c>
      <c r="B983" s="9" t="s">
        <v>9</v>
      </c>
      <c r="C983" s="9">
        <v>1920</v>
      </c>
      <c r="D983" s="10">
        <v>45677</v>
      </c>
      <c r="E983" s="13" t="str">
        <f>+HYPERLINK("http://trademark.i-assist.jp/data/china/image_1920th/81511864.pdf","81511864")</f>
        <v>81511864</v>
      </c>
      <c r="F983" s="9" t="s">
        <v>2763</v>
      </c>
      <c r="G983" s="9" t="s">
        <v>2764</v>
      </c>
      <c r="H983" s="9" t="s">
        <v>2765</v>
      </c>
      <c r="I983" s="10">
        <v>45587</v>
      </c>
    </row>
    <row r="984" spans="1:9" x14ac:dyDescent="0.15">
      <c r="A984" s="9">
        <v>983</v>
      </c>
      <c r="B984" s="9" t="s">
        <v>9</v>
      </c>
      <c r="C984" s="9">
        <v>1920</v>
      </c>
      <c r="D984" s="10">
        <v>45677</v>
      </c>
      <c r="E984" s="13" t="str">
        <f>+HYPERLINK("http://trademark.i-assist.jp/data/china/image_1920th/81512049.pdf","81512049")</f>
        <v>81512049</v>
      </c>
      <c r="F984" s="9" t="s">
        <v>2766</v>
      </c>
      <c r="G984" s="9" t="s">
        <v>2767</v>
      </c>
      <c r="H984" s="9" t="s">
        <v>2768</v>
      </c>
      <c r="I984" s="10">
        <v>45587</v>
      </c>
    </row>
    <row r="985" spans="1:9" x14ac:dyDescent="0.15">
      <c r="A985" s="9">
        <v>984</v>
      </c>
      <c r="B985" s="9" t="s">
        <v>9</v>
      </c>
      <c r="C985" s="9">
        <v>1920</v>
      </c>
      <c r="D985" s="10">
        <v>45677</v>
      </c>
      <c r="E985" s="13" t="str">
        <f>+HYPERLINK("http://trademark.i-assist.jp/data/china/image_1920th/81512163.pdf","81512163")</f>
        <v>81512163</v>
      </c>
      <c r="F985" s="9" t="s">
        <v>2769</v>
      </c>
      <c r="G985" s="9" t="s">
        <v>2770</v>
      </c>
      <c r="H985" s="9" t="s">
        <v>2771</v>
      </c>
      <c r="I985" s="10">
        <v>45587</v>
      </c>
    </row>
    <row r="986" spans="1:9" x14ac:dyDescent="0.15">
      <c r="A986" s="9">
        <v>985</v>
      </c>
      <c r="B986" s="9" t="s">
        <v>9</v>
      </c>
      <c r="C986" s="9">
        <v>1920</v>
      </c>
      <c r="D986" s="10">
        <v>45677</v>
      </c>
      <c r="E986" s="13" t="str">
        <f>+HYPERLINK("http://trademark.i-assist.jp/data/china/image_1920th/81512319.pdf","81512319")</f>
        <v>81512319</v>
      </c>
      <c r="F986" s="9" t="s">
        <v>2772</v>
      </c>
      <c r="G986" s="9" t="s">
        <v>40</v>
      </c>
      <c r="H986" s="9" t="s">
        <v>2773</v>
      </c>
      <c r="I986" s="10">
        <v>45587</v>
      </c>
    </row>
    <row r="987" spans="1:9" x14ac:dyDescent="0.15">
      <c r="A987" s="9">
        <v>986</v>
      </c>
      <c r="B987" s="9" t="s">
        <v>9</v>
      </c>
      <c r="C987" s="9">
        <v>1920</v>
      </c>
      <c r="D987" s="10">
        <v>45677</v>
      </c>
      <c r="E987" s="13" t="str">
        <f>+HYPERLINK("http://trademark.i-assist.jp/data/china/image_1920th/81512334.pdf","81512334")</f>
        <v>81512334</v>
      </c>
      <c r="F987" s="9" t="s">
        <v>2774</v>
      </c>
      <c r="G987" s="9" t="s">
        <v>40</v>
      </c>
      <c r="H987" s="9" t="s">
        <v>2775</v>
      </c>
      <c r="I987" s="10">
        <v>45587</v>
      </c>
    </row>
    <row r="988" spans="1:9" x14ac:dyDescent="0.15">
      <c r="A988" s="9">
        <v>987</v>
      </c>
      <c r="B988" s="9" t="s">
        <v>9</v>
      </c>
      <c r="C988" s="9">
        <v>1920</v>
      </c>
      <c r="D988" s="10">
        <v>45677</v>
      </c>
      <c r="E988" s="13" t="str">
        <f>+HYPERLINK("http://trademark.i-assist.jp/data/china/image_1920th/81512970.pdf","81512970")</f>
        <v>81512970</v>
      </c>
      <c r="F988" s="9" t="s">
        <v>2776</v>
      </c>
      <c r="G988" s="9" t="s">
        <v>2777</v>
      </c>
      <c r="H988" s="9" t="s">
        <v>2778</v>
      </c>
      <c r="I988" s="10">
        <v>45587</v>
      </c>
    </row>
    <row r="989" spans="1:9" x14ac:dyDescent="0.15">
      <c r="A989" s="9">
        <v>988</v>
      </c>
      <c r="B989" s="9" t="s">
        <v>9</v>
      </c>
      <c r="C989" s="9">
        <v>1920</v>
      </c>
      <c r="D989" s="10">
        <v>45677</v>
      </c>
      <c r="E989" s="13" t="str">
        <f>+HYPERLINK("http://trademark.i-assist.jp/data/china/image_1920th/81513252.pdf","81513252")</f>
        <v>81513252</v>
      </c>
      <c r="F989" s="12" t="s">
        <v>2779</v>
      </c>
      <c r="G989" s="9" t="s">
        <v>2780</v>
      </c>
      <c r="H989" s="9" t="s">
        <v>2781</v>
      </c>
      <c r="I989" s="10">
        <v>45587</v>
      </c>
    </row>
    <row r="990" spans="1:9" x14ac:dyDescent="0.15">
      <c r="A990" s="9">
        <v>989</v>
      </c>
      <c r="B990" s="9" t="s">
        <v>9</v>
      </c>
      <c r="C990" s="9">
        <v>1920</v>
      </c>
      <c r="D990" s="10">
        <v>45677</v>
      </c>
      <c r="E990" s="13" t="str">
        <f>+HYPERLINK("http://trademark.i-assist.jp/data/china/image_1920th/81513677.pdf","81513677")</f>
        <v>81513677</v>
      </c>
      <c r="F990" s="9" t="s">
        <v>2782</v>
      </c>
      <c r="G990" s="9" t="s">
        <v>2783</v>
      </c>
      <c r="H990" s="12" t="s">
        <v>2784</v>
      </c>
      <c r="I990" s="10">
        <v>45587</v>
      </c>
    </row>
    <row r="991" spans="1:9" x14ac:dyDescent="0.15">
      <c r="A991" s="9">
        <v>990</v>
      </c>
      <c r="B991" s="9" t="s">
        <v>9</v>
      </c>
      <c r="C991" s="9">
        <v>1920</v>
      </c>
      <c r="D991" s="10">
        <v>45677</v>
      </c>
      <c r="E991" s="13" t="str">
        <f>+HYPERLINK("http://trademark.i-assist.jp/data/china/image_1920th/81513862.pdf","81513862")</f>
        <v>81513862</v>
      </c>
      <c r="F991" s="9" t="s">
        <v>2785</v>
      </c>
      <c r="G991" s="9" t="s">
        <v>2786</v>
      </c>
      <c r="H991" s="9" t="s">
        <v>2787</v>
      </c>
      <c r="I991" s="10">
        <v>45587</v>
      </c>
    </row>
    <row r="992" spans="1:9" x14ac:dyDescent="0.15">
      <c r="A992" s="9">
        <v>991</v>
      </c>
      <c r="B992" s="9" t="s">
        <v>9</v>
      </c>
      <c r="C992" s="9">
        <v>1920</v>
      </c>
      <c r="D992" s="10">
        <v>45677</v>
      </c>
      <c r="E992" s="13" t="str">
        <f>+HYPERLINK("http://trademark.i-assist.jp/data/china/image_1920th/81514487.pdf","81514487")</f>
        <v>81514487</v>
      </c>
      <c r="F992" s="9" t="s">
        <v>2788</v>
      </c>
      <c r="G992" s="9" t="s">
        <v>2789</v>
      </c>
      <c r="H992" s="12" t="s">
        <v>2790</v>
      </c>
      <c r="I992" s="10">
        <v>45587</v>
      </c>
    </row>
    <row r="993" spans="1:9" x14ac:dyDescent="0.15">
      <c r="A993" s="9">
        <v>992</v>
      </c>
      <c r="B993" s="9" t="s">
        <v>9</v>
      </c>
      <c r="C993" s="9">
        <v>1920</v>
      </c>
      <c r="D993" s="10">
        <v>45677</v>
      </c>
      <c r="E993" s="13" t="str">
        <f>+HYPERLINK("http://trademark.i-assist.jp/data/china/image_1920th/81514710.pdf","81514710")</f>
        <v>81514710</v>
      </c>
      <c r="F993" s="9" t="s">
        <v>2791</v>
      </c>
      <c r="G993" s="9" t="s">
        <v>2792</v>
      </c>
      <c r="H993" s="9" t="s">
        <v>2793</v>
      </c>
      <c r="I993" s="10">
        <v>45587</v>
      </c>
    </row>
    <row r="994" spans="1:9" x14ac:dyDescent="0.15">
      <c r="A994" s="9">
        <v>993</v>
      </c>
      <c r="B994" s="9" t="s">
        <v>9</v>
      </c>
      <c r="C994" s="9">
        <v>1920</v>
      </c>
      <c r="D994" s="10">
        <v>45677</v>
      </c>
      <c r="E994" s="13" t="str">
        <f>+HYPERLINK("http://trademark.i-assist.jp/data/china/image_1920th/81514751.pdf","81514751")</f>
        <v>81514751</v>
      </c>
      <c r="F994" s="12" t="s">
        <v>2794</v>
      </c>
      <c r="G994" s="9" t="s">
        <v>2795</v>
      </c>
      <c r="H994" s="9" t="s">
        <v>2796</v>
      </c>
      <c r="I994" s="10">
        <v>45587</v>
      </c>
    </row>
    <row r="995" spans="1:9" x14ac:dyDescent="0.15">
      <c r="A995" s="9">
        <v>994</v>
      </c>
      <c r="B995" s="9" t="s">
        <v>9</v>
      </c>
      <c r="C995" s="9">
        <v>1920</v>
      </c>
      <c r="D995" s="10">
        <v>45677</v>
      </c>
      <c r="E995" s="13" t="str">
        <f>+HYPERLINK("http://trademark.i-assist.jp/data/china/image_1920th/81514871.pdf","81514871")</f>
        <v>81514871</v>
      </c>
      <c r="F995" s="9" t="s">
        <v>2797</v>
      </c>
      <c r="G995" s="9" t="s">
        <v>2798</v>
      </c>
      <c r="H995" s="9" t="s">
        <v>2799</v>
      </c>
      <c r="I995" s="10">
        <v>45587</v>
      </c>
    </row>
    <row r="996" spans="1:9" x14ac:dyDescent="0.15">
      <c r="A996" s="9">
        <v>995</v>
      </c>
      <c r="B996" s="9" t="s">
        <v>9</v>
      </c>
      <c r="C996" s="9">
        <v>1920</v>
      </c>
      <c r="D996" s="10">
        <v>45677</v>
      </c>
      <c r="E996" s="13" t="str">
        <f>+HYPERLINK("http://trademark.i-assist.jp/data/china/image_1920th/81515045.pdf","81515045")</f>
        <v>81515045</v>
      </c>
      <c r="F996" s="9" t="s">
        <v>2800</v>
      </c>
      <c r="G996" s="9" t="s">
        <v>2801</v>
      </c>
      <c r="H996" s="12" t="s">
        <v>2802</v>
      </c>
      <c r="I996" s="10">
        <v>45587</v>
      </c>
    </row>
    <row r="997" spans="1:9" x14ac:dyDescent="0.15">
      <c r="A997" s="9">
        <v>996</v>
      </c>
      <c r="B997" s="9" t="s">
        <v>9</v>
      </c>
      <c r="C997" s="9">
        <v>1920</v>
      </c>
      <c r="D997" s="10">
        <v>45677</v>
      </c>
      <c r="E997" s="13" t="str">
        <f>+HYPERLINK("http://trademark.i-assist.jp/data/china/image_1920th/81515155.pdf","81515155")</f>
        <v>81515155</v>
      </c>
      <c r="F997" s="9" t="s">
        <v>2803</v>
      </c>
      <c r="G997" s="9" t="s">
        <v>2804</v>
      </c>
      <c r="H997" s="9" t="s">
        <v>2805</v>
      </c>
      <c r="I997" s="10">
        <v>45587</v>
      </c>
    </row>
    <row r="998" spans="1:9" x14ac:dyDescent="0.15">
      <c r="A998" s="9">
        <v>997</v>
      </c>
      <c r="B998" s="9" t="s">
        <v>9</v>
      </c>
      <c r="C998" s="9">
        <v>1920</v>
      </c>
      <c r="D998" s="10">
        <v>45677</v>
      </c>
      <c r="E998" s="13" t="str">
        <f>+HYPERLINK("http://trademark.i-assist.jp/data/china/image_1920th/81515157.pdf","81515157")</f>
        <v>81515157</v>
      </c>
      <c r="F998" s="9" t="s">
        <v>2806</v>
      </c>
      <c r="G998" s="9" t="s">
        <v>2807</v>
      </c>
      <c r="H998" s="9" t="s">
        <v>2808</v>
      </c>
      <c r="I998" s="10">
        <v>45587</v>
      </c>
    </row>
    <row r="999" spans="1:9" x14ac:dyDescent="0.15">
      <c r="A999" s="9">
        <v>998</v>
      </c>
      <c r="B999" s="9" t="s">
        <v>9</v>
      </c>
      <c r="C999" s="9">
        <v>1920</v>
      </c>
      <c r="D999" s="10">
        <v>45677</v>
      </c>
      <c r="E999" s="13" t="str">
        <f>+HYPERLINK("http://trademark.i-assist.jp/data/china/image_1920th/81515218.pdf","81515218")</f>
        <v>81515218</v>
      </c>
      <c r="F999" s="9" t="s">
        <v>2809</v>
      </c>
      <c r="G999" s="9" t="s">
        <v>2750</v>
      </c>
      <c r="H999" s="9" t="s">
        <v>2810</v>
      </c>
      <c r="I999" s="10">
        <v>45587</v>
      </c>
    </row>
    <row r="1000" spans="1:9" x14ac:dyDescent="0.15">
      <c r="A1000" s="9">
        <v>999</v>
      </c>
      <c r="B1000" s="9" t="s">
        <v>9</v>
      </c>
      <c r="C1000" s="9">
        <v>1920</v>
      </c>
      <c r="D1000" s="10">
        <v>45677</v>
      </c>
      <c r="E1000" s="13" t="str">
        <f>+HYPERLINK("http://trademark.i-assist.jp/data/china/image_1920th/81515400.pdf","81515400")</f>
        <v>81515400</v>
      </c>
      <c r="F1000" s="12" t="s">
        <v>2811</v>
      </c>
      <c r="G1000" s="9" t="s">
        <v>2812</v>
      </c>
      <c r="H1000" s="9" t="s">
        <v>2813</v>
      </c>
      <c r="I1000" s="10">
        <v>45587</v>
      </c>
    </row>
    <row r="1001" spans="1:9" x14ac:dyDescent="0.15">
      <c r="A1001" s="9">
        <v>1000</v>
      </c>
      <c r="B1001" s="9" t="s">
        <v>9</v>
      </c>
      <c r="C1001" s="9">
        <v>1920</v>
      </c>
      <c r="D1001" s="10">
        <v>45677</v>
      </c>
      <c r="E1001" s="13" t="str">
        <f>+HYPERLINK("http://trademark.i-assist.jp/data/china/image_1920th/81515532.pdf","81515532")</f>
        <v>81515532</v>
      </c>
      <c r="F1001" s="12" t="s">
        <v>2814</v>
      </c>
      <c r="G1001" s="9" t="s">
        <v>2747</v>
      </c>
      <c r="H1001" s="9" t="s">
        <v>2815</v>
      </c>
      <c r="I1001" s="10">
        <v>45587</v>
      </c>
    </row>
    <row r="1002" spans="1:9" x14ac:dyDescent="0.15">
      <c r="A1002" s="9">
        <v>1001</v>
      </c>
      <c r="B1002" s="9" t="s">
        <v>9</v>
      </c>
      <c r="C1002" s="9">
        <v>1920</v>
      </c>
      <c r="D1002" s="10">
        <v>45677</v>
      </c>
      <c r="E1002" s="13" t="str">
        <f>+HYPERLINK("http://trademark.i-assist.jp/data/china/image_1920th/81515760.pdf","81515760")</f>
        <v>81515760</v>
      </c>
      <c r="F1002" s="9" t="s">
        <v>2816</v>
      </c>
      <c r="G1002" s="9" t="s">
        <v>1481</v>
      </c>
      <c r="H1002" s="9" t="s">
        <v>2817</v>
      </c>
      <c r="I1002" s="10">
        <v>45587</v>
      </c>
    </row>
    <row r="1003" spans="1:9" x14ac:dyDescent="0.15">
      <c r="A1003" s="9">
        <v>1002</v>
      </c>
      <c r="B1003" s="9" t="s">
        <v>9</v>
      </c>
      <c r="C1003" s="9">
        <v>1920</v>
      </c>
      <c r="D1003" s="10">
        <v>45677</v>
      </c>
      <c r="E1003" s="13" t="str">
        <f>+HYPERLINK("http://trademark.i-assist.jp/data/china/image_1920th/81515944.pdf","81515944")</f>
        <v>81515944</v>
      </c>
      <c r="F1003" s="9" t="s">
        <v>2818</v>
      </c>
      <c r="G1003" s="9" t="s">
        <v>2819</v>
      </c>
      <c r="H1003" s="9" t="s">
        <v>2820</v>
      </c>
      <c r="I1003" s="10">
        <v>45587</v>
      </c>
    </row>
    <row r="1004" spans="1:9" x14ac:dyDescent="0.15">
      <c r="A1004" s="9">
        <v>1003</v>
      </c>
      <c r="B1004" s="9" t="s">
        <v>9</v>
      </c>
      <c r="C1004" s="9">
        <v>1920</v>
      </c>
      <c r="D1004" s="10">
        <v>45677</v>
      </c>
      <c r="E1004" s="13" t="str">
        <f>+HYPERLINK("http://trademark.i-assist.jp/data/china/image_1920th/81516379.pdf","81516379")</f>
        <v>81516379</v>
      </c>
      <c r="F1004" s="9" t="s">
        <v>2821</v>
      </c>
      <c r="G1004" s="9" t="s">
        <v>2822</v>
      </c>
      <c r="H1004" s="9" t="s">
        <v>2823</v>
      </c>
      <c r="I1004" s="10">
        <v>45587</v>
      </c>
    </row>
    <row r="1005" spans="1:9" x14ac:dyDescent="0.15">
      <c r="A1005" s="9">
        <v>1004</v>
      </c>
      <c r="B1005" s="9" t="s">
        <v>9</v>
      </c>
      <c r="C1005" s="9">
        <v>1920</v>
      </c>
      <c r="D1005" s="10">
        <v>45677</v>
      </c>
      <c r="E1005" s="13" t="str">
        <f>+HYPERLINK("http://trademark.i-assist.jp/data/china/image_1920th/81516396.pdf","81516396")</f>
        <v>81516396</v>
      </c>
      <c r="F1005" s="9" t="s">
        <v>2824</v>
      </c>
      <c r="G1005" s="9" t="s">
        <v>2825</v>
      </c>
      <c r="H1005" s="9" t="s">
        <v>2826</v>
      </c>
      <c r="I1005" s="10">
        <v>45587</v>
      </c>
    </row>
    <row r="1006" spans="1:9" x14ac:dyDescent="0.15">
      <c r="A1006" s="9">
        <v>1005</v>
      </c>
      <c r="B1006" s="9" t="s">
        <v>9</v>
      </c>
      <c r="C1006" s="9">
        <v>1920</v>
      </c>
      <c r="D1006" s="10">
        <v>45677</v>
      </c>
      <c r="E1006" s="13" t="str">
        <f>+HYPERLINK("http://trademark.i-assist.jp/data/china/image_1920th/81516399.pdf","81516399")</f>
        <v>81516399</v>
      </c>
      <c r="F1006" s="12" t="s">
        <v>2827</v>
      </c>
      <c r="G1006" s="9" t="s">
        <v>2761</v>
      </c>
      <c r="H1006" s="9" t="s">
        <v>2828</v>
      </c>
      <c r="I1006" s="10">
        <v>45587</v>
      </c>
    </row>
    <row r="1007" spans="1:9" x14ac:dyDescent="0.15">
      <c r="A1007" s="9">
        <v>1006</v>
      </c>
      <c r="B1007" s="9" t="s">
        <v>9</v>
      </c>
      <c r="C1007" s="9">
        <v>1920</v>
      </c>
      <c r="D1007" s="10">
        <v>45677</v>
      </c>
      <c r="E1007" s="13" t="str">
        <f>+HYPERLINK("http://trademark.i-assist.jp/data/china/image_1920th/81516516.pdf","81516516")</f>
        <v>81516516</v>
      </c>
      <c r="F1007" s="12" t="s">
        <v>2829</v>
      </c>
      <c r="G1007" s="9" t="s">
        <v>2830</v>
      </c>
      <c r="H1007" s="9" t="s">
        <v>2831</v>
      </c>
      <c r="I1007" s="10">
        <v>45587</v>
      </c>
    </row>
    <row r="1008" spans="1:9" x14ac:dyDescent="0.15">
      <c r="A1008" s="9">
        <v>1007</v>
      </c>
      <c r="B1008" s="9" t="s">
        <v>9</v>
      </c>
      <c r="C1008" s="9">
        <v>1920</v>
      </c>
      <c r="D1008" s="10">
        <v>45677</v>
      </c>
      <c r="E1008" s="13" t="str">
        <f>+HYPERLINK("http://trademark.i-assist.jp/data/china/image_1920th/81518175.pdf","81518175")</f>
        <v>81518175</v>
      </c>
      <c r="F1008" s="9" t="s">
        <v>2832</v>
      </c>
      <c r="G1008" s="9" t="s">
        <v>2750</v>
      </c>
      <c r="H1008" s="9" t="s">
        <v>2833</v>
      </c>
      <c r="I1008" s="10">
        <v>45587</v>
      </c>
    </row>
    <row r="1009" spans="1:9" x14ac:dyDescent="0.15">
      <c r="A1009" s="9">
        <v>1008</v>
      </c>
      <c r="B1009" s="9" t="s">
        <v>9</v>
      </c>
      <c r="C1009" s="9">
        <v>1920</v>
      </c>
      <c r="D1009" s="10">
        <v>45677</v>
      </c>
      <c r="E1009" s="13" t="str">
        <f>+HYPERLINK("http://trademark.i-assist.jp/data/china/image_1920th/81518667.pdf","81518667")</f>
        <v>81518667</v>
      </c>
      <c r="F1009" s="9" t="s">
        <v>2834</v>
      </c>
      <c r="G1009" s="9" t="s">
        <v>2835</v>
      </c>
      <c r="H1009" s="9" t="s">
        <v>2836</v>
      </c>
      <c r="I1009" s="10">
        <v>45587</v>
      </c>
    </row>
    <row r="1010" spans="1:9" x14ac:dyDescent="0.15">
      <c r="A1010" s="9">
        <v>1009</v>
      </c>
      <c r="B1010" s="9" t="s">
        <v>9</v>
      </c>
      <c r="C1010" s="9">
        <v>1920</v>
      </c>
      <c r="D1010" s="10">
        <v>45677</v>
      </c>
      <c r="E1010" s="13" t="str">
        <f>+HYPERLINK("http://trademark.i-assist.jp/data/china/image_1920th/81519681.pdf","81519681")</f>
        <v>81519681</v>
      </c>
      <c r="F1010" s="9" t="s">
        <v>2837</v>
      </c>
      <c r="G1010" s="9" t="s">
        <v>2786</v>
      </c>
      <c r="H1010" s="9" t="s">
        <v>2838</v>
      </c>
      <c r="I1010" s="10">
        <v>45587</v>
      </c>
    </row>
    <row r="1011" spans="1:9" x14ac:dyDescent="0.15">
      <c r="A1011" s="9">
        <v>1010</v>
      </c>
      <c r="B1011" s="9" t="s">
        <v>9</v>
      </c>
      <c r="C1011" s="9">
        <v>1920</v>
      </c>
      <c r="D1011" s="10">
        <v>45677</v>
      </c>
      <c r="E1011" s="13" t="str">
        <f>+HYPERLINK("http://trademark.i-assist.jp/data/china/image_1920th/81519751.pdf","81519751")</f>
        <v>81519751</v>
      </c>
      <c r="F1011" s="9" t="s">
        <v>2839</v>
      </c>
      <c r="G1011" s="9" t="s">
        <v>2840</v>
      </c>
      <c r="H1011" s="9" t="s">
        <v>2841</v>
      </c>
      <c r="I1011" s="10">
        <v>45587</v>
      </c>
    </row>
    <row r="1012" spans="1:9" x14ac:dyDescent="0.15">
      <c r="A1012" s="9">
        <v>1011</v>
      </c>
      <c r="B1012" s="9" t="s">
        <v>9</v>
      </c>
      <c r="C1012" s="9">
        <v>1920</v>
      </c>
      <c r="D1012" s="10">
        <v>45677</v>
      </c>
      <c r="E1012" s="13" t="str">
        <f>+HYPERLINK("http://trademark.i-assist.jp/data/china/image_1920th/81520138.pdf","81520138")</f>
        <v>81520138</v>
      </c>
      <c r="F1012" s="9" t="s">
        <v>2842</v>
      </c>
      <c r="G1012" s="12" t="s">
        <v>2843</v>
      </c>
      <c r="H1012" s="9" t="s">
        <v>2844</v>
      </c>
      <c r="I1012" s="10">
        <v>45587</v>
      </c>
    </row>
    <row r="1013" spans="1:9" x14ac:dyDescent="0.15">
      <c r="A1013" s="9">
        <v>1012</v>
      </c>
      <c r="B1013" s="9" t="s">
        <v>9</v>
      </c>
      <c r="C1013" s="9">
        <v>1920</v>
      </c>
      <c r="D1013" s="10">
        <v>45677</v>
      </c>
      <c r="E1013" s="13" t="str">
        <f>+HYPERLINK("http://trademark.i-assist.jp/data/china/image_1920th/81520194.pdf","81520194")</f>
        <v>81520194</v>
      </c>
      <c r="F1013" s="9" t="s">
        <v>2845</v>
      </c>
      <c r="G1013" s="9" t="s">
        <v>2846</v>
      </c>
      <c r="H1013" s="9" t="s">
        <v>2847</v>
      </c>
      <c r="I1013" s="10">
        <v>45587</v>
      </c>
    </row>
    <row r="1014" spans="1:9" x14ac:dyDescent="0.15">
      <c r="A1014" s="9">
        <v>1013</v>
      </c>
      <c r="B1014" s="9" t="s">
        <v>9</v>
      </c>
      <c r="C1014" s="9">
        <v>1920</v>
      </c>
      <c r="D1014" s="10">
        <v>45677</v>
      </c>
      <c r="E1014" s="13" t="str">
        <f>+HYPERLINK("http://trademark.i-assist.jp/data/china/image_1920th/81520815.pdf","81520815")</f>
        <v>81520815</v>
      </c>
      <c r="F1014" s="9" t="s">
        <v>2848</v>
      </c>
      <c r="G1014" s="9" t="s">
        <v>2849</v>
      </c>
      <c r="H1014" s="12" t="s">
        <v>2850</v>
      </c>
      <c r="I1014" s="10">
        <v>45587</v>
      </c>
    </row>
    <row r="1015" spans="1:9" x14ac:dyDescent="0.15">
      <c r="A1015" s="9">
        <v>1014</v>
      </c>
      <c r="B1015" s="9" t="s">
        <v>9</v>
      </c>
      <c r="C1015" s="9">
        <v>1920</v>
      </c>
      <c r="D1015" s="10">
        <v>45677</v>
      </c>
      <c r="E1015" s="13" t="str">
        <f>+HYPERLINK("http://trademark.i-assist.jp/data/china/image_1920th/81520848.pdf","81520848")</f>
        <v>81520848</v>
      </c>
      <c r="F1015" s="12" t="s">
        <v>2851</v>
      </c>
      <c r="G1015" s="9" t="s">
        <v>53</v>
      </c>
      <c r="H1015" s="9" t="s">
        <v>2852</v>
      </c>
      <c r="I1015" s="10">
        <v>45587</v>
      </c>
    </row>
    <row r="1016" spans="1:9" x14ac:dyDescent="0.15">
      <c r="A1016" s="9">
        <v>1015</v>
      </c>
      <c r="B1016" s="9" t="s">
        <v>9</v>
      </c>
      <c r="C1016" s="9">
        <v>1920</v>
      </c>
      <c r="D1016" s="10">
        <v>45677</v>
      </c>
      <c r="E1016" s="13" t="str">
        <f>+HYPERLINK("http://trademark.i-assist.jp/data/china/image_1920th/81520913.pdf","81520913")</f>
        <v>81520913</v>
      </c>
      <c r="F1016" s="12" t="s">
        <v>2853</v>
      </c>
      <c r="G1016" s="9" t="s">
        <v>2761</v>
      </c>
      <c r="H1016" s="9" t="s">
        <v>2854</v>
      </c>
      <c r="I1016" s="10">
        <v>45587</v>
      </c>
    </row>
    <row r="1017" spans="1:9" x14ac:dyDescent="0.15">
      <c r="A1017" s="9">
        <v>1016</v>
      </c>
      <c r="B1017" s="9" t="s">
        <v>9</v>
      </c>
      <c r="C1017" s="9">
        <v>1920</v>
      </c>
      <c r="D1017" s="10">
        <v>45677</v>
      </c>
      <c r="E1017" s="13" t="str">
        <f>+HYPERLINK("http://trademark.i-assist.jp/data/china/image_1920th/81521157.pdf","81521157")</f>
        <v>81521157</v>
      </c>
      <c r="F1017" s="9" t="s">
        <v>2855</v>
      </c>
      <c r="G1017" s="9" t="s">
        <v>2856</v>
      </c>
      <c r="H1017" s="12" t="s">
        <v>2857</v>
      </c>
      <c r="I1017" s="10">
        <v>45587</v>
      </c>
    </row>
    <row r="1018" spans="1:9" x14ac:dyDescent="0.15">
      <c r="A1018" s="9">
        <v>1017</v>
      </c>
      <c r="B1018" s="9" t="s">
        <v>9</v>
      </c>
      <c r="C1018" s="9">
        <v>1920</v>
      </c>
      <c r="D1018" s="10">
        <v>45677</v>
      </c>
      <c r="E1018" s="13" t="str">
        <f>+HYPERLINK("http://trademark.i-assist.jp/data/china/image_1920th/81521177.pdf","81521177")</f>
        <v>81521177</v>
      </c>
      <c r="F1018" s="9" t="s">
        <v>2858</v>
      </c>
      <c r="G1018" s="9" t="s">
        <v>2859</v>
      </c>
      <c r="H1018" s="9" t="s">
        <v>2860</v>
      </c>
      <c r="I1018" s="10">
        <v>45587</v>
      </c>
    </row>
    <row r="1019" spans="1:9" x14ac:dyDescent="0.15">
      <c r="A1019" s="9">
        <v>1018</v>
      </c>
      <c r="B1019" s="9" t="s">
        <v>9</v>
      </c>
      <c r="C1019" s="9">
        <v>1920</v>
      </c>
      <c r="D1019" s="10">
        <v>45677</v>
      </c>
      <c r="E1019" s="13" t="str">
        <f>+HYPERLINK("http://trademark.i-assist.jp/data/china/image_1920th/81521428.pdf","81521428")</f>
        <v>81521428</v>
      </c>
      <c r="F1019" s="12" t="s">
        <v>12</v>
      </c>
      <c r="G1019" s="9" t="s">
        <v>2861</v>
      </c>
      <c r="H1019" s="9" t="s">
        <v>2862</v>
      </c>
      <c r="I1019" s="10">
        <v>45587</v>
      </c>
    </row>
    <row r="1020" spans="1:9" x14ac:dyDescent="0.15">
      <c r="A1020" s="9">
        <v>1019</v>
      </c>
      <c r="B1020" s="9" t="s">
        <v>9</v>
      </c>
      <c r="C1020" s="9">
        <v>1920</v>
      </c>
      <c r="D1020" s="10">
        <v>45677</v>
      </c>
      <c r="E1020" s="13" t="str">
        <f>+HYPERLINK("http://trademark.i-assist.jp/data/china/image_1920th/81522011.pdf","81522011")</f>
        <v>81522011</v>
      </c>
      <c r="F1020" s="9" t="s">
        <v>2863</v>
      </c>
      <c r="G1020" s="12" t="s">
        <v>46</v>
      </c>
      <c r="H1020" s="9" t="s">
        <v>2864</v>
      </c>
      <c r="I1020" s="10">
        <v>45587</v>
      </c>
    </row>
    <row r="1021" spans="1:9" x14ac:dyDescent="0.15">
      <c r="A1021" s="9">
        <v>1020</v>
      </c>
      <c r="B1021" s="9" t="s">
        <v>9</v>
      </c>
      <c r="C1021" s="9">
        <v>1920</v>
      </c>
      <c r="D1021" s="10">
        <v>45677</v>
      </c>
      <c r="E1021" s="13" t="str">
        <f>+HYPERLINK("http://trademark.i-assist.jp/data/china/image_1920th/81522153.pdf","81522153")</f>
        <v>81522153</v>
      </c>
      <c r="F1021" s="9" t="s">
        <v>2865</v>
      </c>
      <c r="G1021" s="9" t="s">
        <v>2866</v>
      </c>
      <c r="H1021" s="9" t="s">
        <v>2867</v>
      </c>
      <c r="I1021" s="10">
        <v>45587</v>
      </c>
    </row>
    <row r="1022" spans="1:9" x14ac:dyDescent="0.15">
      <c r="A1022" s="9">
        <v>1021</v>
      </c>
      <c r="B1022" s="9" t="s">
        <v>9</v>
      </c>
      <c r="C1022" s="9">
        <v>1920</v>
      </c>
      <c r="D1022" s="10">
        <v>45677</v>
      </c>
      <c r="E1022" s="13" t="str">
        <f>+HYPERLINK("http://trademark.i-assist.jp/data/china/image_1920th/81522605.pdf","81522605")</f>
        <v>81522605</v>
      </c>
      <c r="F1022" s="9" t="s">
        <v>2868</v>
      </c>
      <c r="G1022" s="11" t="s">
        <v>2869</v>
      </c>
      <c r="H1022" s="9" t="s">
        <v>2870</v>
      </c>
      <c r="I1022" s="10">
        <v>45587</v>
      </c>
    </row>
    <row r="1023" spans="1:9" x14ac:dyDescent="0.15">
      <c r="A1023" s="9">
        <v>1022</v>
      </c>
      <c r="B1023" s="9" t="s">
        <v>9</v>
      </c>
      <c r="C1023" s="9">
        <v>1920</v>
      </c>
      <c r="D1023" s="10">
        <v>45677</v>
      </c>
      <c r="E1023" s="13" t="str">
        <f>+HYPERLINK("http://trademark.i-assist.jp/data/china/image_1920th/81523108.pdf","81523108")</f>
        <v>81523108</v>
      </c>
      <c r="F1023" s="9" t="s">
        <v>2871</v>
      </c>
      <c r="G1023" s="9" t="s">
        <v>2780</v>
      </c>
      <c r="H1023" s="9" t="s">
        <v>2872</v>
      </c>
      <c r="I1023" s="10">
        <v>45587</v>
      </c>
    </row>
    <row r="1024" spans="1:9" x14ac:dyDescent="0.15">
      <c r="A1024" s="9">
        <v>1023</v>
      </c>
      <c r="B1024" s="9" t="s">
        <v>9</v>
      </c>
      <c r="C1024" s="9">
        <v>1920</v>
      </c>
      <c r="D1024" s="10">
        <v>45677</v>
      </c>
      <c r="E1024" s="13" t="str">
        <f>+HYPERLINK("http://trademark.i-assist.jp/data/china/image_1920th/81523187.pdf","81523187")</f>
        <v>81523187</v>
      </c>
      <c r="F1024" s="9" t="s">
        <v>2873</v>
      </c>
      <c r="G1024" s="9" t="s">
        <v>2874</v>
      </c>
      <c r="H1024" s="9" t="s">
        <v>2875</v>
      </c>
      <c r="I1024" s="10">
        <v>45587</v>
      </c>
    </row>
    <row r="1025" spans="1:9" x14ac:dyDescent="0.15">
      <c r="A1025" s="9">
        <v>1024</v>
      </c>
      <c r="B1025" s="9" t="s">
        <v>9</v>
      </c>
      <c r="C1025" s="9">
        <v>1920</v>
      </c>
      <c r="D1025" s="10">
        <v>45677</v>
      </c>
      <c r="E1025" s="13" t="str">
        <f>+HYPERLINK("http://trademark.i-assist.jp/data/china/image_1920th/81523632.pdf","81523632")</f>
        <v>81523632</v>
      </c>
      <c r="F1025" s="12" t="s">
        <v>2876</v>
      </c>
      <c r="G1025" s="9" t="s">
        <v>53</v>
      </c>
      <c r="H1025" s="9" t="s">
        <v>2877</v>
      </c>
      <c r="I1025" s="10">
        <v>45587</v>
      </c>
    </row>
    <row r="1026" spans="1:9" x14ac:dyDescent="0.15">
      <c r="A1026" s="9">
        <v>1025</v>
      </c>
      <c r="B1026" s="9" t="s">
        <v>9</v>
      </c>
      <c r="C1026" s="9">
        <v>1920</v>
      </c>
      <c r="D1026" s="10">
        <v>45677</v>
      </c>
      <c r="E1026" s="13" t="str">
        <f>+HYPERLINK("http://trademark.i-assist.jp/data/china/image_1920th/81523982.pdf","81523982")</f>
        <v>81523982</v>
      </c>
      <c r="F1026" s="9" t="s">
        <v>2878</v>
      </c>
      <c r="G1026" s="9" t="s">
        <v>2822</v>
      </c>
      <c r="H1026" s="9" t="s">
        <v>2879</v>
      </c>
      <c r="I1026" s="10">
        <v>45587</v>
      </c>
    </row>
    <row r="1027" spans="1:9" x14ac:dyDescent="0.15">
      <c r="A1027" s="9">
        <v>1026</v>
      </c>
      <c r="B1027" s="9" t="s">
        <v>9</v>
      </c>
      <c r="C1027" s="9">
        <v>1920</v>
      </c>
      <c r="D1027" s="10">
        <v>45677</v>
      </c>
      <c r="E1027" s="13" t="str">
        <f>+HYPERLINK("http://trademark.i-assist.jp/data/china/image_1920th/81524135.pdf","81524135")</f>
        <v>81524135</v>
      </c>
      <c r="F1027" s="9" t="s">
        <v>2880</v>
      </c>
      <c r="G1027" s="9" t="s">
        <v>2881</v>
      </c>
      <c r="H1027" s="9" t="s">
        <v>2882</v>
      </c>
      <c r="I1027" s="10">
        <v>45587</v>
      </c>
    </row>
    <row r="1028" spans="1:9" x14ac:dyDescent="0.15">
      <c r="A1028" s="9">
        <v>1027</v>
      </c>
      <c r="B1028" s="9" t="s">
        <v>9</v>
      </c>
      <c r="C1028" s="9">
        <v>1920</v>
      </c>
      <c r="D1028" s="10">
        <v>45677</v>
      </c>
      <c r="E1028" s="13" t="str">
        <f>+HYPERLINK("http://trademark.i-assist.jp/data/china/image_1920th/81524323.pdf","81524323")</f>
        <v>81524323</v>
      </c>
      <c r="F1028" s="9" t="s">
        <v>2883</v>
      </c>
      <c r="G1028" s="9" t="s">
        <v>130</v>
      </c>
      <c r="H1028" s="9" t="s">
        <v>2884</v>
      </c>
      <c r="I1028" s="10">
        <v>45587</v>
      </c>
    </row>
    <row r="1029" spans="1:9" x14ac:dyDescent="0.15">
      <c r="A1029" s="9">
        <v>1028</v>
      </c>
      <c r="B1029" s="9" t="s">
        <v>9</v>
      </c>
      <c r="C1029" s="9">
        <v>1920</v>
      </c>
      <c r="D1029" s="10">
        <v>45677</v>
      </c>
      <c r="E1029" s="13" t="str">
        <f>+HYPERLINK("http://trademark.i-assist.jp/data/china/image_1920th/81524646.pdf","81524646")</f>
        <v>81524646</v>
      </c>
      <c r="F1029" s="9" t="s">
        <v>2885</v>
      </c>
      <c r="G1029" s="9" t="s">
        <v>2886</v>
      </c>
      <c r="H1029" s="9" t="s">
        <v>2887</v>
      </c>
      <c r="I1029" s="10">
        <v>45587</v>
      </c>
    </row>
    <row r="1030" spans="1:9" x14ac:dyDescent="0.15">
      <c r="A1030" s="9">
        <v>1029</v>
      </c>
      <c r="B1030" s="9" t="s">
        <v>9</v>
      </c>
      <c r="C1030" s="9">
        <v>1920</v>
      </c>
      <c r="D1030" s="10">
        <v>45677</v>
      </c>
      <c r="E1030" s="13" t="str">
        <f>+HYPERLINK("http://trademark.i-assist.jp/data/china/image_1920th/81524733.pdf","81524733")</f>
        <v>81524733</v>
      </c>
      <c r="F1030" s="12" t="s">
        <v>2888</v>
      </c>
      <c r="G1030" s="12" t="s">
        <v>2889</v>
      </c>
      <c r="H1030" s="9" t="s">
        <v>2890</v>
      </c>
      <c r="I1030" s="10">
        <v>45587</v>
      </c>
    </row>
    <row r="1031" spans="1:9" x14ac:dyDescent="0.15">
      <c r="A1031" s="9">
        <v>1030</v>
      </c>
      <c r="B1031" s="9" t="s">
        <v>9</v>
      </c>
      <c r="C1031" s="9">
        <v>1920</v>
      </c>
      <c r="D1031" s="10">
        <v>45677</v>
      </c>
      <c r="E1031" s="13" t="str">
        <f>+HYPERLINK("http://trademark.i-assist.jp/data/china/image_1920th/81525102.pdf","81525102")</f>
        <v>81525102</v>
      </c>
      <c r="F1031" s="9" t="s">
        <v>2891</v>
      </c>
      <c r="G1031" s="9" t="s">
        <v>2892</v>
      </c>
      <c r="H1031" s="9" t="s">
        <v>2893</v>
      </c>
      <c r="I1031" s="10">
        <v>45587</v>
      </c>
    </row>
    <row r="1032" spans="1:9" x14ac:dyDescent="0.15">
      <c r="A1032" s="9">
        <v>1031</v>
      </c>
      <c r="B1032" s="9" t="s">
        <v>9</v>
      </c>
      <c r="C1032" s="9">
        <v>1920</v>
      </c>
      <c r="D1032" s="10">
        <v>45677</v>
      </c>
      <c r="E1032" s="13" t="str">
        <f>+HYPERLINK("http://trademark.i-assist.jp/data/china/image_1920th/81525163.pdf","81525163")</f>
        <v>81525163</v>
      </c>
      <c r="F1032" s="12" t="s">
        <v>2894</v>
      </c>
      <c r="G1032" s="9" t="s">
        <v>2895</v>
      </c>
      <c r="H1032" s="9" t="s">
        <v>2896</v>
      </c>
      <c r="I1032" s="10">
        <v>45587</v>
      </c>
    </row>
    <row r="1033" spans="1:9" x14ac:dyDescent="0.15">
      <c r="A1033" s="9">
        <v>1032</v>
      </c>
      <c r="B1033" s="9" t="s">
        <v>9</v>
      </c>
      <c r="C1033" s="9">
        <v>1920</v>
      </c>
      <c r="D1033" s="10">
        <v>45677</v>
      </c>
      <c r="E1033" s="13" t="str">
        <f>+HYPERLINK("http://trademark.i-assist.jp/data/china/image_1920th/81525636.pdf","81525636")</f>
        <v>81525636</v>
      </c>
      <c r="F1033" s="12" t="s">
        <v>12</v>
      </c>
      <c r="G1033" s="9" t="s">
        <v>2897</v>
      </c>
      <c r="H1033" s="12" t="s">
        <v>2898</v>
      </c>
      <c r="I1033" s="10">
        <v>45587</v>
      </c>
    </row>
    <row r="1034" spans="1:9" x14ac:dyDescent="0.15">
      <c r="A1034" s="9">
        <v>1033</v>
      </c>
      <c r="B1034" s="9" t="s">
        <v>9</v>
      </c>
      <c r="C1034" s="9">
        <v>1920</v>
      </c>
      <c r="D1034" s="10">
        <v>45677</v>
      </c>
      <c r="E1034" s="13" t="str">
        <f>+HYPERLINK("http://trademark.i-assist.jp/data/china/image_1920th/81525837.pdf","81525837")</f>
        <v>81525837</v>
      </c>
      <c r="F1034" s="9" t="s">
        <v>2899</v>
      </c>
      <c r="G1034" s="12" t="s">
        <v>2900</v>
      </c>
      <c r="H1034" s="9" t="s">
        <v>2901</v>
      </c>
      <c r="I1034" s="10">
        <v>45587</v>
      </c>
    </row>
    <row r="1035" spans="1:9" x14ac:dyDescent="0.15">
      <c r="A1035" s="9">
        <v>1034</v>
      </c>
      <c r="B1035" s="9" t="s">
        <v>9</v>
      </c>
      <c r="C1035" s="9">
        <v>1920</v>
      </c>
      <c r="D1035" s="10">
        <v>45677</v>
      </c>
      <c r="E1035" s="13" t="str">
        <f>+HYPERLINK("http://trademark.i-assist.jp/data/china/image_1920th/81525882.pdf","81525882")</f>
        <v>81525882</v>
      </c>
      <c r="F1035" s="12" t="s">
        <v>2902</v>
      </c>
      <c r="G1035" s="9" t="s">
        <v>2903</v>
      </c>
      <c r="H1035" s="9" t="s">
        <v>2904</v>
      </c>
      <c r="I1035" s="10">
        <v>45587</v>
      </c>
    </row>
    <row r="1036" spans="1:9" x14ac:dyDescent="0.15">
      <c r="A1036" s="9">
        <v>1035</v>
      </c>
      <c r="B1036" s="9" t="s">
        <v>9</v>
      </c>
      <c r="C1036" s="9">
        <v>1920</v>
      </c>
      <c r="D1036" s="10">
        <v>45677</v>
      </c>
      <c r="E1036" s="13" t="str">
        <f>+HYPERLINK("http://trademark.i-assist.jp/data/china/image_1920th/81525992.pdf","81525992")</f>
        <v>81525992</v>
      </c>
      <c r="F1036" s="9" t="s">
        <v>2905</v>
      </c>
      <c r="G1036" s="9" t="s">
        <v>125</v>
      </c>
      <c r="H1036" s="9" t="s">
        <v>2906</v>
      </c>
      <c r="I1036" s="10">
        <v>45587</v>
      </c>
    </row>
    <row r="1037" spans="1:9" x14ac:dyDescent="0.15">
      <c r="A1037" s="9">
        <v>1036</v>
      </c>
      <c r="B1037" s="9" t="s">
        <v>9</v>
      </c>
      <c r="C1037" s="9">
        <v>1920</v>
      </c>
      <c r="D1037" s="10">
        <v>45677</v>
      </c>
      <c r="E1037" s="13" t="str">
        <f>+HYPERLINK("http://trademark.i-assist.jp/data/china/image_1920th/81526044.pdf","81526044")</f>
        <v>81526044</v>
      </c>
      <c r="F1037" s="12" t="s">
        <v>2907</v>
      </c>
      <c r="G1037" s="9" t="s">
        <v>2756</v>
      </c>
      <c r="H1037" s="9" t="s">
        <v>2908</v>
      </c>
      <c r="I1037" s="10">
        <v>45587</v>
      </c>
    </row>
    <row r="1038" spans="1:9" x14ac:dyDescent="0.15">
      <c r="A1038" s="9">
        <v>1037</v>
      </c>
      <c r="B1038" s="9" t="s">
        <v>9</v>
      </c>
      <c r="C1038" s="9">
        <v>1920</v>
      </c>
      <c r="D1038" s="10">
        <v>45677</v>
      </c>
      <c r="E1038" s="13" t="str">
        <f>+HYPERLINK("http://trademark.i-assist.jp/data/china/image_1920th/81526200.pdf","81526200")</f>
        <v>81526200</v>
      </c>
      <c r="F1038" s="9" t="s">
        <v>2909</v>
      </c>
      <c r="G1038" s="9" t="s">
        <v>2910</v>
      </c>
      <c r="H1038" s="9" t="s">
        <v>2911</v>
      </c>
      <c r="I1038" s="10">
        <v>45587</v>
      </c>
    </row>
    <row r="1039" spans="1:9" x14ac:dyDescent="0.15">
      <c r="A1039" s="9">
        <v>1038</v>
      </c>
      <c r="B1039" s="9" t="s">
        <v>9</v>
      </c>
      <c r="C1039" s="9">
        <v>1920</v>
      </c>
      <c r="D1039" s="10">
        <v>45677</v>
      </c>
      <c r="E1039" s="13" t="str">
        <f>+HYPERLINK("http://trademark.i-assist.jp/data/china/image_1920th/81526305.pdf","81526305")</f>
        <v>81526305</v>
      </c>
      <c r="F1039" s="9" t="s">
        <v>2912</v>
      </c>
      <c r="G1039" s="9" t="s">
        <v>2913</v>
      </c>
      <c r="H1039" s="9" t="s">
        <v>2914</v>
      </c>
      <c r="I1039" s="10">
        <v>45587</v>
      </c>
    </row>
    <row r="1040" spans="1:9" x14ac:dyDescent="0.15">
      <c r="A1040" s="9">
        <v>1039</v>
      </c>
      <c r="B1040" s="9" t="s">
        <v>9</v>
      </c>
      <c r="C1040" s="9">
        <v>1920</v>
      </c>
      <c r="D1040" s="10">
        <v>45677</v>
      </c>
      <c r="E1040" s="13" t="str">
        <f>+HYPERLINK("http://trademark.i-assist.jp/data/china/image_1920th/81526567.pdf","81526567")</f>
        <v>81526567</v>
      </c>
      <c r="F1040" s="9" t="s">
        <v>2915</v>
      </c>
      <c r="G1040" s="12" t="s">
        <v>2916</v>
      </c>
      <c r="H1040" s="9" t="s">
        <v>2917</v>
      </c>
      <c r="I1040" s="10">
        <v>45587</v>
      </c>
    </row>
    <row r="1041" spans="1:9" x14ac:dyDescent="0.15">
      <c r="A1041" s="9">
        <v>1040</v>
      </c>
      <c r="B1041" s="9" t="s">
        <v>9</v>
      </c>
      <c r="C1041" s="9">
        <v>1920</v>
      </c>
      <c r="D1041" s="10">
        <v>45677</v>
      </c>
      <c r="E1041" s="13" t="str">
        <f>+HYPERLINK("http://trademark.i-assist.jp/data/china/image_1920th/81526619.pdf","81526619")</f>
        <v>81526619</v>
      </c>
      <c r="F1041" s="9" t="s">
        <v>2918</v>
      </c>
      <c r="G1041" s="11" t="s">
        <v>2869</v>
      </c>
      <c r="H1041" s="9" t="s">
        <v>2919</v>
      </c>
      <c r="I1041" s="10">
        <v>45587</v>
      </c>
    </row>
    <row r="1042" spans="1:9" x14ac:dyDescent="0.15">
      <c r="A1042" s="9">
        <v>1041</v>
      </c>
      <c r="B1042" s="9" t="s">
        <v>9</v>
      </c>
      <c r="C1042" s="9">
        <v>1920</v>
      </c>
      <c r="D1042" s="10">
        <v>45677</v>
      </c>
      <c r="E1042" s="13" t="str">
        <f>+HYPERLINK("http://trademark.i-assist.jp/data/china/image_1920th/81526999.pdf","81526999")</f>
        <v>81526999</v>
      </c>
      <c r="F1042" s="12" t="s">
        <v>2920</v>
      </c>
      <c r="G1042" s="9" t="s">
        <v>2921</v>
      </c>
      <c r="H1042" s="9" t="s">
        <v>2922</v>
      </c>
      <c r="I1042" s="10">
        <v>45587</v>
      </c>
    </row>
    <row r="1043" spans="1:9" x14ac:dyDescent="0.15">
      <c r="A1043" s="9">
        <v>1042</v>
      </c>
      <c r="B1043" s="9" t="s">
        <v>9</v>
      </c>
      <c r="C1043" s="9">
        <v>1920</v>
      </c>
      <c r="D1043" s="10">
        <v>45677</v>
      </c>
      <c r="E1043" s="13" t="str">
        <f>+HYPERLINK("http://trademark.i-assist.jp/data/china/image_1920th/81527519.pdf","81527519")</f>
        <v>81527519</v>
      </c>
      <c r="F1043" s="12" t="s">
        <v>2923</v>
      </c>
      <c r="G1043" s="9" t="s">
        <v>53</v>
      </c>
      <c r="H1043" s="9" t="s">
        <v>2924</v>
      </c>
      <c r="I1043" s="10">
        <v>45587</v>
      </c>
    </row>
    <row r="1044" spans="1:9" x14ac:dyDescent="0.15">
      <c r="A1044" s="9">
        <v>1043</v>
      </c>
      <c r="B1044" s="9" t="s">
        <v>9</v>
      </c>
      <c r="C1044" s="9">
        <v>1920</v>
      </c>
      <c r="D1044" s="10">
        <v>45677</v>
      </c>
      <c r="E1044" s="13" t="str">
        <f>+HYPERLINK("http://trademark.i-assist.jp/data/china/image_1920th/81527677.pdf","81527677")</f>
        <v>81527677</v>
      </c>
      <c r="F1044" s="9" t="s">
        <v>2925</v>
      </c>
      <c r="G1044" s="9" t="s">
        <v>2926</v>
      </c>
      <c r="H1044" s="9" t="s">
        <v>2927</v>
      </c>
      <c r="I1044" s="10">
        <v>45587</v>
      </c>
    </row>
    <row r="1045" spans="1:9" x14ac:dyDescent="0.15">
      <c r="A1045" s="9">
        <v>1044</v>
      </c>
      <c r="B1045" s="9" t="s">
        <v>9</v>
      </c>
      <c r="C1045" s="9">
        <v>1920</v>
      </c>
      <c r="D1045" s="10">
        <v>45677</v>
      </c>
      <c r="E1045" s="13" t="str">
        <f>+HYPERLINK("http://trademark.i-assist.jp/data/china/image_1920th/81527681.pdf","81527681")</f>
        <v>81527681</v>
      </c>
      <c r="F1045" s="9" t="s">
        <v>2928</v>
      </c>
      <c r="G1045" s="9" t="s">
        <v>2926</v>
      </c>
      <c r="H1045" s="9" t="s">
        <v>2929</v>
      </c>
      <c r="I1045" s="10">
        <v>45587</v>
      </c>
    </row>
    <row r="1046" spans="1:9" x14ac:dyDescent="0.15">
      <c r="A1046" s="9">
        <v>1045</v>
      </c>
      <c r="B1046" s="9" t="s">
        <v>9</v>
      </c>
      <c r="C1046" s="9">
        <v>1920</v>
      </c>
      <c r="D1046" s="10">
        <v>45677</v>
      </c>
      <c r="E1046" s="13" t="str">
        <f>+HYPERLINK("http://trademark.i-assist.jp/data/china/image_1920th/81527866.pdf","81527866")</f>
        <v>81527866</v>
      </c>
      <c r="F1046" s="9" t="s">
        <v>2930</v>
      </c>
      <c r="G1046" s="9" t="s">
        <v>2761</v>
      </c>
      <c r="H1046" s="9" t="s">
        <v>2931</v>
      </c>
      <c r="I1046" s="10">
        <v>45587</v>
      </c>
    </row>
    <row r="1047" spans="1:9" x14ac:dyDescent="0.15">
      <c r="A1047" s="9">
        <v>1046</v>
      </c>
      <c r="B1047" s="9" t="s">
        <v>9</v>
      </c>
      <c r="C1047" s="9">
        <v>1920</v>
      </c>
      <c r="D1047" s="10">
        <v>45677</v>
      </c>
      <c r="E1047" s="13" t="str">
        <f>+HYPERLINK("http://trademark.i-assist.jp/data/china/image_1920th/81527868.pdf","81527868")</f>
        <v>81527868</v>
      </c>
      <c r="F1047" s="12" t="s">
        <v>2932</v>
      </c>
      <c r="G1047" s="12" t="s">
        <v>2933</v>
      </c>
      <c r="H1047" s="9" t="s">
        <v>2934</v>
      </c>
      <c r="I1047" s="10">
        <v>45587</v>
      </c>
    </row>
    <row r="1048" spans="1:9" x14ac:dyDescent="0.15">
      <c r="A1048" s="9">
        <v>1047</v>
      </c>
      <c r="B1048" s="9" t="s">
        <v>9</v>
      </c>
      <c r="C1048" s="9">
        <v>1920</v>
      </c>
      <c r="D1048" s="10">
        <v>45677</v>
      </c>
      <c r="E1048" s="13" t="str">
        <f>+HYPERLINK("http://trademark.i-assist.jp/data/china/image_1920th/81528109.pdf","81528109")</f>
        <v>81528109</v>
      </c>
      <c r="F1048" s="9" t="s">
        <v>2935</v>
      </c>
      <c r="G1048" s="9" t="s">
        <v>2881</v>
      </c>
      <c r="H1048" s="9" t="s">
        <v>2936</v>
      </c>
      <c r="I1048" s="10">
        <v>45587</v>
      </c>
    </row>
    <row r="1049" spans="1:9" x14ac:dyDescent="0.15">
      <c r="A1049" s="9">
        <v>1048</v>
      </c>
      <c r="B1049" s="9" t="s">
        <v>9</v>
      </c>
      <c r="C1049" s="9">
        <v>1920</v>
      </c>
      <c r="D1049" s="10">
        <v>45677</v>
      </c>
      <c r="E1049" s="13" t="str">
        <f>+HYPERLINK("http://trademark.i-assist.jp/data/china/image_1920th/81528624.pdf","81528624")</f>
        <v>81528624</v>
      </c>
      <c r="F1049" s="12" t="s">
        <v>2937</v>
      </c>
      <c r="G1049" s="9" t="s">
        <v>2938</v>
      </c>
      <c r="H1049" s="9" t="s">
        <v>2939</v>
      </c>
      <c r="I1049" s="10">
        <v>45587</v>
      </c>
    </row>
    <row r="1050" spans="1:9" x14ac:dyDescent="0.15">
      <c r="A1050" s="9">
        <v>1049</v>
      </c>
      <c r="B1050" s="9" t="s">
        <v>9</v>
      </c>
      <c r="C1050" s="9">
        <v>1920</v>
      </c>
      <c r="D1050" s="10">
        <v>45677</v>
      </c>
      <c r="E1050" s="13" t="str">
        <f>+HYPERLINK("http://trademark.i-assist.jp/data/china/image_1920th/81528747.pdf","81528747")</f>
        <v>81528747</v>
      </c>
      <c r="F1050" s="12" t="s">
        <v>2940</v>
      </c>
      <c r="G1050" s="12" t="s">
        <v>2941</v>
      </c>
      <c r="H1050" s="9" t="s">
        <v>2942</v>
      </c>
      <c r="I1050" s="10">
        <v>45587</v>
      </c>
    </row>
    <row r="1051" spans="1:9" x14ac:dyDescent="0.15">
      <c r="A1051" s="9">
        <v>1050</v>
      </c>
      <c r="B1051" s="9" t="s">
        <v>9</v>
      </c>
      <c r="C1051" s="9">
        <v>1920</v>
      </c>
      <c r="D1051" s="10">
        <v>45677</v>
      </c>
      <c r="E1051" s="13" t="str">
        <f>+HYPERLINK("http://trademark.i-assist.jp/data/china/image_1920th/81528877.pdf","81528877")</f>
        <v>81528877</v>
      </c>
      <c r="F1051" s="11" t="s">
        <v>2943</v>
      </c>
      <c r="G1051" s="12" t="s">
        <v>2944</v>
      </c>
      <c r="H1051" s="9" t="s">
        <v>2945</v>
      </c>
      <c r="I1051" s="10">
        <v>45587</v>
      </c>
    </row>
    <row r="1052" spans="1:9" x14ac:dyDescent="0.15">
      <c r="A1052" s="9">
        <v>1051</v>
      </c>
      <c r="B1052" s="9" t="s">
        <v>9</v>
      </c>
      <c r="C1052" s="9">
        <v>1920</v>
      </c>
      <c r="D1052" s="10">
        <v>45677</v>
      </c>
      <c r="E1052" s="13" t="str">
        <f>+HYPERLINK("http://trademark.i-assist.jp/data/china/image_1920th/81529208.pdf","81529208")</f>
        <v>81529208</v>
      </c>
      <c r="F1052" s="9" t="s">
        <v>2946</v>
      </c>
      <c r="G1052" s="12" t="s">
        <v>2947</v>
      </c>
      <c r="H1052" s="9" t="s">
        <v>2948</v>
      </c>
      <c r="I1052" s="10">
        <v>45587</v>
      </c>
    </row>
    <row r="1053" spans="1:9" x14ac:dyDescent="0.15">
      <c r="A1053" s="9">
        <v>1052</v>
      </c>
      <c r="B1053" s="9" t="s">
        <v>9</v>
      </c>
      <c r="C1053" s="9">
        <v>1920</v>
      </c>
      <c r="D1053" s="10">
        <v>45677</v>
      </c>
      <c r="E1053" s="13" t="str">
        <f>+HYPERLINK("http://trademark.i-assist.jp/data/china/image_1920th/81529236.pdf","81529236")</f>
        <v>81529236</v>
      </c>
      <c r="F1053" s="9" t="s">
        <v>2949</v>
      </c>
      <c r="G1053" s="9" t="s">
        <v>2950</v>
      </c>
      <c r="H1053" s="9" t="s">
        <v>2951</v>
      </c>
      <c r="I1053" s="10">
        <v>45587</v>
      </c>
    </row>
    <row r="1054" spans="1:9" x14ac:dyDescent="0.15">
      <c r="A1054" s="9">
        <v>1053</v>
      </c>
      <c r="B1054" s="9" t="s">
        <v>9</v>
      </c>
      <c r="C1054" s="9">
        <v>1920</v>
      </c>
      <c r="D1054" s="10">
        <v>45677</v>
      </c>
      <c r="E1054" s="13" t="str">
        <f>+HYPERLINK("http://trademark.i-assist.jp/data/china/image_1920th/81529474.pdf","81529474")</f>
        <v>81529474</v>
      </c>
      <c r="F1054" s="9" t="s">
        <v>2952</v>
      </c>
      <c r="G1054" s="9" t="s">
        <v>2953</v>
      </c>
      <c r="H1054" s="9" t="s">
        <v>2954</v>
      </c>
      <c r="I1054" s="10">
        <v>45587</v>
      </c>
    </row>
    <row r="1055" spans="1:9" x14ac:dyDescent="0.15">
      <c r="A1055" s="9">
        <v>1054</v>
      </c>
      <c r="B1055" s="9" t="s">
        <v>9</v>
      </c>
      <c r="C1055" s="9">
        <v>1920</v>
      </c>
      <c r="D1055" s="10">
        <v>45677</v>
      </c>
      <c r="E1055" s="13" t="str">
        <f>+HYPERLINK("http://trademark.i-assist.jp/data/china/image_1920th/81529495.pdf","81529495")</f>
        <v>81529495</v>
      </c>
      <c r="F1055" s="12" t="s">
        <v>2955</v>
      </c>
      <c r="G1055" s="9" t="s">
        <v>2956</v>
      </c>
      <c r="H1055" s="12" t="s">
        <v>2957</v>
      </c>
      <c r="I1055" s="10">
        <v>45587</v>
      </c>
    </row>
    <row r="1056" spans="1:9" x14ac:dyDescent="0.15">
      <c r="A1056" s="9">
        <v>1055</v>
      </c>
      <c r="B1056" s="9" t="s">
        <v>9</v>
      </c>
      <c r="C1056" s="9">
        <v>1920</v>
      </c>
      <c r="D1056" s="10">
        <v>45677</v>
      </c>
      <c r="E1056" s="13" t="str">
        <f>+HYPERLINK("http://trademark.i-assist.jp/data/china/image_1920th/81529953.pdf","81529953")</f>
        <v>81529953</v>
      </c>
      <c r="F1056" s="9" t="s">
        <v>2958</v>
      </c>
      <c r="G1056" s="9" t="s">
        <v>2959</v>
      </c>
      <c r="H1056" s="9" t="s">
        <v>2960</v>
      </c>
      <c r="I1056" s="10">
        <v>45587</v>
      </c>
    </row>
    <row r="1057" spans="1:9" x14ac:dyDescent="0.15">
      <c r="A1057" s="9">
        <v>1056</v>
      </c>
      <c r="B1057" s="9" t="s">
        <v>9</v>
      </c>
      <c r="C1057" s="9">
        <v>1920</v>
      </c>
      <c r="D1057" s="10">
        <v>45677</v>
      </c>
      <c r="E1057" s="13" t="str">
        <f>+HYPERLINK("http://trademark.i-assist.jp/data/china/image_1920th/81530067.pdf","81530067")</f>
        <v>81530067</v>
      </c>
      <c r="F1057" s="12" t="s">
        <v>2961</v>
      </c>
      <c r="G1057" s="9" t="s">
        <v>2962</v>
      </c>
      <c r="H1057" s="9" t="s">
        <v>2963</v>
      </c>
      <c r="I1057" s="10">
        <v>45587</v>
      </c>
    </row>
    <row r="1058" spans="1:9" x14ac:dyDescent="0.15">
      <c r="A1058" s="9">
        <v>1057</v>
      </c>
      <c r="B1058" s="9" t="s">
        <v>9</v>
      </c>
      <c r="C1058" s="9">
        <v>1920</v>
      </c>
      <c r="D1058" s="10">
        <v>45677</v>
      </c>
      <c r="E1058" s="13" t="str">
        <f>+HYPERLINK("http://trademark.i-assist.jp/data/china/image_1920th/81530251.pdf","81530251")</f>
        <v>81530251</v>
      </c>
      <c r="F1058" s="9" t="s">
        <v>2909</v>
      </c>
      <c r="G1058" s="9" t="s">
        <v>2910</v>
      </c>
      <c r="H1058" s="9" t="s">
        <v>2964</v>
      </c>
      <c r="I1058" s="10">
        <v>45587</v>
      </c>
    </row>
    <row r="1059" spans="1:9" x14ac:dyDescent="0.15">
      <c r="A1059" s="9">
        <v>1058</v>
      </c>
      <c r="B1059" s="9" t="s">
        <v>9</v>
      </c>
      <c r="C1059" s="9">
        <v>1920</v>
      </c>
      <c r="D1059" s="10">
        <v>45677</v>
      </c>
      <c r="E1059" s="13" t="str">
        <f>+HYPERLINK("http://trademark.i-assist.jp/data/china/image_1920th/81530592.pdf","81530592")</f>
        <v>81530592</v>
      </c>
      <c r="F1059" s="9" t="s">
        <v>2965</v>
      </c>
      <c r="G1059" s="9" t="s">
        <v>2822</v>
      </c>
      <c r="H1059" s="9" t="s">
        <v>2966</v>
      </c>
      <c r="I1059" s="10">
        <v>45587</v>
      </c>
    </row>
    <row r="1060" spans="1:9" x14ac:dyDescent="0.15">
      <c r="A1060" s="9">
        <v>1059</v>
      </c>
      <c r="B1060" s="9" t="s">
        <v>9</v>
      </c>
      <c r="C1060" s="9">
        <v>1920</v>
      </c>
      <c r="D1060" s="10">
        <v>45677</v>
      </c>
      <c r="E1060" s="13" t="str">
        <f>+HYPERLINK("http://trademark.i-assist.jp/data/china/image_1920th/81530597.pdf","81530597")</f>
        <v>81530597</v>
      </c>
      <c r="F1060" s="9" t="s">
        <v>2967</v>
      </c>
      <c r="G1060" s="9" t="s">
        <v>2822</v>
      </c>
      <c r="H1060" s="9" t="s">
        <v>2968</v>
      </c>
      <c r="I1060" s="10">
        <v>45587</v>
      </c>
    </row>
    <row r="1061" spans="1:9" x14ac:dyDescent="0.15">
      <c r="A1061" s="9">
        <v>1060</v>
      </c>
      <c r="B1061" s="9" t="s">
        <v>9</v>
      </c>
      <c r="C1061" s="9">
        <v>1920</v>
      </c>
      <c r="D1061" s="10">
        <v>45677</v>
      </c>
      <c r="E1061" s="13" t="str">
        <f>+HYPERLINK("http://trademark.i-assist.jp/data/china/image_1920th/81530663.pdf","81530663")</f>
        <v>81530663</v>
      </c>
      <c r="F1061" s="9" t="s">
        <v>2969</v>
      </c>
      <c r="G1061" s="9" t="s">
        <v>2970</v>
      </c>
      <c r="H1061" s="12" t="s">
        <v>2971</v>
      </c>
      <c r="I1061" s="10">
        <v>45587</v>
      </c>
    </row>
    <row r="1062" spans="1:9" x14ac:dyDescent="0.15">
      <c r="A1062" s="9">
        <v>1061</v>
      </c>
      <c r="B1062" s="9" t="s">
        <v>9</v>
      </c>
      <c r="C1062" s="9">
        <v>1920</v>
      </c>
      <c r="D1062" s="10">
        <v>45677</v>
      </c>
      <c r="E1062" s="13" t="str">
        <f>+HYPERLINK("http://trademark.i-assist.jp/data/china/image_1920th/81530703.pdf","81530703")</f>
        <v>81530703</v>
      </c>
      <c r="F1062" s="9" t="s">
        <v>2972</v>
      </c>
      <c r="G1062" s="9" t="s">
        <v>2973</v>
      </c>
      <c r="H1062" s="9" t="s">
        <v>2974</v>
      </c>
      <c r="I1062" s="10">
        <v>45587</v>
      </c>
    </row>
    <row r="1063" spans="1:9" x14ac:dyDescent="0.15">
      <c r="A1063" s="9">
        <v>1062</v>
      </c>
      <c r="B1063" s="9" t="s">
        <v>9</v>
      </c>
      <c r="C1063" s="9">
        <v>1920</v>
      </c>
      <c r="D1063" s="10">
        <v>45677</v>
      </c>
      <c r="E1063" s="13" t="str">
        <f>+HYPERLINK("http://trademark.i-assist.jp/data/china/image_1920th/81530947.pdf","81530947")</f>
        <v>81530947</v>
      </c>
      <c r="F1063" s="9" t="s">
        <v>2975</v>
      </c>
      <c r="G1063" s="9" t="s">
        <v>2976</v>
      </c>
      <c r="H1063" s="9" t="s">
        <v>2977</v>
      </c>
      <c r="I1063" s="10">
        <v>45587</v>
      </c>
    </row>
    <row r="1064" spans="1:9" x14ac:dyDescent="0.15">
      <c r="A1064" s="9">
        <v>1063</v>
      </c>
      <c r="B1064" s="9" t="s">
        <v>9</v>
      </c>
      <c r="C1064" s="9">
        <v>1920</v>
      </c>
      <c r="D1064" s="10">
        <v>45677</v>
      </c>
      <c r="E1064" s="13" t="str">
        <f>+HYPERLINK("http://trademark.i-assist.jp/data/china/image_1920th/81531296.pdf","81531296")</f>
        <v>81531296</v>
      </c>
      <c r="F1064" s="12" t="s">
        <v>2978</v>
      </c>
      <c r="G1064" s="9" t="s">
        <v>2979</v>
      </c>
      <c r="H1064" s="9" t="s">
        <v>2980</v>
      </c>
      <c r="I1064" s="10">
        <v>45587</v>
      </c>
    </row>
    <row r="1065" spans="1:9" x14ac:dyDescent="0.15">
      <c r="A1065" s="9">
        <v>1064</v>
      </c>
      <c r="B1065" s="9" t="s">
        <v>9</v>
      </c>
      <c r="C1065" s="9">
        <v>1920</v>
      </c>
      <c r="D1065" s="10">
        <v>45677</v>
      </c>
      <c r="E1065" s="13" t="str">
        <f>+HYPERLINK("http://trademark.i-assist.jp/data/china/image_1920th/81531458.pdf","81531458")</f>
        <v>81531458</v>
      </c>
      <c r="F1065" s="9" t="s">
        <v>2981</v>
      </c>
      <c r="G1065" s="9" t="s">
        <v>126</v>
      </c>
      <c r="H1065" s="9" t="s">
        <v>2982</v>
      </c>
      <c r="I1065" s="10">
        <v>45587</v>
      </c>
    </row>
    <row r="1066" spans="1:9" x14ac:dyDescent="0.15">
      <c r="A1066" s="9">
        <v>1065</v>
      </c>
      <c r="B1066" s="9" t="s">
        <v>9</v>
      </c>
      <c r="C1066" s="9">
        <v>1920</v>
      </c>
      <c r="D1066" s="10">
        <v>45677</v>
      </c>
      <c r="E1066" s="13" t="str">
        <f>+HYPERLINK("http://trademark.i-assist.jp/data/china/image_1920th/81531868.pdf","81531868")</f>
        <v>81531868</v>
      </c>
      <c r="F1066" s="9" t="s">
        <v>2983</v>
      </c>
      <c r="G1066" s="9" t="s">
        <v>2984</v>
      </c>
      <c r="H1066" s="9" t="s">
        <v>2985</v>
      </c>
      <c r="I1066" s="10">
        <v>45588</v>
      </c>
    </row>
    <row r="1067" spans="1:9" x14ac:dyDescent="0.15">
      <c r="A1067" s="9">
        <v>1066</v>
      </c>
      <c r="B1067" s="9" t="s">
        <v>9</v>
      </c>
      <c r="C1067" s="9">
        <v>1920</v>
      </c>
      <c r="D1067" s="10">
        <v>45677</v>
      </c>
      <c r="E1067" s="13" t="str">
        <f>+HYPERLINK("http://trademark.i-assist.jp/data/china/image_1920th/81532120.pdf","81532120")</f>
        <v>81532120</v>
      </c>
      <c r="F1067" s="9" t="s">
        <v>2986</v>
      </c>
      <c r="G1067" s="9" t="s">
        <v>2987</v>
      </c>
      <c r="H1067" s="9" t="s">
        <v>2988</v>
      </c>
      <c r="I1067" s="10">
        <v>45588</v>
      </c>
    </row>
    <row r="1068" spans="1:9" x14ac:dyDescent="0.15">
      <c r="A1068" s="9">
        <v>1067</v>
      </c>
      <c r="B1068" s="9" t="s">
        <v>9</v>
      </c>
      <c r="C1068" s="9">
        <v>1920</v>
      </c>
      <c r="D1068" s="10">
        <v>45677</v>
      </c>
      <c r="E1068" s="13" t="str">
        <f>+HYPERLINK("http://trademark.i-assist.jp/data/china/image_1920th/81532841.pdf","81532841")</f>
        <v>81532841</v>
      </c>
      <c r="F1068" s="9" t="s">
        <v>2989</v>
      </c>
      <c r="G1068" s="9" t="s">
        <v>2990</v>
      </c>
      <c r="H1068" s="9" t="s">
        <v>2991</v>
      </c>
      <c r="I1068" s="10">
        <v>45588</v>
      </c>
    </row>
    <row r="1069" spans="1:9" x14ac:dyDescent="0.15">
      <c r="A1069" s="9">
        <v>1068</v>
      </c>
      <c r="B1069" s="9" t="s">
        <v>9</v>
      </c>
      <c r="C1069" s="9">
        <v>1920</v>
      </c>
      <c r="D1069" s="10">
        <v>45677</v>
      </c>
      <c r="E1069" s="13" t="str">
        <f>+HYPERLINK("http://trademark.i-assist.jp/data/china/image_1920th/81532859.pdf","81532859")</f>
        <v>81532859</v>
      </c>
      <c r="F1069" s="11" t="s">
        <v>2992</v>
      </c>
      <c r="G1069" s="9" t="s">
        <v>143</v>
      </c>
      <c r="H1069" s="9" t="s">
        <v>2993</v>
      </c>
      <c r="I1069" s="10">
        <v>45588</v>
      </c>
    </row>
    <row r="1070" spans="1:9" x14ac:dyDescent="0.15">
      <c r="A1070" s="9">
        <v>1069</v>
      </c>
      <c r="B1070" s="9" t="s">
        <v>9</v>
      </c>
      <c r="C1070" s="9">
        <v>1920</v>
      </c>
      <c r="D1070" s="10">
        <v>45677</v>
      </c>
      <c r="E1070" s="13" t="str">
        <f>+HYPERLINK("http://trademark.i-assist.jp/data/china/image_1920th/81533020.pdf","81533020")</f>
        <v>81533020</v>
      </c>
      <c r="F1070" s="12" t="s">
        <v>2994</v>
      </c>
      <c r="G1070" s="9" t="s">
        <v>2995</v>
      </c>
      <c r="H1070" s="12" t="s">
        <v>2996</v>
      </c>
      <c r="I1070" s="10">
        <v>45588</v>
      </c>
    </row>
    <row r="1071" spans="1:9" x14ac:dyDescent="0.15">
      <c r="A1071" s="9">
        <v>1070</v>
      </c>
      <c r="B1071" s="9" t="s">
        <v>9</v>
      </c>
      <c r="C1071" s="9">
        <v>1920</v>
      </c>
      <c r="D1071" s="10">
        <v>45677</v>
      </c>
      <c r="E1071" s="13" t="str">
        <f>+HYPERLINK("http://trademark.i-assist.jp/data/china/image_1920th/81533198.pdf","81533198")</f>
        <v>81533198</v>
      </c>
      <c r="F1071" s="9" t="s">
        <v>2997</v>
      </c>
      <c r="G1071" s="9" t="s">
        <v>133</v>
      </c>
      <c r="H1071" s="9" t="s">
        <v>2998</v>
      </c>
      <c r="I1071" s="10">
        <v>45588</v>
      </c>
    </row>
    <row r="1072" spans="1:9" x14ac:dyDescent="0.15">
      <c r="A1072" s="9">
        <v>1071</v>
      </c>
      <c r="B1072" s="9" t="s">
        <v>9</v>
      </c>
      <c r="C1072" s="9">
        <v>1920</v>
      </c>
      <c r="D1072" s="10">
        <v>45677</v>
      </c>
      <c r="E1072" s="13" t="str">
        <f>+HYPERLINK("http://trademark.i-assist.jp/data/china/image_1920th/81533734.pdf","81533734")</f>
        <v>81533734</v>
      </c>
      <c r="F1072" s="9" t="s">
        <v>2999</v>
      </c>
      <c r="G1072" s="9" t="s">
        <v>3000</v>
      </c>
      <c r="H1072" s="9" t="s">
        <v>3001</v>
      </c>
      <c r="I1072" s="10">
        <v>45588</v>
      </c>
    </row>
    <row r="1073" spans="1:9" x14ac:dyDescent="0.15">
      <c r="A1073" s="9">
        <v>1072</v>
      </c>
      <c r="B1073" s="9" t="s">
        <v>9</v>
      </c>
      <c r="C1073" s="9">
        <v>1920</v>
      </c>
      <c r="D1073" s="10">
        <v>45677</v>
      </c>
      <c r="E1073" s="13" t="str">
        <f>+HYPERLINK("http://trademark.i-assist.jp/data/china/image_1920th/81533741.pdf","81533741")</f>
        <v>81533741</v>
      </c>
      <c r="F1073" s="9" t="s">
        <v>3002</v>
      </c>
      <c r="G1073" s="9" t="s">
        <v>3000</v>
      </c>
      <c r="H1073" s="9" t="s">
        <v>3003</v>
      </c>
      <c r="I1073" s="10">
        <v>45588</v>
      </c>
    </row>
    <row r="1074" spans="1:9" x14ac:dyDescent="0.15">
      <c r="A1074" s="9">
        <v>1073</v>
      </c>
      <c r="B1074" s="9" t="s">
        <v>9</v>
      </c>
      <c r="C1074" s="9">
        <v>1920</v>
      </c>
      <c r="D1074" s="10">
        <v>45677</v>
      </c>
      <c r="E1074" s="13" t="str">
        <f>+HYPERLINK("http://trademark.i-assist.jp/data/china/image_1920th/81534021.pdf","81534021")</f>
        <v>81534021</v>
      </c>
      <c r="F1074" s="9" t="s">
        <v>3004</v>
      </c>
      <c r="G1074" s="9" t="s">
        <v>3005</v>
      </c>
      <c r="H1074" s="9" t="s">
        <v>3006</v>
      </c>
      <c r="I1074" s="10">
        <v>45588</v>
      </c>
    </row>
    <row r="1075" spans="1:9" x14ac:dyDescent="0.15">
      <c r="A1075" s="9">
        <v>1074</v>
      </c>
      <c r="B1075" s="9" t="s">
        <v>9</v>
      </c>
      <c r="C1075" s="9">
        <v>1920</v>
      </c>
      <c r="D1075" s="10">
        <v>45677</v>
      </c>
      <c r="E1075" s="13" t="str">
        <f>+HYPERLINK("http://trademark.i-assist.jp/data/china/image_1920th/81534334.pdf","81534334")</f>
        <v>81534334</v>
      </c>
      <c r="F1075" s="9" t="s">
        <v>3007</v>
      </c>
      <c r="G1075" s="12" t="s">
        <v>1960</v>
      </c>
      <c r="H1075" s="9" t="s">
        <v>3008</v>
      </c>
      <c r="I1075" s="10">
        <v>45588</v>
      </c>
    </row>
    <row r="1076" spans="1:9" x14ac:dyDescent="0.15">
      <c r="A1076" s="9">
        <v>1075</v>
      </c>
      <c r="B1076" s="9" t="s">
        <v>9</v>
      </c>
      <c r="C1076" s="9">
        <v>1920</v>
      </c>
      <c r="D1076" s="10">
        <v>45677</v>
      </c>
      <c r="E1076" s="13" t="str">
        <f>+HYPERLINK("http://trademark.i-assist.jp/data/china/image_1920th/81534611.pdf","81534611")</f>
        <v>81534611</v>
      </c>
      <c r="F1076" s="9" t="s">
        <v>3009</v>
      </c>
      <c r="G1076" s="12" t="s">
        <v>3010</v>
      </c>
      <c r="H1076" s="9" t="s">
        <v>3011</v>
      </c>
      <c r="I1076" s="10">
        <v>45588</v>
      </c>
    </row>
    <row r="1077" spans="1:9" x14ac:dyDescent="0.15">
      <c r="A1077" s="9">
        <v>1076</v>
      </c>
      <c r="B1077" s="9" t="s">
        <v>9</v>
      </c>
      <c r="C1077" s="9">
        <v>1920</v>
      </c>
      <c r="D1077" s="10">
        <v>45677</v>
      </c>
      <c r="E1077" s="13" t="str">
        <f>+HYPERLINK("http://trademark.i-assist.jp/data/china/image_1920th/81534775.pdf","81534775")</f>
        <v>81534775</v>
      </c>
      <c r="F1077" s="12" t="s">
        <v>3012</v>
      </c>
      <c r="G1077" s="12" t="s">
        <v>3013</v>
      </c>
      <c r="H1077" s="9" t="s">
        <v>3014</v>
      </c>
      <c r="I1077" s="10">
        <v>45588</v>
      </c>
    </row>
    <row r="1078" spans="1:9" x14ac:dyDescent="0.15">
      <c r="A1078" s="9">
        <v>1077</v>
      </c>
      <c r="B1078" s="9" t="s">
        <v>9</v>
      </c>
      <c r="C1078" s="9">
        <v>1920</v>
      </c>
      <c r="D1078" s="10">
        <v>45677</v>
      </c>
      <c r="E1078" s="13" t="str">
        <f>+HYPERLINK("http://trademark.i-assist.jp/data/china/image_1920th/81534808.pdf","81534808")</f>
        <v>81534808</v>
      </c>
      <c r="F1078" s="12" t="s">
        <v>3015</v>
      </c>
      <c r="G1078" s="9" t="s">
        <v>3016</v>
      </c>
      <c r="H1078" s="9" t="s">
        <v>3017</v>
      </c>
      <c r="I1078" s="10">
        <v>45588</v>
      </c>
    </row>
    <row r="1079" spans="1:9" x14ac:dyDescent="0.15">
      <c r="A1079" s="9">
        <v>1078</v>
      </c>
      <c r="B1079" s="9" t="s">
        <v>9</v>
      </c>
      <c r="C1079" s="9">
        <v>1920</v>
      </c>
      <c r="D1079" s="10">
        <v>45677</v>
      </c>
      <c r="E1079" s="13" t="str">
        <f>+HYPERLINK("http://trademark.i-assist.jp/data/china/image_1920th/81534837.pdf","81534837")</f>
        <v>81534837</v>
      </c>
      <c r="F1079" s="9" t="s">
        <v>3018</v>
      </c>
      <c r="G1079" s="9" t="s">
        <v>3019</v>
      </c>
      <c r="H1079" s="9" t="s">
        <v>3020</v>
      </c>
      <c r="I1079" s="10">
        <v>45588</v>
      </c>
    </row>
    <row r="1080" spans="1:9" x14ac:dyDescent="0.15">
      <c r="A1080" s="9">
        <v>1079</v>
      </c>
      <c r="B1080" s="9" t="s">
        <v>9</v>
      </c>
      <c r="C1080" s="9">
        <v>1920</v>
      </c>
      <c r="D1080" s="10">
        <v>45677</v>
      </c>
      <c r="E1080" s="13" t="str">
        <f>+HYPERLINK("http://trademark.i-assist.jp/data/china/image_1920th/81534955.pdf","81534955")</f>
        <v>81534955</v>
      </c>
      <c r="F1080" s="9" t="s">
        <v>3021</v>
      </c>
      <c r="G1080" s="9" t="s">
        <v>3022</v>
      </c>
      <c r="H1080" s="12" t="s">
        <v>3023</v>
      </c>
      <c r="I1080" s="10">
        <v>45588</v>
      </c>
    </row>
    <row r="1081" spans="1:9" x14ac:dyDescent="0.15">
      <c r="A1081" s="9">
        <v>1080</v>
      </c>
      <c r="B1081" s="9" t="s">
        <v>9</v>
      </c>
      <c r="C1081" s="9">
        <v>1920</v>
      </c>
      <c r="D1081" s="10">
        <v>45677</v>
      </c>
      <c r="E1081" s="13" t="str">
        <f>+HYPERLINK("http://trademark.i-assist.jp/data/china/image_1920th/81535135.pdf","81535135")</f>
        <v>81535135</v>
      </c>
      <c r="F1081" s="11" t="s">
        <v>3024</v>
      </c>
      <c r="G1081" s="9" t="s">
        <v>3025</v>
      </c>
      <c r="H1081" s="9" t="s">
        <v>3026</v>
      </c>
      <c r="I1081" s="10">
        <v>45588</v>
      </c>
    </row>
    <row r="1082" spans="1:9" x14ac:dyDescent="0.15">
      <c r="A1082" s="9">
        <v>1081</v>
      </c>
      <c r="B1082" s="9" t="s">
        <v>9</v>
      </c>
      <c r="C1082" s="9">
        <v>1920</v>
      </c>
      <c r="D1082" s="10">
        <v>45677</v>
      </c>
      <c r="E1082" s="13" t="str">
        <f>+HYPERLINK("http://trademark.i-assist.jp/data/china/image_1920th/81535481.pdf","81535481")</f>
        <v>81535481</v>
      </c>
      <c r="F1082" s="9" t="s">
        <v>3027</v>
      </c>
      <c r="G1082" s="12" t="s">
        <v>3028</v>
      </c>
      <c r="H1082" s="9" t="s">
        <v>3029</v>
      </c>
      <c r="I1082" s="10">
        <v>45588</v>
      </c>
    </row>
    <row r="1083" spans="1:9" x14ac:dyDescent="0.15">
      <c r="A1083" s="9">
        <v>1082</v>
      </c>
      <c r="B1083" s="9" t="s">
        <v>9</v>
      </c>
      <c r="C1083" s="9">
        <v>1920</v>
      </c>
      <c r="D1083" s="10">
        <v>45677</v>
      </c>
      <c r="E1083" s="13" t="str">
        <f>+HYPERLINK("http://trademark.i-assist.jp/data/china/image_1920th/81535871.pdf","81535871")</f>
        <v>81535871</v>
      </c>
      <c r="F1083" s="11" t="s">
        <v>3030</v>
      </c>
      <c r="G1083" s="12" t="s">
        <v>3031</v>
      </c>
      <c r="H1083" s="9" t="s">
        <v>3032</v>
      </c>
      <c r="I1083" s="10">
        <v>45588</v>
      </c>
    </row>
    <row r="1084" spans="1:9" x14ac:dyDescent="0.15">
      <c r="A1084" s="9">
        <v>1083</v>
      </c>
      <c r="B1084" s="9" t="s">
        <v>9</v>
      </c>
      <c r="C1084" s="9">
        <v>1920</v>
      </c>
      <c r="D1084" s="10">
        <v>45677</v>
      </c>
      <c r="E1084" s="13" t="str">
        <f>+HYPERLINK("http://trademark.i-assist.jp/data/china/image_1920th/81536103.pdf","81536103")</f>
        <v>81536103</v>
      </c>
      <c r="F1084" s="9" t="s">
        <v>3033</v>
      </c>
      <c r="G1084" s="9" t="s">
        <v>3034</v>
      </c>
      <c r="H1084" s="9" t="s">
        <v>3035</v>
      </c>
      <c r="I1084" s="10">
        <v>45588</v>
      </c>
    </row>
    <row r="1085" spans="1:9" x14ac:dyDescent="0.15">
      <c r="A1085" s="9">
        <v>1084</v>
      </c>
      <c r="B1085" s="9" t="s">
        <v>9</v>
      </c>
      <c r="C1085" s="9">
        <v>1920</v>
      </c>
      <c r="D1085" s="10">
        <v>45677</v>
      </c>
      <c r="E1085" s="13" t="str">
        <f>+HYPERLINK("http://trademark.i-assist.jp/data/china/image_1920th/81536319.pdf","81536319")</f>
        <v>81536319</v>
      </c>
      <c r="F1085" s="9" t="s">
        <v>3036</v>
      </c>
      <c r="G1085" s="9" t="s">
        <v>3037</v>
      </c>
      <c r="H1085" s="9" t="s">
        <v>3038</v>
      </c>
      <c r="I1085" s="10">
        <v>45588</v>
      </c>
    </row>
    <row r="1086" spans="1:9" x14ac:dyDescent="0.15">
      <c r="A1086" s="9">
        <v>1085</v>
      </c>
      <c r="B1086" s="9" t="s">
        <v>9</v>
      </c>
      <c r="C1086" s="9">
        <v>1920</v>
      </c>
      <c r="D1086" s="10">
        <v>45677</v>
      </c>
      <c r="E1086" s="13" t="str">
        <f>+HYPERLINK("http://trademark.i-assist.jp/data/china/image_1920th/81536384.pdf","81536384")</f>
        <v>81536384</v>
      </c>
      <c r="F1086" s="9" t="s">
        <v>3039</v>
      </c>
      <c r="G1086" s="9" t="s">
        <v>27</v>
      </c>
      <c r="H1086" s="12" t="s">
        <v>3040</v>
      </c>
      <c r="I1086" s="10">
        <v>45588</v>
      </c>
    </row>
    <row r="1087" spans="1:9" x14ac:dyDescent="0.15">
      <c r="A1087" s="9">
        <v>1086</v>
      </c>
      <c r="B1087" s="9" t="s">
        <v>9</v>
      </c>
      <c r="C1087" s="9">
        <v>1920</v>
      </c>
      <c r="D1087" s="10">
        <v>45677</v>
      </c>
      <c r="E1087" s="13" t="str">
        <f>+HYPERLINK("http://trademark.i-assist.jp/data/china/image_1920th/81536714.pdf","81536714")</f>
        <v>81536714</v>
      </c>
      <c r="F1087" s="9" t="s">
        <v>3041</v>
      </c>
      <c r="G1087" s="9" t="s">
        <v>3025</v>
      </c>
      <c r="H1087" s="9" t="s">
        <v>3042</v>
      </c>
      <c r="I1087" s="10">
        <v>45588</v>
      </c>
    </row>
    <row r="1088" spans="1:9" x14ac:dyDescent="0.15">
      <c r="A1088" s="9">
        <v>1087</v>
      </c>
      <c r="B1088" s="9" t="s">
        <v>9</v>
      </c>
      <c r="C1088" s="9">
        <v>1920</v>
      </c>
      <c r="D1088" s="10">
        <v>45677</v>
      </c>
      <c r="E1088" s="13" t="str">
        <f>+HYPERLINK("http://trademark.i-assist.jp/data/china/image_1920th/81536921.pdf","81536921")</f>
        <v>81536921</v>
      </c>
      <c r="F1088" s="12" t="s">
        <v>3043</v>
      </c>
      <c r="G1088" s="9" t="s">
        <v>3016</v>
      </c>
      <c r="H1088" s="9" t="s">
        <v>3044</v>
      </c>
      <c r="I1088" s="10">
        <v>45588</v>
      </c>
    </row>
    <row r="1089" spans="1:9" x14ac:dyDescent="0.15">
      <c r="A1089" s="9">
        <v>1088</v>
      </c>
      <c r="B1089" s="9" t="s">
        <v>9</v>
      </c>
      <c r="C1089" s="9">
        <v>1920</v>
      </c>
      <c r="D1089" s="10">
        <v>45677</v>
      </c>
      <c r="E1089" s="13" t="str">
        <f>+HYPERLINK("http://trademark.i-assist.jp/data/china/image_1920th/81537427.pdf","81537427")</f>
        <v>81537427</v>
      </c>
      <c r="F1089" s="9" t="s">
        <v>3045</v>
      </c>
      <c r="G1089" s="12" t="s">
        <v>3046</v>
      </c>
      <c r="H1089" s="9" t="s">
        <v>3047</v>
      </c>
      <c r="I1089" s="10">
        <v>45588</v>
      </c>
    </row>
    <row r="1090" spans="1:9" x14ac:dyDescent="0.15">
      <c r="A1090" s="9">
        <v>1089</v>
      </c>
      <c r="B1090" s="9" t="s">
        <v>9</v>
      </c>
      <c r="C1090" s="9">
        <v>1920</v>
      </c>
      <c r="D1090" s="10">
        <v>45677</v>
      </c>
      <c r="E1090" s="13" t="str">
        <f>+HYPERLINK("http://trademark.i-assist.jp/data/china/image_1920th/81538332.pdf","81538332")</f>
        <v>81538332</v>
      </c>
      <c r="F1090" s="9" t="s">
        <v>3048</v>
      </c>
      <c r="G1090" s="9" t="s">
        <v>3049</v>
      </c>
      <c r="H1090" s="9" t="s">
        <v>3050</v>
      </c>
      <c r="I1090" s="10">
        <v>45588</v>
      </c>
    </row>
    <row r="1091" spans="1:9" x14ac:dyDescent="0.15">
      <c r="A1091" s="9">
        <v>1090</v>
      </c>
      <c r="B1091" s="9" t="s">
        <v>9</v>
      </c>
      <c r="C1091" s="9">
        <v>1920</v>
      </c>
      <c r="D1091" s="10">
        <v>45677</v>
      </c>
      <c r="E1091" s="13" t="str">
        <f>+HYPERLINK("http://trademark.i-assist.jp/data/china/image_1920th/81538362.pdf","81538362")</f>
        <v>81538362</v>
      </c>
      <c r="F1091" s="12" t="s">
        <v>3051</v>
      </c>
      <c r="G1091" s="9" t="s">
        <v>3052</v>
      </c>
      <c r="H1091" s="9" t="s">
        <v>3053</v>
      </c>
      <c r="I1091" s="10">
        <v>45588</v>
      </c>
    </row>
    <row r="1092" spans="1:9" x14ac:dyDescent="0.15">
      <c r="A1092" s="9">
        <v>1091</v>
      </c>
      <c r="B1092" s="9" t="s">
        <v>9</v>
      </c>
      <c r="C1092" s="9">
        <v>1920</v>
      </c>
      <c r="D1092" s="10">
        <v>45677</v>
      </c>
      <c r="E1092" s="13" t="str">
        <f>+HYPERLINK("http://trademark.i-assist.jp/data/china/image_1920th/81538463.pdf","81538463")</f>
        <v>81538463</v>
      </c>
      <c r="F1092" s="12" t="s">
        <v>3054</v>
      </c>
      <c r="G1092" s="9" t="s">
        <v>3055</v>
      </c>
      <c r="H1092" s="9" t="s">
        <v>3056</v>
      </c>
      <c r="I1092" s="10">
        <v>45588</v>
      </c>
    </row>
    <row r="1093" spans="1:9" x14ac:dyDescent="0.15">
      <c r="A1093" s="9">
        <v>1092</v>
      </c>
      <c r="B1093" s="9" t="s">
        <v>9</v>
      </c>
      <c r="C1093" s="9">
        <v>1920</v>
      </c>
      <c r="D1093" s="10">
        <v>45677</v>
      </c>
      <c r="E1093" s="13" t="str">
        <f>+HYPERLINK("http://trademark.i-assist.jp/data/china/image_1920th/81538913.pdf","81538913")</f>
        <v>81538913</v>
      </c>
      <c r="F1093" s="9" t="s">
        <v>3057</v>
      </c>
      <c r="G1093" s="9" t="s">
        <v>3000</v>
      </c>
      <c r="H1093" s="9" t="s">
        <v>3058</v>
      </c>
      <c r="I1093" s="10">
        <v>45588</v>
      </c>
    </row>
    <row r="1094" spans="1:9" x14ac:dyDescent="0.15">
      <c r="A1094" s="9">
        <v>1093</v>
      </c>
      <c r="B1094" s="9" t="s">
        <v>9</v>
      </c>
      <c r="C1094" s="9">
        <v>1920</v>
      </c>
      <c r="D1094" s="10">
        <v>45677</v>
      </c>
      <c r="E1094" s="13" t="str">
        <f>+HYPERLINK("http://trademark.i-assist.jp/data/china/image_1920th/81539435.pdf","81539435")</f>
        <v>81539435</v>
      </c>
      <c r="F1094" s="9" t="s">
        <v>3059</v>
      </c>
      <c r="G1094" s="9" t="s">
        <v>3060</v>
      </c>
      <c r="H1094" s="9" t="s">
        <v>3061</v>
      </c>
      <c r="I1094" s="10">
        <v>45588</v>
      </c>
    </row>
    <row r="1095" spans="1:9" x14ac:dyDescent="0.15">
      <c r="A1095" s="9">
        <v>1094</v>
      </c>
      <c r="B1095" s="9" t="s">
        <v>9</v>
      </c>
      <c r="C1095" s="9">
        <v>1920</v>
      </c>
      <c r="D1095" s="10">
        <v>45677</v>
      </c>
      <c r="E1095" s="13" t="str">
        <f>+HYPERLINK("http://trademark.i-assist.jp/data/china/image_1920th/81539693.pdf","81539693")</f>
        <v>81539693</v>
      </c>
      <c r="F1095" s="9" t="s">
        <v>3062</v>
      </c>
      <c r="G1095" s="12" t="s">
        <v>3063</v>
      </c>
      <c r="H1095" s="9" t="s">
        <v>3064</v>
      </c>
      <c r="I1095" s="10">
        <v>45588</v>
      </c>
    </row>
    <row r="1096" spans="1:9" x14ac:dyDescent="0.15">
      <c r="A1096" s="9">
        <v>1095</v>
      </c>
      <c r="B1096" s="9" t="s">
        <v>9</v>
      </c>
      <c r="C1096" s="9">
        <v>1920</v>
      </c>
      <c r="D1096" s="10">
        <v>45677</v>
      </c>
      <c r="E1096" s="13" t="str">
        <f>+HYPERLINK("http://trademark.i-assist.jp/data/china/image_1920th/81539981.pdf","81539981")</f>
        <v>81539981</v>
      </c>
      <c r="F1096" s="12" t="s">
        <v>12</v>
      </c>
      <c r="G1096" s="12" t="s">
        <v>3065</v>
      </c>
      <c r="H1096" s="9" t="s">
        <v>3066</v>
      </c>
      <c r="I1096" s="10">
        <v>45588</v>
      </c>
    </row>
    <row r="1097" spans="1:9" x14ac:dyDescent="0.15">
      <c r="A1097" s="9">
        <v>1096</v>
      </c>
      <c r="B1097" s="9" t="s">
        <v>9</v>
      </c>
      <c r="C1097" s="9">
        <v>1920</v>
      </c>
      <c r="D1097" s="10">
        <v>45677</v>
      </c>
      <c r="E1097" s="13" t="str">
        <f>+HYPERLINK("http://trademark.i-assist.jp/data/china/image_1920th/81540864.pdf","81540864")</f>
        <v>81540864</v>
      </c>
      <c r="F1097" s="9" t="s">
        <v>3067</v>
      </c>
      <c r="G1097" s="9" t="s">
        <v>3068</v>
      </c>
      <c r="H1097" s="9" t="s">
        <v>3069</v>
      </c>
      <c r="I1097" s="10">
        <v>45588</v>
      </c>
    </row>
    <row r="1098" spans="1:9" x14ac:dyDescent="0.15">
      <c r="A1098" s="9">
        <v>1097</v>
      </c>
      <c r="B1098" s="9" t="s">
        <v>9</v>
      </c>
      <c r="C1098" s="9">
        <v>1920</v>
      </c>
      <c r="D1098" s="10">
        <v>45677</v>
      </c>
      <c r="E1098" s="13" t="str">
        <f>+HYPERLINK("http://trademark.i-assist.jp/data/china/image_1920th/81541195.pdf","81541195")</f>
        <v>81541195</v>
      </c>
      <c r="F1098" s="9" t="s">
        <v>3070</v>
      </c>
      <c r="G1098" s="9" t="s">
        <v>3071</v>
      </c>
      <c r="H1098" s="9" t="s">
        <v>3072</v>
      </c>
      <c r="I1098" s="10">
        <v>45588</v>
      </c>
    </row>
    <row r="1099" spans="1:9" x14ac:dyDescent="0.15">
      <c r="A1099" s="9">
        <v>1098</v>
      </c>
      <c r="B1099" s="9" t="s">
        <v>9</v>
      </c>
      <c r="C1099" s="9">
        <v>1920</v>
      </c>
      <c r="D1099" s="10">
        <v>45677</v>
      </c>
      <c r="E1099" s="13" t="str">
        <f>+HYPERLINK("http://trademark.i-assist.jp/data/china/image_1920th/81541266.pdf","81541266")</f>
        <v>81541266</v>
      </c>
      <c r="F1099" s="12" t="s">
        <v>12</v>
      </c>
      <c r="G1099" s="9" t="s">
        <v>3073</v>
      </c>
      <c r="H1099" s="9" t="s">
        <v>3074</v>
      </c>
      <c r="I1099" s="10">
        <v>45588</v>
      </c>
    </row>
    <row r="1100" spans="1:9" x14ac:dyDescent="0.15">
      <c r="A1100" s="9">
        <v>1099</v>
      </c>
      <c r="B1100" s="9" t="s">
        <v>9</v>
      </c>
      <c r="C1100" s="9">
        <v>1920</v>
      </c>
      <c r="D1100" s="10">
        <v>45677</v>
      </c>
      <c r="E1100" s="13" t="str">
        <f>+HYPERLINK("http://trademark.i-assist.jp/data/china/image_1920th/81541327.pdf","81541327")</f>
        <v>81541327</v>
      </c>
      <c r="F1100" s="9" t="s">
        <v>3075</v>
      </c>
      <c r="G1100" s="9" t="s">
        <v>134</v>
      </c>
      <c r="H1100" s="12" t="s">
        <v>3076</v>
      </c>
      <c r="I1100" s="10">
        <v>45588</v>
      </c>
    </row>
    <row r="1101" spans="1:9" x14ac:dyDescent="0.15">
      <c r="A1101" s="9">
        <v>1100</v>
      </c>
      <c r="B1101" s="9" t="s">
        <v>9</v>
      </c>
      <c r="C1101" s="9">
        <v>1920</v>
      </c>
      <c r="D1101" s="10">
        <v>45677</v>
      </c>
      <c r="E1101" s="13" t="str">
        <f>+HYPERLINK("http://trademark.i-assist.jp/data/china/image_1920th/81541823.pdf","81541823")</f>
        <v>81541823</v>
      </c>
      <c r="F1101" s="9" t="s">
        <v>3077</v>
      </c>
      <c r="G1101" s="9" t="s">
        <v>3078</v>
      </c>
      <c r="H1101" s="12" t="s">
        <v>3079</v>
      </c>
      <c r="I1101" s="10">
        <v>45588</v>
      </c>
    </row>
    <row r="1102" spans="1:9" x14ac:dyDescent="0.15">
      <c r="A1102" s="9">
        <v>1101</v>
      </c>
      <c r="B1102" s="9" t="s">
        <v>9</v>
      </c>
      <c r="C1102" s="9">
        <v>1920</v>
      </c>
      <c r="D1102" s="10">
        <v>45677</v>
      </c>
      <c r="E1102" s="13" t="str">
        <f>+HYPERLINK("http://trademark.i-assist.jp/data/china/image_1920th/81541929.pdf","81541929")</f>
        <v>81541929</v>
      </c>
      <c r="F1102" s="12" t="s">
        <v>3080</v>
      </c>
      <c r="G1102" s="9" t="s">
        <v>3081</v>
      </c>
      <c r="H1102" s="9" t="s">
        <v>3082</v>
      </c>
      <c r="I1102" s="10">
        <v>45588</v>
      </c>
    </row>
    <row r="1103" spans="1:9" x14ac:dyDescent="0.15">
      <c r="A1103" s="9">
        <v>1102</v>
      </c>
      <c r="B1103" s="9" t="s">
        <v>9</v>
      </c>
      <c r="C1103" s="9">
        <v>1920</v>
      </c>
      <c r="D1103" s="10">
        <v>45677</v>
      </c>
      <c r="E1103" s="13" t="str">
        <f>+HYPERLINK("http://trademark.i-assist.jp/data/china/image_1920th/81542059.pdf","81542059")</f>
        <v>81542059</v>
      </c>
      <c r="F1103" s="9" t="s">
        <v>3083</v>
      </c>
      <c r="G1103" s="9" t="s">
        <v>3084</v>
      </c>
      <c r="H1103" s="9" t="s">
        <v>3085</v>
      </c>
      <c r="I1103" s="10">
        <v>45588</v>
      </c>
    </row>
    <row r="1104" spans="1:9" x14ac:dyDescent="0.15">
      <c r="A1104" s="9">
        <v>1103</v>
      </c>
      <c r="B1104" s="9" t="s">
        <v>9</v>
      </c>
      <c r="C1104" s="9">
        <v>1920</v>
      </c>
      <c r="D1104" s="10">
        <v>45677</v>
      </c>
      <c r="E1104" s="13" t="str">
        <f>+HYPERLINK("http://trademark.i-assist.jp/data/china/image_1920th/81542523.pdf","81542523")</f>
        <v>81542523</v>
      </c>
      <c r="F1104" s="9" t="s">
        <v>3086</v>
      </c>
      <c r="G1104" s="12" t="s">
        <v>3087</v>
      </c>
      <c r="H1104" s="9" t="s">
        <v>3088</v>
      </c>
      <c r="I1104" s="10">
        <v>45588</v>
      </c>
    </row>
    <row r="1105" spans="1:9" x14ac:dyDescent="0.15">
      <c r="A1105" s="9">
        <v>1104</v>
      </c>
      <c r="B1105" s="9" t="s">
        <v>9</v>
      </c>
      <c r="C1105" s="9">
        <v>1920</v>
      </c>
      <c r="D1105" s="10">
        <v>45677</v>
      </c>
      <c r="E1105" s="13" t="str">
        <f>+HYPERLINK("http://trademark.i-assist.jp/data/china/image_1920th/81542978.pdf","81542978")</f>
        <v>81542978</v>
      </c>
      <c r="F1105" s="9" t="s">
        <v>3089</v>
      </c>
      <c r="G1105" s="12" t="s">
        <v>3090</v>
      </c>
      <c r="H1105" s="12" t="s">
        <v>3091</v>
      </c>
      <c r="I1105" s="10">
        <v>45588</v>
      </c>
    </row>
    <row r="1106" spans="1:9" x14ac:dyDescent="0.15">
      <c r="A1106" s="9">
        <v>1105</v>
      </c>
      <c r="B1106" s="9" t="s">
        <v>9</v>
      </c>
      <c r="C1106" s="9">
        <v>1920</v>
      </c>
      <c r="D1106" s="10">
        <v>45677</v>
      </c>
      <c r="E1106" s="13" t="str">
        <f>+HYPERLINK("http://trademark.i-assist.jp/data/china/image_1920th/81543069.pdf","81543069")</f>
        <v>81543069</v>
      </c>
      <c r="F1106" s="9" t="s">
        <v>3007</v>
      </c>
      <c r="G1106" s="12" t="s">
        <v>1960</v>
      </c>
      <c r="H1106" s="12" t="s">
        <v>3092</v>
      </c>
      <c r="I1106" s="10">
        <v>45588</v>
      </c>
    </row>
    <row r="1107" spans="1:9" x14ac:dyDescent="0.15">
      <c r="A1107" s="9">
        <v>1106</v>
      </c>
      <c r="B1107" s="9" t="s">
        <v>9</v>
      </c>
      <c r="C1107" s="9">
        <v>1920</v>
      </c>
      <c r="D1107" s="10">
        <v>45677</v>
      </c>
      <c r="E1107" s="13" t="str">
        <f>+HYPERLINK("http://trademark.i-assist.jp/data/china/image_1920th/81543132.pdf","81543132")</f>
        <v>81543132</v>
      </c>
      <c r="F1107" s="9" t="s">
        <v>3093</v>
      </c>
      <c r="G1107" s="9" t="s">
        <v>3094</v>
      </c>
      <c r="H1107" s="9" t="s">
        <v>3095</v>
      </c>
      <c r="I1107" s="10">
        <v>45588</v>
      </c>
    </row>
    <row r="1108" spans="1:9" x14ac:dyDescent="0.15">
      <c r="A1108" s="9">
        <v>1107</v>
      </c>
      <c r="B1108" s="9" t="s">
        <v>9</v>
      </c>
      <c r="C1108" s="9">
        <v>1920</v>
      </c>
      <c r="D1108" s="10">
        <v>45677</v>
      </c>
      <c r="E1108" s="13" t="str">
        <f>+HYPERLINK("http://trademark.i-assist.jp/data/china/image_1920th/81543606.pdf","81543606")</f>
        <v>81543606</v>
      </c>
      <c r="F1108" s="12" t="s">
        <v>12</v>
      </c>
      <c r="G1108" s="9" t="s">
        <v>3096</v>
      </c>
      <c r="H1108" s="12" t="s">
        <v>3097</v>
      </c>
      <c r="I1108" s="10">
        <v>45588</v>
      </c>
    </row>
    <row r="1109" spans="1:9" x14ac:dyDescent="0.15">
      <c r="A1109" s="9">
        <v>1108</v>
      </c>
      <c r="B1109" s="9" t="s">
        <v>9</v>
      </c>
      <c r="C1109" s="9">
        <v>1920</v>
      </c>
      <c r="D1109" s="10">
        <v>45677</v>
      </c>
      <c r="E1109" s="13" t="str">
        <f>+HYPERLINK("http://trademark.i-assist.jp/data/china/image_1920th/81543710.pdf","81543710")</f>
        <v>81543710</v>
      </c>
      <c r="F1109" s="9" t="s">
        <v>3098</v>
      </c>
      <c r="G1109" s="9" t="s">
        <v>3099</v>
      </c>
      <c r="H1109" s="9" t="s">
        <v>3100</v>
      </c>
      <c r="I1109" s="10">
        <v>45588</v>
      </c>
    </row>
    <row r="1110" spans="1:9" x14ac:dyDescent="0.15">
      <c r="A1110" s="9">
        <v>1109</v>
      </c>
      <c r="B1110" s="9" t="s">
        <v>9</v>
      </c>
      <c r="C1110" s="9">
        <v>1920</v>
      </c>
      <c r="D1110" s="10">
        <v>45677</v>
      </c>
      <c r="E1110" s="13" t="str">
        <f>+HYPERLINK("http://trademark.i-assist.jp/data/china/image_1920th/81543860.pdf","81543860")</f>
        <v>81543860</v>
      </c>
      <c r="F1110" s="12" t="s">
        <v>3101</v>
      </c>
      <c r="G1110" s="9" t="s">
        <v>49</v>
      </c>
      <c r="H1110" s="9" t="s">
        <v>3102</v>
      </c>
      <c r="I1110" s="10">
        <v>45588</v>
      </c>
    </row>
    <row r="1111" spans="1:9" x14ac:dyDescent="0.15">
      <c r="A1111" s="9">
        <v>1110</v>
      </c>
      <c r="B1111" s="9" t="s">
        <v>9</v>
      </c>
      <c r="C1111" s="9">
        <v>1920</v>
      </c>
      <c r="D1111" s="10">
        <v>45677</v>
      </c>
      <c r="E1111" s="13" t="str">
        <f>+HYPERLINK("http://trademark.i-assist.jp/data/china/image_1920th/81544085.pdf","81544085")</f>
        <v>81544085</v>
      </c>
      <c r="F1111" s="9" t="s">
        <v>3103</v>
      </c>
      <c r="G1111" s="9" t="s">
        <v>3104</v>
      </c>
      <c r="H1111" s="9" t="s">
        <v>3105</v>
      </c>
      <c r="I1111" s="10">
        <v>45588</v>
      </c>
    </row>
    <row r="1112" spans="1:9" x14ac:dyDescent="0.15">
      <c r="A1112" s="9">
        <v>1111</v>
      </c>
      <c r="B1112" s="9" t="s">
        <v>9</v>
      </c>
      <c r="C1112" s="9">
        <v>1920</v>
      </c>
      <c r="D1112" s="10">
        <v>45677</v>
      </c>
      <c r="E1112" s="13" t="str">
        <f>+HYPERLINK("http://trademark.i-assist.jp/data/china/image_1920th/81544126.pdf","81544126")</f>
        <v>81544126</v>
      </c>
      <c r="F1112" s="9" t="s">
        <v>3106</v>
      </c>
      <c r="G1112" s="12" t="s">
        <v>132</v>
      </c>
      <c r="H1112" s="12" t="s">
        <v>3107</v>
      </c>
      <c r="I1112" s="10">
        <v>45588</v>
      </c>
    </row>
    <row r="1113" spans="1:9" x14ac:dyDescent="0.15">
      <c r="A1113" s="9">
        <v>1112</v>
      </c>
      <c r="B1113" s="9" t="s">
        <v>9</v>
      </c>
      <c r="C1113" s="9">
        <v>1920</v>
      </c>
      <c r="D1113" s="10">
        <v>45677</v>
      </c>
      <c r="E1113" s="13" t="str">
        <f>+HYPERLINK("http://trademark.i-assist.jp/data/china/image_1920th/81544327.pdf","81544327")</f>
        <v>81544327</v>
      </c>
      <c r="F1113" s="9" t="s">
        <v>3108</v>
      </c>
      <c r="G1113" s="9" t="s">
        <v>3109</v>
      </c>
      <c r="H1113" s="9" t="s">
        <v>3110</v>
      </c>
      <c r="I1113" s="10">
        <v>45588</v>
      </c>
    </row>
    <row r="1114" spans="1:9" x14ac:dyDescent="0.15">
      <c r="A1114" s="9">
        <v>1113</v>
      </c>
      <c r="B1114" s="9" t="s">
        <v>9</v>
      </c>
      <c r="C1114" s="9">
        <v>1920</v>
      </c>
      <c r="D1114" s="10">
        <v>45677</v>
      </c>
      <c r="E1114" s="13" t="str">
        <f>+HYPERLINK("http://trademark.i-assist.jp/data/china/image_1920th/81544387.pdf","81544387")</f>
        <v>81544387</v>
      </c>
      <c r="F1114" s="9" t="s">
        <v>3111</v>
      </c>
      <c r="G1114" s="9" t="s">
        <v>3112</v>
      </c>
      <c r="H1114" s="9" t="s">
        <v>3113</v>
      </c>
      <c r="I1114" s="10">
        <v>45588</v>
      </c>
    </row>
    <row r="1115" spans="1:9" x14ac:dyDescent="0.15">
      <c r="A1115" s="9">
        <v>1114</v>
      </c>
      <c r="B1115" s="9" t="s">
        <v>9</v>
      </c>
      <c r="C1115" s="9">
        <v>1920</v>
      </c>
      <c r="D1115" s="10">
        <v>45677</v>
      </c>
      <c r="E1115" s="13" t="str">
        <f>+HYPERLINK("http://trademark.i-assist.jp/data/china/image_1920th/81544392.pdf","81544392")</f>
        <v>81544392</v>
      </c>
      <c r="F1115" s="9" t="s">
        <v>3114</v>
      </c>
      <c r="G1115" s="9" t="s">
        <v>3115</v>
      </c>
      <c r="H1115" s="9" t="s">
        <v>3116</v>
      </c>
      <c r="I1115" s="10">
        <v>45588</v>
      </c>
    </row>
    <row r="1116" spans="1:9" x14ac:dyDescent="0.15">
      <c r="A1116" s="9">
        <v>1115</v>
      </c>
      <c r="B1116" s="9" t="s">
        <v>9</v>
      </c>
      <c r="C1116" s="9">
        <v>1920</v>
      </c>
      <c r="D1116" s="10">
        <v>45677</v>
      </c>
      <c r="E1116" s="13" t="str">
        <f>+HYPERLINK("http://trademark.i-assist.jp/data/china/image_1920th/81544885.pdf","81544885")</f>
        <v>81544885</v>
      </c>
      <c r="F1116" s="12" t="s">
        <v>12</v>
      </c>
      <c r="G1116" s="9" t="s">
        <v>3117</v>
      </c>
      <c r="H1116" s="9" t="s">
        <v>3118</v>
      </c>
      <c r="I1116" s="10">
        <v>45588</v>
      </c>
    </row>
    <row r="1117" spans="1:9" x14ac:dyDescent="0.15">
      <c r="A1117" s="9">
        <v>1116</v>
      </c>
      <c r="B1117" s="9" t="s">
        <v>9</v>
      </c>
      <c r="C1117" s="9">
        <v>1920</v>
      </c>
      <c r="D1117" s="10">
        <v>45677</v>
      </c>
      <c r="E1117" s="13" t="str">
        <f>+HYPERLINK("http://trademark.i-assist.jp/data/china/image_1920th/81544923.pdf","81544923")</f>
        <v>81544923</v>
      </c>
      <c r="F1117" s="12" t="s">
        <v>3119</v>
      </c>
      <c r="G1117" s="9" t="s">
        <v>3120</v>
      </c>
      <c r="H1117" s="9" t="s">
        <v>3121</v>
      </c>
      <c r="I1117" s="10">
        <v>45588</v>
      </c>
    </row>
    <row r="1118" spans="1:9" x14ac:dyDescent="0.15">
      <c r="A1118" s="9">
        <v>1117</v>
      </c>
      <c r="B1118" s="9" t="s">
        <v>9</v>
      </c>
      <c r="C1118" s="9">
        <v>1920</v>
      </c>
      <c r="D1118" s="10">
        <v>45677</v>
      </c>
      <c r="E1118" s="13" t="str">
        <f>+HYPERLINK("http://trademark.i-assist.jp/data/china/image_1920th/81545056.pdf","81545056")</f>
        <v>81545056</v>
      </c>
      <c r="F1118" s="9" t="s">
        <v>3122</v>
      </c>
      <c r="G1118" s="12" t="s">
        <v>3123</v>
      </c>
      <c r="H1118" s="12" t="s">
        <v>3124</v>
      </c>
      <c r="I1118" s="10">
        <v>45588</v>
      </c>
    </row>
    <row r="1119" spans="1:9" x14ac:dyDescent="0.15">
      <c r="A1119" s="9">
        <v>1118</v>
      </c>
      <c r="B1119" s="9" t="s">
        <v>9</v>
      </c>
      <c r="C1119" s="9">
        <v>1920</v>
      </c>
      <c r="D1119" s="10">
        <v>45677</v>
      </c>
      <c r="E1119" s="13" t="str">
        <f>+HYPERLINK("http://trademark.i-assist.jp/data/china/image_1920th/81545165.pdf","81545165")</f>
        <v>81545165</v>
      </c>
      <c r="F1119" s="9" t="s">
        <v>3125</v>
      </c>
      <c r="G1119" s="12" t="s">
        <v>3126</v>
      </c>
      <c r="H1119" s="12" t="s">
        <v>3127</v>
      </c>
      <c r="I1119" s="10">
        <v>45588</v>
      </c>
    </row>
    <row r="1120" spans="1:9" x14ac:dyDescent="0.15">
      <c r="A1120" s="9">
        <v>1119</v>
      </c>
      <c r="B1120" s="9" t="s">
        <v>9</v>
      </c>
      <c r="C1120" s="9">
        <v>1920</v>
      </c>
      <c r="D1120" s="10">
        <v>45677</v>
      </c>
      <c r="E1120" s="13" t="str">
        <f>+HYPERLINK("http://trademark.i-assist.jp/data/china/image_1920th/81545738.pdf","81545738")</f>
        <v>81545738</v>
      </c>
      <c r="F1120" s="9" t="s">
        <v>3128</v>
      </c>
      <c r="G1120" s="12" t="s">
        <v>1960</v>
      </c>
      <c r="H1120" s="9" t="s">
        <v>3129</v>
      </c>
      <c r="I1120" s="10">
        <v>45588</v>
      </c>
    </row>
    <row r="1121" spans="1:9" x14ac:dyDescent="0.15">
      <c r="A1121" s="9">
        <v>1120</v>
      </c>
      <c r="B1121" s="9" t="s">
        <v>9</v>
      </c>
      <c r="C1121" s="9">
        <v>1920</v>
      </c>
      <c r="D1121" s="10">
        <v>45677</v>
      </c>
      <c r="E1121" s="13" t="str">
        <f>+HYPERLINK("http://trademark.i-assist.jp/data/china/image_1920th/81545744.pdf","81545744")</f>
        <v>81545744</v>
      </c>
      <c r="F1121" s="9" t="s">
        <v>3128</v>
      </c>
      <c r="G1121" s="12" t="s">
        <v>1960</v>
      </c>
      <c r="H1121" s="12" t="s">
        <v>3130</v>
      </c>
      <c r="I1121" s="10">
        <v>45588</v>
      </c>
    </row>
    <row r="1122" spans="1:9" x14ac:dyDescent="0.15">
      <c r="A1122" s="9">
        <v>1121</v>
      </c>
      <c r="B1122" s="9" t="s">
        <v>9</v>
      </c>
      <c r="C1122" s="9">
        <v>1920</v>
      </c>
      <c r="D1122" s="10">
        <v>45677</v>
      </c>
      <c r="E1122" s="13" t="str">
        <f>+HYPERLINK("http://trademark.i-assist.jp/data/china/image_1920th/81545746.pdf","81545746")</f>
        <v>81545746</v>
      </c>
      <c r="F1122" s="12" t="s">
        <v>3131</v>
      </c>
      <c r="G1122" s="9" t="s">
        <v>3132</v>
      </c>
      <c r="H1122" s="9" t="s">
        <v>3133</v>
      </c>
      <c r="I1122" s="10">
        <v>45588</v>
      </c>
    </row>
    <row r="1123" spans="1:9" x14ac:dyDescent="0.15">
      <c r="A1123" s="9">
        <v>1122</v>
      </c>
      <c r="B1123" s="9" t="s">
        <v>9</v>
      </c>
      <c r="C1123" s="9">
        <v>1920</v>
      </c>
      <c r="D1123" s="10">
        <v>45677</v>
      </c>
      <c r="E1123" s="13" t="str">
        <f>+HYPERLINK("http://trademark.i-assist.jp/data/china/image_1920th/81545891.pdf","81545891")</f>
        <v>81545891</v>
      </c>
      <c r="F1123" s="9" t="s">
        <v>3134</v>
      </c>
      <c r="G1123" s="9" t="s">
        <v>3135</v>
      </c>
      <c r="H1123" s="9" t="s">
        <v>3136</v>
      </c>
      <c r="I1123" s="10">
        <v>45588</v>
      </c>
    </row>
    <row r="1124" spans="1:9" x14ac:dyDescent="0.15">
      <c r="A1124" s="9">
        <v>1123</v>
      </c>
      <c r="B1124" s="9" t="s">
        <v>9</v>
      </c>
      <c r="C1124" s="9">
        <v>1920</v>
      </c>
      <c r="D1124" s="10">
        <v>45677</v>
      </c>
      <c r="E1124" s="13" t="str">
        <f>+HYPERLINK("http://trademark.i-assist.jp/data/china/image_1920th/81546089.pdf","81546089")</f>
        <v>81546089</v>
      </c>
      <c r="F1124" s="12" t="s">
        <v>3137</v>
      </c>
      <c r="G1124" s="9" t="s">
        <v>3138</v>
      </c>
      <c r="H1124" s="9" t="s">
        <v>3139</v>
      </c>
      <c r="I1124" s="10">
        <v>45588</v>
      </c>
    </row>
    <row r="1125" spans="1:9" x14ac:dyDescent="0.15">
      <c r="A1125" s="9">
        <v>1124</v>
      </c>
      <c r="B1125" s="9" t="s">
        <v>9</v>
      </c>
      <c r="C1125" s="9">
        <v>1920</v>
      </c>
      <c r="D1125" s="10">
        <v>45677</v>
      </c>
      <c r="E1125" s="13" t="str">
        <f>+HYPERLINK("http://trademark.i-assist.jp/data/china/image_1920th/81546443.pdf","81546443")</f>
        <v>81546443</v>
      </c>
      <c r="F1125" s="9" t="s">
        <v>3140</v>
      </c>
      <c r="G1125" s="9" t="s">
        <v>3141</v>
      </c>
      <c r="H1125" s="12" t="s">
        <v>3142</v>
      </c>
      <c r="I1125" s="10">
        <v>45588</v>
      </c>
    </row>
    <row r="1126" spans="1:9" x14ac:dyDescent="0.15">
      <c r="A1126" s="9">
        <v>1125</v>
      </c>
      <c r="B1126" s="9" t="s">
        <v>9</v>
      </c>
      <c r="C1126" s="9">
        <v>1920</v>
      </c>
      <c r="D1126" s="10">
        <v>45677</v>
      </c>
      <c r="E1126" s="13" t="str">
        <f>+HYPERLINK("http://trademark.i-assist.jp/data/china/image_1920th/81546835.pdf","81546835")</f>
        <v>81546835</v>
      </c>
      <c r="F1126" s="9" t="s">
        <v>3143</v>
      </c>
      <c r="G1126" s="9" t="s">
        <v>3144</v>
      </c>
      <c r="H1126" s="9" t="s">
        <v>3145</v>
      </c>
      <c r="I1126" s="10">
        <v>45588</v>
      </c>
    </row>
    <row r="1127" spans="1:9" x14ac:dyDescent="0.15">
      <c r="A1127" s="9">
        <v>1126</v>
      </c>
      <c r="B1127" s="9" t="s">
        <v>9</v>
      </c>
      <c r="C1127" s="9">
        <v>1920</v>
      </c>
      <c r="D1127" s="10">
        <v>45677</v>
      </c>
      <c r="E1127" s="13" t="str">
        <f>+HYPERLINK("http://trademark.i-assist.jp/data/china/image_1920th/81546889.pdf","81546889")</f>
        <v>81546889</v>
      </c>
      <c r="F1127" s="9" t="s">
        <v>3146</v>
      </c>
      <c r="G1127" s="12" t="s">
        <v>3147</v>
      </c>
      <c r="H1127" s="9" t="s">
        <v>3148</v>
      </c>
      <c r="I1127" s="10">
        <v>45588</v>
      </c>
    </row>
    <row r="1128" spans="1:9" x14ac:dyDescent="0.15">
      <c r="A1128" s="9">
        <v>1127</v>
      </c>
      <c r="B1128" s="9" t="s">
        <v>9</v>
      </c>
      <c r="C1128" s="9">
        <v>1920</v>
      </c>
      <c r="D1128" s="10">
        <v>45677</v>
      </c>
      <c r="E1128" s="13" t="str">
        <f>+HYPERLINK("http://trademark.i-assist.jp/data/china/image_1920th/81547111.pdf","81547111")</f>
        <v>81547111</v>
      </c>
      <c r="F1128" s="12" t="s">
        <v>12</v>
      </c>
      <c r="G1128" s="9" t="s">
        <v>3149</v>
      </c>
      <c r="H1128" s="9" t="s">
        <v>3150</v>
      </c>
      <c r="I1128" s="10">
        <v>45588</v>
      </c>
    </row>
    <row r="1129" spans="1:9" x14ac:dyDescent="0.15">
      <c r="A1129" s="9">
        <v>1128</v>
      </c>
      <c r="B1129" s="9" t="s">
        <v>9</v>
      </c>
      <c r="C1129" s="9">
        <v>1920</v>
      </c>
      <c r="D1129" s="10">
        <v>45677</v>
      </c>
      <c r="E1129" s="13" t="str">
        <f>+HYPERLINK("http://trademark.i-assist.jp/data/china/image_1920th/81547346.pdf","81547346")</f>
        <v>81547346</v>
      </c>
      <c r="F1129" s="9" t="s">
        <v>3151</v>
      </c>
      <c r="G1129" s="9" t="s">
        <v>3152</v>
      </c>
      <c r="H1129" s="9" t="s">
        <v>3153</v>
      </c>
      <c r="I1129" s="10">
        <v>45588</v>
      </c>
    </row>
    <row r="1130" spans="1:9" x14ac:dyDescent="0.15">
      <c r="A1130" s="9">
        <v>1129</v>
      </c>
      <c r="B1130" s="9" t="s">
        <v>9</v>
      </c>
      <c r="C1130" s="9">
        <v>1920</v>
      </c>
      <c r="D1130" s="10">
        <v>45677</v>
      </c>
      <c r="E1130" s="13" t="str">
        <f>+HYPERLINK("http://trademark.i-assist.jp/data/china/image_1920th/81547555.pdf","81547555")</f>
        <v>81547555</v>
      </c>
      <c r="F1130" s="12" t="s">
        <v>12</v>
      </c>
      <c r="G1130" s="9" t="s">
        <v>3154</v>
      </c>
      <c r="H1130" s="9" t="s">
        <v>3155</v>
      </c>
      <c r="I1130" s="10">
        <v>45588</v>
      </c>
    </row>
    <row r="1131" spans="1:9" x14ac:dyDescent="0.15">
      <c r="A1131" s="9">
        <v>1130</v>
      </c>
      <c r="B1131" s="9" t="s">
        <v>9</v>
      </c>
      <c r="C1131" s="9">
        <v>1920</v>
      </c>
      <c r="D1131" s="10">
        <v>45677</v>
      </c>
      <c r="E1131" s="13" t="str">
        <f>+HYPERLINK("http://trademark.i-assist.jp/data/china/image_1920th/81547556.pdf","81547556")</f>
        <v>81547556</v>
      </c>
      <c r="F1131" s="9" t="s">
        <v>3156</v>
      </c>
      <c r="G1131" s="9" t="s">
        <v>3157</v>
      </c>
      <c r="H1131" s="9" t="s">
        <v>3158</v>
      </c>
      <c r="I1131" s="10">
        <v>45588</v>
      </c>
    </row>
    <row r="1132" spans="1:9" x14ac:dyDescent="0.15">
      <c r="A1132" s="9">
        <v>1131</v>
      </c>
      <c r="B1132" s="9" t="s">
        <v>9</v>
      </c>
      <c r="C1132" s="9">
        <v>1920</v>
      </c>
      <c r="D1132" s="10">
        <v>45677</v>
      </c>
      <c r="E1132" s="13" t="str">
        <f>+HYPERLINK("http://trademark.i-assist.jp/data/china/image_1920th/81548355.pdf","81548355")</f>
        <v>81548355</v>
      </c>
      <c r="F1132" s="9" t="s">
        <v>3159</v>
      </c>
      <c r="G1132" s="9" t="s">
        <v>3160</v>
      </c>
      <c r="H1132" s="9" t="s">
        <v>3161</v>
      </c>
      <c r="I1132" s="10">
        <v>45588</v>
      </c>
    </row>
    <row r="1133" spans="1:9" x14ac:dyDescent="0.15">
      <c r="A1133" s="9">
        <v>1132</v>
      </c>
      <c r="B1133" s="9" t="s">
        <v>9</v>
      </c>
      <c r="C1133" s="9">
        <v>1920</v>
      </c>
      <c r="D1133" s="10">
        <v>45677</v>
      </c>
      <c r="E1133" s="13" t="str">
        <f>+HYPERLINK("http://trademark.i-assist.jp/data/china/image_1920th/81548556.pdf","81548556")</f>
        <v>81548556</v>
      </c>
      <c r="F1133" s="9" t="s">
        <v>3162</v>
      </c>
      <c r="G1133" s="9" t="s">
        <v>3163</v>
      </c>
      <c r="H1133" s="12" t="s">
        <v>3164</v>
      </c>
      <c r="I1133" s="10">
        <v>45588</v>
      </c>
    </row>
    <row r="1134" spans="1:9" x14ac:dyDescent="0.15">
      <c r="A1134" s="9">
        <v>1133</v>
      </c>
      <c r="B1134" s="9" t="s">
        <v>9</v>
      </c>
      <c r="C1134" s="9">
        <v>1920</v>
      </c>
      <c r="D1134" s="10">
        <v>45677</v>
      </c>
      <c r="E1134" s="13" t="str">
        <f>+HYPERLINK("http://trademark.i-assist.jp/data/china/image_1920th/81548953.pdf","81548953")</f>
        <v>81548953</v>
      </c>
      <c r="F1134" s="9" t="s">
        <v>3165</v>
      </c>
      <c r="G1134" s="9" t="s">
        <v>3166</v>
      </c>
      <c r="H1134" s="9" t="s">
        <v>3167</v>
      </c>
      <c r="I1134" s="10">
        <v>45588</v>
      </c>
    </row>
    <row r="1135" spans="1:9" x14ac:dyDescent="0.15">
      <c r="A1135" s="9">
        <v>1134</v>
      </c>
      <c r="B1135" s="9" t="s">
        <v>9</v>
      </c>
      <c r="C1135" s="9">
        <v>1920</v>
      </c>
      <c r="D1135" s="10">
        <v>45677</v>
      </c>
      <c r="E1135" s="13" t="str">
        <f>+HYPERLINK("http://trademark.i-assist.jp/data/china/image_1920th/81549365.pdf","81549365")</f>
        <v>81549365</v>
      </c>
      <c r="F1135" s="9" t="s">
        <v>3168</v>
      </c>
      <c r="G1135" s="9" t="s">
        <v>3169</v>
      </c>
      <c r="H1135" s="12" t="s">
        <v>3170</v>
      </c>
      <c r="I1135" s="10">
        <v>45588</v>
      </c>
    </row>
    <row r="1136" spans="1:9" x14ac:dyDescent="0.15">
      <c r="A1136" s="9">
        <v>1135</v>
      </c>
      <c r="B1136" s="9" t="s">
        <v>9</v>
      </c>
      <c r="C1136" s="9">
        <v>1920</v>
      </c>
      <c r="D1136" s="10">
        <v>45677</v>
      </c>
      <c r="E1136" s="13" t="str">
        <f>+HYPERLINK("http://trademark.i-assist.jp/data/china/image_1920th/81549975.pdf","81549975")</f>
        <v>81549975</v>
      </c>
      <c r="F1136" s="9" t="s">
        <v>3171</v>
      </c>
      <c r="G1136" s="9" t="s">
        <v>3172</v>
      </c>
      <c r="H1136" s="9" t="s">
        <v>3173</v>
      </c>
      <c r="I1136" s="10">
        <v>45588</v>
      </c>
    </row>
    <row r="1137" spans="1:9" x14ac:dyDescent="0.15">
      <c r="A1137" s="9">
        <v>1136</v>
      </c>
      <c r="B1137" s="9" t="s">
        <v>9</v>
      </c>
      <c r="C1137" s="9">
        <v>1920</v>
      </c>
      <c r="D1137" s="10">
        <v>45677</v>
      </c>
      <c r="E1137" s="13" t="str">
        <f>+HYPERLINK("http://trademark.i-assist.jp/data/china/image_1920th/81550043.pdf","81550043")</f>
        <v>81550043</v>
      </c>
      <c r="F1137" s="9" t="s">
        <v>3174</v>
      </c>
      <c r="G1137" s="9" t="s">
        <v>3175</v>
      </c>
      <c r="H1137" s="9" t="s">
        <v>3176</v>
      </c>
      <c r="I1137" s="10">
        <v>45588</v>
      </c>
    </row>
    <row r="1138" spans="1:9" x14ac:dyDescent="0.15">
      <c r="A1138" s="9">
        <v>1137</v>
      </c>
      <c r="B1138" s="9" t="s">
        <v>9</v>
      </c>
      <c r="C1138" s="9">
        <v>1920</v>
      </c>
      <c r="D1138" s="10">
        <v>45677</v>
      </c>
      <c r="E1138" s="13" t="str">
        <f>+HYPERLINK("http://trademark.i-assist.jp/data/china/image_1920th/81550194.pdf","81550194")</f>
        <v>81550194</v>
      </c>
      <c r="F1138" s="9" t="s">
        <v>3177</v>
      </c>
      <c r="G1138" s="12" t="s">
        <v>3178</v>
      </c>
      <c r="H1138" s="9" t="s">
        <v>3179</v>
      </c>
      <c r="I1138" s="10">
        <v>45588</v>
      </c>
    </row>
    <row r="1139" spans="1:9" x14ac:dyDescent="0.15">
      <c r="A1139" s="9">
        <v>1138</v>
      </c>
      <c r="B1139" s="9" t="s">
        <v>9</v>
      </c>
      <c r="C1139" s="9">
        <v>1920</v>
      </c>
      <c r="D1139" s="10">
        <v>45677</v>
      </c>
      <c r="E1139" s="13" t="str">
        <f>+HYPERLINK("http://trademark.i-assist.jp/data/china/image_1920th/81550652.pdf","81550652")</f>
        <v>81550652</v>
      </c>
      <c r="F1139" s="9" t="s">
        <v>3180</v>
      </c>
      <c r="G1139" s="9" t="s">
        <v>3181</v>
      </c>
      <c r="H1139" s="9" t="s">
        <v>3182</v>
      </c>
      <c r="I1139" s="10">
        <v>45588</v>
      </c>
    </row>
    <row r="1140" spans="1:9" x14ac:dyDescent="0.15">
      <c r="A1140" s="9">
        <v>1139</v>
      </c>
      <c r="B1140" s="9" t="s">
        <v>9</v>
      </c>
      <c r="C1140" s="9">
        <v>1920</v>
      </c>
      <c r="D1140" s="10">
        <v>45677</v>
      </c>
      <c r="E1140" s="13" t="str">
        <f>+HYPERLINK("http://trademark.i-assist.jp/data/china/image_1920th/81551099.pdf","81551099")</f>
        <v>81551099</v>
      </c>
      <c r="F1140" s="12" t="s">
        <v>3183</v>
      </c>
      <c r="G1140" s="9" t="s">
        <v>3184</v>
      </c>
      <c r="H1140" s="9" t="s">
        <v>3185</v>
      </c>
      <c r="I1140" s="10">
        <v>45588</v>
      </c>
    </row>
    <row r="1141" spans="1:9" x14ac:dyDescent="0.15">
      <c r="A1141" s="9">
        <v>1140</v>
      </c>
      <c r="B1141" s="9" t="s">
        <v>9</v>
      </c>
      <c r="C1141" s="9">
        <v>1920</v>
      </c>
      <c r="D1141" s="10">
        <v>45677</v>
      </c>
      <c r="E1141" s="13" t="str">
        <f>+HYPERLINK("http://trademark.i-assist.jp/data/china/image_1920th/81551270.pdf","81551270")</f>
        <v>81551270</v>
      </c>
      <c r="F1141" s="9" t="s">
        <v>3186</v>
      </c>
      <c r="G1141" s="12" t="s">
        <v>3187</v>
      </c>
      <c r="H1141" s="9" t="s">
        <v>3188</v>
      </c>
      <c r="I1141" s="10">
        <v>45588</v>
      </c>
    </row>
    <row r="1142" spans="1:9" x14ac:dyDescent="0.15">
      <c r="A1142" s="9">
        <v>1141</v>
      </c>
      <c r="B1142" s="9" t="s">
        <v>9</v>
      </c>
      <c r="C1142" s="9">
        <v>1920</v>
      </c>
      <c r="D1142" s="10">
        <v>45677</v>
      </c>
      <c r="E1142" s="13" t="str">
        <f>+HYPERLINK("http://trademark.i-assist.jp/data/china/image_1920th/81551453.pdf","81551453")</f>
        <v>81551453</v>
      </c>
      <c r="F1142" s="9" t="s">
        <v>3189</v>
      </c>
      <c r="G1142" s="9" t="s">
        <v>3190</v>
      </c>
      <c r="H1142" s="9" t="s">
        <v>3191</v>
      </c>
      <c r="I1142" s="10">
        <v>45588</v>
      </c>
    </row>
    <row r="1143" spans="1:9" x14ac:dyDescent="0.15">
      <c r="A1143" s="9">
        <v>1142</v>
      </c>
      <c r="B1143" s="9" t="s">
        <v>9</v>
      </c>
      <c r="C1143" s="9">
        <v>1920</v>
      </c>
      <c r="D1143" s="10">
        <v>45677</v>
      </c>
      <c r="E1143" s="13" t="str">
        <f>+HYPERLINK("http://trademark.i-assist.jp/data/china/image_1920th/81551550.pdf","81551550")</f>
        <v>81551550</v>
      </c>
      <c r="F1143" s="9" t="s">
        <v>3192</v>
      </c>
      <c r="G1143" s="9" t="s">
        <v>3193</v>
      </c>
      <c r="H1143" s="9" t="s">
        <v>3194</v>
      </c>
      <c r="I1143" s="10">
        <v>45588</v>
      </c>
    </row>
    <row r="1144" spans="1:9" x14ac:dyDescent="0.15">
      <c r="A1144" s="9">
        <v>1143</v>
      </c>
      <c r="B1144" s="9" t="s">
        <v>9</v>
      </c>
      <c r="C1144" s="9">
        <v>1920</v>
      </c>
      <c r="D1144" s="10">
        <v>45677</v>
      </c>
      <c r="E1144" s="13" t="str">
        <f>+HYPERLINK("http://trademark.i-assist.jp/data/china/image_1920th/81551674.pdf","81551674")</f>
        <v>81551674</v>
      </c>
      <c r="F1144" s="9" t="s">
        <v>3195</v>
      </c>
      <c r="G1144" s="12" t="s">
        <v>3196</v>
      </c>
      <c r="H1144" s="9" t="s">
        <v>3197</v>
      </c>
      <c r="I1144" s="10">
        <v>45588</v>
      </c>
    </row>
    <row r="1145" spans="1:9" x14ac:dyDescent="0.15">
      <c r="A1145" s="9">
        <v>1144</v>
      </c>
      <c r="B1145" s="9" t="s">
        <v>9</v>
      </c>
      <c r="C1145" s="9">
        <v>1920</v>
      </c>
      <c r="D1145" s="10">
        <v>45677</v>
      </c>
      <c r="E1145" s="13" t="str">
        <f>+HYPERLINK("http://trademark.i-assist.jp/data/china/image_1920th/81551745.pdf","81551745")</f>
        <v>81551745</v>
      </c>
      <c r="F1145" s="9" t="s">
        <v>3198</v>
      </c>
      <c r="G1145" s="12" t="s">
        <v>3147</v>
      </c>
      <c r="H1145" s="9" t="s">
        <v>3199</v>
      </c>
      <c r="I1145" s="10">
        <v>45588</v>
      </c>
    </row>
    <row r="1146" spans="1:9" x14ac:dyDescent="0.15">
      <c r="A1146" s="9">
        <v>1145</v>
      </c>
      <c r="B1146" s="9" t="s">
        <v>9</v>
      </c>
      <c r="C1146" s="9">
        <v>1920</v>
      </c>
      <c r="D1146" s="10">
        <v>45677</v>
      </c>
      <c r="E1146" s="13" t="str">
        <f>+HYPERLINK("http://trademark.i-assist.jp/data/china/image_1920th/81551911.pdf","81551911")</f>
        <v>81551911</v>
      </c>
      <c r="F1146" s="12" t="s">
        <v>3200</v>
      </c>
      <c r="G1146" s="9" t="s">
        <v>3201</v>
      </c>
      <c r="H1146" s="9" t="s">
        <v>3202</v>
      </c>
      <c r="I1146" s="10">
        <v>45588</v>
      </c>
    </row>
    <row r="1147" spans="1:9" x14ac:dyDescent="0.15">
      <c r="A1147" s="9">
        <v>1146</v>
      </c>
      <c r="B1147" s="9" t="s">
        <v>9</v>
      </c>
      <c r="C1147" s="9">
        <v>1920</v>
      </c>
      <c r="D1147" s="10">
        <v>45677</v>
      </c>
      <c r="E1147" s="13" t="str">
        <f>+HYPERLINK("http://trademark.i-assist.jp/data/china/image_1920th/81551932.pdf","81551932")</f>
        <v>81551932</v>
      </c>
      <c r="F1147" s="12" t="s">
        <v>3203</v>
      </c>
      <c r="G1147" s="12" t="s">
        <v>3147</v>
      </c>
      <c r="H1147" s="9" t="s">
        <v>3204</v>
      </c>
      <c r="I1147" s="10">
        <v>45588</v>
      </c>
    </row>
    <row r="1148" spans="1:9" x14ac:dyDescent="0.15">
      <c r="A1148" s="9">
        <v>1147</v>
      </c>
      <c r="B1148" s="9" t="s">
        <v>9</v>
      </c>
      <c r="C1148" s="9">
        <v>1920</v>
      </c>
      <c r="D1148" s="10">
        <v>45677</v>
      </c>
      <c r="E1148" s="13" t="str">
        <f>+HYPERLINK("http://trademark.i-assist.jp/data/china/image_1920th/81551990.pdf","81551990")</f>
        <v>81551990</v>
      </c>
      <c r="F1148" s="9" t="s">
        <v>3205</v>
      </c>
      <c r="G1148" s="12" t="s">
        <v>3206</v>
      </c>
      <c r="H1148" s="9" t="s">
        <v>3207</v>
      </c>
      <c r="I1148" s="10">
        <v>45588</v>
      </c>
    </row>
    <row r="1149" spans="1:9" x14ac:dyDescent="0.15">
      <c r="A1149" s="9">
        <v>1148</v>
      </c>
      <c r="B1149" s="9" t="s">
        <v>9</v>
      </c>
      <c r="C1149" s="9">
        <v>1920</v>
      </c>
      <c r="D1149" s="10">
        <v>45677</v>
      </c>
      <c r="E1149" s="13" t="str">
        <f>+HYPERLINK("http://trademark.i-assist.jp/data/china/image_1920th/81552255.pdf","81552255")</f>
        <v>81552255</v>
      </c>
      <c r="F1149" s="12" t="s">
        <v>3208</v>
      </c>
      <c r="G1149" s="9" t="s">
        <v>3209</v>
      </c>
      <c r="H1149" s="12" t="s">
        <v>3210</v>
      </c>
      <c r="I1149" s="10">
        <v>45588</v>
      </c>
    </row>
    <row r="1150" spans="1:9" x14ac:dyDescent="0.15">
      <c r="A1150" s="9">
        <v>1149</v>
      </c>
      <c r="B1150" s="9" t="s">
        <v>9</v>
      </c>
      <c r="C1150" s="9">
        <v>1920</v>
      </c>
      <c r="D1150" s="10">
        <v>45677</v>
      </c>
      <c r="E1150" s="13" t="str">
        <f>+HYPERLINK("http://trademark.i-assist.jp/data/china/image_1920th/81552273.pdf","81552273")</f>
        <v>81552273</v>
      </c>
      <c r="F1150" s="9" t="s">
        <v>3211</v>
      </c>
      <c r="G1150" s="9" t="s">
        <v>3212</v>
      </c>
      <c r="H1150" s="9" t="s">
        <v>3213</v>
      </c>
      <c r="I1150" s="10">
        <v>45588</v>
      </c>
    </row>
    <row r="1151" spans="1:9" x14ac:dyDescent="0.15">
      <c r="A1151" s="9">
        <v>1150</v>
      </c>
      <c r="B1151" s="9" t="s">
        <v>9</v>
      </c>
      <c r="C1151" s="9">
        <v>1920</v>
      </c>
      <c r="D1151" s="10">
        <v>45677</v>
      </c>
      <c r="E1151" s="13" t="str">
        <f>+HYPERLINK("http://trademark.i-assist.jp/data/china/image_1920th/81552424.pdf","81552424")</f>
        <v>81552424</v>
      </c>
      <c r="F1151" s="9" t="s">
        <v>3214</v>
      </c>
      <c r="G1151" s="9" t="s">
        <v>3215</v>
      </c>
      <c r="H1151" s="9" t="s">
        <v>3216</v>
      </c>
      <c r="I1151" s="10">
        <v>45588</v>
      </c>
    </row>
    <row r="1152" spans="1:9" x14ac:dyDescent="0.15">
      <c r="A1152" s="9">
        <v>1151</v>
      </c>
      <c r="B1152" s="9" t="s">
        <v>9</v>
      </c>
      <c r="C1152" s="9">
        <v>1920</v>
      </c>
      <c r="D1152" s="10">
        <v>45677</v>
      </c>
      <c r="E1152" s="13" t="str">
        <f>+HYPERLINK("http://trademark.i-assist.jp/data/china/image_1920th/81553021.pdf","81553021")</f>
        <v>81553021</v>
      </c>
      <c r="F1152" s="12" t="s">
        <v>3217</v>
      </c>
      <c r="G1152" s="12" t="s">
        <v>3218</v>
      </c>
      <c r="H1152" s="9" t="s">
        <v>3219</v>
      </c>
      <c r="I1152" s="10">
        <v>45588</v>
      </c>
    </row>
    <row r="1153" spans="1:9" x14ac:dyDescent="0.15">
      <c r="A1153" s="9">
        <v>1152</v>
      </c>
      <c r="B1153" s="9" t="s">
        <v>9</v>
      </c>
      <c r="C1153" s="9">
        <v>1920</v>
      </c>
      <c r="D1153" s="10">
        <v>45677</v>
      </c>
      <c r="E1153" s="13" t="str">
        <f>+HYPERLINK("http://trademark.i-assist.jp/data/china/image_1920th/81553570.pdf","81553570")</f>
        <v>81553570</v>
      </c>
      <c r="F1153" s="9" t="s">
        <v>3220</v>
      </c>
      <c r="G1153" s="9" t="s">
        <v>3221</v>
      </c>
      <c r="H1153" s="9" t="s">
        <v>3222</v>
      </c>
      <c r="I1153" s="10">
        <v>45588</v>
      </c>
    </row>
    <row r="1154" spans="1:9" x14ac:dyDescent="0.15">
      <c r="A1154" s="9">
        <v>1153</v>
      </c>
      <c r="B1154" s="9" t="s">
        <v>9</v>
      </c>
      <c r="C1154" s="9">
        <v>1920</v>
      </c>
      <c r="D1154" s="10">
        <v>45677</v>
      </c>
      <c r="E1154" s="13" t="str">
        <f>+HYPERLINK("http://trademark.i-assist.jp/data/china/image_1920th/81553826.pdf","81553826")</f>
        <v>81553826</v>
      </c>
      <c r="F1154" s="9" t="s">
        <v>3223</v>
      </c>
      <c r="G1154" s="9" t="s">
        <v>3224</v>
      </c>
      <c r="H1154" s="9" t="s">
        <v>3225</v>
      </c>
      <c r="I1154" s="10">
        <v>45588</v>
      </c>
    </row>
    <row r="1155" spans="1:9" x14ac:dyDescent="0.15">
      <c r="A1155" s="9">
        <v>1154</v>
      </c>
      <c r="B1155" s="9" t="s">
        <v>9</v>
      </c>
      <c r="C1155" s="9">
        <v>1920</v>
      </c>
      <c r="D1155" s="10">
        <v>45677</v>
      </c>
      <c r="E1155" s="13" t="str">
        <f>+HYPERLINK("http://trademark.i-assist.jp/data/china/image_1920th/81553890.pdf","81553890")</f>
        <v>81553890</v>
      </c>
      <c r="F1155" s="9" t="s">
        <v>3226</v>
      </c>
      <c r="G1155" s="12" t="s">
        <v>3227</v>
      </c>
      <c r="H1155" s="12" t="s">
        <v>3228</v>
      </c>
      <c r="I1155" s="10">
        <v>45588</v>
      </c>
    </row>
    <row r="1156" spans="1:9" x14ac:dyDescent="0.15">
      <c r="A1156" s="9">
        <v>1155</v>
      </c>
      <c r="B1156" s="9" t="s">
        <v>9</v>
      </c>
      <c r="C1156" s="9">
        <v>1920</v>
      </c>
      <c r="D1156" s="10">
        <v>45677</v>
      </c>
      <c r="E1156" s="13" t="str">
        <f>+HYPERLINK("http://trademark.i-assist.jp/data/china/image_1920th/81553910.pdf","81553910")</f>
        <v>81553910</v>
      </c>
      <c r="F1156" s="9" t="s">
        <v>3229</v>
      </c>
      <c r="G1156" s="9" t="s">
        <v>3230</v>
      </c>
      <c r="H1156" s="9" t="s">
        <v>3231</v>
      </c>
      <c r="I1156" s="10">
        <v>45588</v>
      </c>
    </row>
    <row r="1157" spans="1:9" x14ac:dyDescent="0.15">
      <c r="A1157" s="9">
        <v>1156</v>
      </c>
      <c r="B1157" s="9" t="s">
        <v>9</v>
      </c>
      <c r="C1157" s="9">
        <v>1920</v>
      </c>
      <c r="D1157" s="10">
        <v>45677</v>
      </c>
      <c r="E1157" s="13" t="str">
        <f>+HYPERLINK("http://trademark.i-assist.jp/data/china/image_1920th/81553933.pdf","81553933")</f>
        <v>81553933</v>
      </c>
      <c r="F1157" s="12" t="s">
        <v>3232</v>
      </c>
      <c r="G1157" s="9" t="s">
        <v>3073</v>
      </c>
      <c r="H1157" s="9" t="s">
        <v>3233</v>
      </c>
      <c r="I1157" s="10">
        <v>45588</v>
      </c>
    </row>
    <row r="1158" spans="1:9" x14ac:dyDescent="0.15">
      <c r="A1158" s="9">
        <v>1157</v>
      </c>
      <c r="B1158" s="9" t="s">
        <v>9</v>
      </c>
      <c r="C1158" s="9">
        <v>1920</v>
      </c>
      <c r="D1158" s="10">
        <v>45677</v>
      </c>
      <c r="E1158" s="13" t="str">
        <f>+HYPERLINK("http://trademark.i-assist.jp/data/china/image_1920th/81554009.pdf","81554009")</f>
        <v>81554009</v>
      </c>
      <c r="F1158" s="9" t="s">
        <v>3234</v>
      </c>
      <c r="G1158" s="12" t="s">
        <v>3187</v>
      </c>
      <c r="H1158" s="9" t="s">
        <v>3235</v>
      </c>
      <c r="I1158" s="10">
        <v>45588</v>
      </c>
    </row>
    <row r="1159" spans="1:9" x14ac:dyDescent="0.15">
      <c r="A1159" s="9">
        <v>1158</v>
      </c>
      <c r="B1159" s="9" t="s">
        <v>9</v>
      </c>
      <c r="C1159" s="9">
        <v>1920</v>
      </c>
      <c r="D1159" s="10">
        <v>45677</v>
      </c>
      <c r="E1159" s="13" t="str">
        <f>+HYPERLINK("http://trademark.i-assist.jp/data/china/image_1920th/81554180.pdf","81554180")</f>
        <v>81554180</v>
      </c>
      <c r="F1159" s="9" t="s">
        <v>3236</v>
      </c>
      <c r="G1159" s="9" t="s">
        <v>3117</v>
      </c>
      <c r="H1159" s="12" t="s">
        <v>3237</v>
      </c>
      <c r="I1159" s="10">
        <v>45588</v>
      </c>
    </row>
    <row r="1160" spans="1:9" x14ac:dyDescent="0.15">
      <c r="A1160" s="9">
        <v>1159</v>
      </c>
      <c r="B1160" s="9" t="s">
        <v>9</v>
      </c>
      <c r="C1160" s="9">
        <v>1920</v>
      </c>
      <c r="D1160" s="10">
        <v>45677</v>
      </c>
      <c r="E1160" s="13" t="str">
        <f>+HYPERLINK("http://trademark.i-assist.jp/data/china/image_1920th/81554181.pdf","81554181")</f>
        <v>81554181</v>
      </c>
      <c r="F1160" s="9" t="s">
        <v>3238</v>
      </c>
      <c r="G1160" s="9" t="s">
        <v>3117</v>
      </c>
      <c r="H1160" s="9" t="s">
        <v>3239</v>
      </c>
      <c r="I1160" s="10">
        <v>45588</v>
      </c>
    </row>
    <row r="1161" spans="1:9" x14ac:dyDescent="0.15">
      <c r="A1161" s="9">
        <v>1160</v>
      </c>
      <c r="B1161" s="9" t="s">
        <v>9</v>
      </c>
      <c r="C1161" s="9">
        <v>1920</v>
      </c>
      <c r="D1161" s="10">
        <v>45677</v>
      </c>
      <c r="E1161" s="13" t="str">
        <f>+HYPERLINK("http://trademark.i-assist.jp/data/china/image_1920th/81554483.pdf","81554483")</f>
        <v>81554483</v>
      </c>
      <c r="F1161" s="9" t="s">
        <v>3240</v>
      </c>
      <c r="G1161" s="9" t="s">
        <v>3241</v>
      </c>
      <c r="H1161" s="9" t="s">
        <v>3242</v>
      </c>
      <c r="I1161" s="10">
        <v>45589</v>
      </c>
    </row>
    <row r="1162" spans="1:9" x14ac:dyDescent="0.15">
      <c r="A1162" s="9">
        <v>1161</v>
      </c>
      <c r="B1162" s="9" t="s">
        <v>9</v>
      </c>
      <c r="C1162" s="9">
        <v>1920</v>
      </c>
      <c r="D1162" s="10">
        <v>45677</v>
      </c>
      <c r="E1162" s="13" t="str">
        <f>+HYPERLINK("http://trademark.i-assist.jp/data/china/image_1920th/81554540.pdf","81554540")</f>
        <v>81554540</v>
      </c>
      <c r="F1162" s="12" t="s">
        <v>12</v>
      </c>
      <c r="G1162" s="12" t="s">
        <v>25</v>
      </c>
      <c r="H1162" s="12" t="s">
        <v>3243</v>
      </c>
      <c r="I1162" s="10">
        <v>45589</v>
      </c>
    </row>
    <row r="1163" spans="1:9" x14ac:dyDescent="0.15">
      <c r="A1163" s="9">
        <v>1162</v>
      </c>
      <c r="B1163" s="9" t="s">
        <v>9</v>
      </c>
      <c r="C1163" s="9">
        <v>1920</v>
      </c>
      <c r="D1163" s="10">
        <v>45677</v>
      </c>
      <c r="E1163" s="13" t="str">
        <f>+HYPERLINK("http://trademark.i-assist.jp/data/china/image_1920th/81555064.pdf","81555064")</f>
        <v>81555064</v>
      </c>
      <c r="F1163" s="9" t="s">
        <v>3244</v>
      </c>
      <c r="G1163" s="9" t="s">
        <v>3245</v>
      </c>
      <c r="H1163" s="9" t="s">
        <v>3246</v>
      </c>
      <c r="I1163" s="10">
        <v>45589</v>
      </c>
    </row>
    <row r="1164" spans="1:9" x14ac:dyDescent="0.15">
      <c r="A1164" s="9">
        <v>1163</v>
      </c>
      <c r="B1164" s="9" t="s">
        <v>9</v>
      </c>
      <c r="C1164" s="9">
        <v>1920</v>
      </c>
      <c r="D1164" s="10">
        <v>45677</v>
      </c>
      <c r="E1164" s="13" t="str">
        <f>+HYPERLINK("http://trademark.i-assist.jp/data/china/image_1920th/81555205.pdf","81555205")</f>
        <v>81555205</v>
      </c>
      <c r="F1164" s="9" t="s">
        <v>3247</v>
      </c>
      <c r="G1164" s="9" t="s">
        <v>133</v>
      </c>
      <c r="H1164" s="9" t="s">
        <v>3248</v>
      </c>
      <c r="I1164" s="10">
        <v>45589</v>
      </c>
    </row>
    <row r="1165" spans="1:9" x14ac:dyDescent="0.15">
      <c r="A1165" s="9">
        <v>1164</v>
      </c>
      <c r="B1165" s="9" t="s">
        <v>9</v>
      </c>
      <c r="C1165" s="9">
        <v>1920</v>
      </c>
      <c r="D1165" s="10">
        <v>45677</v>
      </c>
      <c r="E1165" s="13" t="str">
        <f>+HYPERLINK("http://trademark.i-assist.jp/data/china/image_1920th/81555255.pdf","81555255")</f>
        <v>81555255</v>
      </c>
      <c r="F1165" s="9" t="s">
        <v>3249</v>
      </c>
      <c r="G1165" s="9" t="s">
        <v>47</v>
      </c>
      <c r="H1165" s="12" t="s">
        <v>3250</v>
      </c>
      <c r="I1165" s="10">
        <v>45589</v>
      </c>
    </row>
    <row r="1166" spans="1:9" x14ac:dyDescent="0.15">
      <c r="A1166" s="9">
        <v>1165</v>
      </c>
      <c r="B1166" s="9" t="s">
        <v>9</v>
      </c>
      <c r="C1166" s="9">
        <v>1920</v>
      </c>
      <c r="D1166" s="10">
        <v>45677</v>
      </c>
      <c r="E1166" s="13" t="str">
        <f>+HYPERLINK("http://trademark.i-assist.jp/data/china/image_1920th/81555394.pdf","81555394")</f>
        <v>81555394</v>
      </c>
      <c r="F1166" s="9" t="s">
        <v>3251</v>
      </c>
      <c r="G1166" s="9" t="s">
        <v>3252</v>
      </c>
      <c r="H1166" s="9" t="s">
        <v>3253</v>
      </c>
      <c r="I1166" s="10">
        <v>45589</v>
      </c>
    </row>
    <row r="1167" spans="1:9" x14ac:dyDescent="0.15">
      <c r="A1167" s="9">
        <v>1166</v>
      </c>
      <c r="B1167" s="9" t="s">
        <v>9</v>
      </c>
      <c r="C1167" s="9">
        <v>1920</v>
      </c>
      <c r="D1167" s="10">
        <v>45677</v>
      </c>
      <c r="E1167" s="13" t="str">
        <f>+HYPERLINK("http://trademark.i-assist.jp/data/china/image_1920th/81555429.pdf","81555429")</f>
        <v>81555429</v>
      </c>
      <c r="F1167" s="9" t="s">
        <v>3254</v>
      </c>
      <c r="G1167" s="9" t="s">
        <v>3252</v>
      </c>
      <c r="H1167" s="9" t="s">
        <v>3255</v>
      </c>
      <c r="I1167" s="10">
        <v>45589</v>
      </c>
    </row>
    <row r="1168" spans="1:9" x14ac:dyDescent="0.15">
      <c r="A1168" s="9">
        <v>1167</v>
      </c>
      <c r="B1168" s="9" t="s">
        <v>9</v>
      </c>
      <c r="C1168" s="9">
        <v>1920</v>
      </c>
      <c r="D1168" s="10">
        <v>45677</v>
      </c>
      <c r="E1168" s="13" t="str">
        <f>+HYPERLINK("http://trademark.i-assist.jp/data/china/image_1920th/81555434.pdf","81555434")</f>
        <v>81555434</v>
      </c>
      <c r="F1168" s="9" t="s">
        <v>3256</v>
      </c>
      <c r="G1168" s="9" t="s">
        <v>3252</v>
      </c>
      <c r="H1168" s="9" t="s">
        <v>3257</v>
      </c>
      <c r="I1168" s="10">
        <v>45589</v>
      </c>
    </row>
    <row r="1169" spans="1:9" x14ac:dyDescent="0.15">
      <c r="A1169" s="9">
        <v>1168</v>
      </c>
      <c r="B1169" s="9" t="s">
        <v>9</v>
      </c>
      <c r="C1169" s="9">
        <v>1920</v>
      </c>
      <c r="D1169" s="10">
        <v>45677</v>
      </c>
      <c r="E1169" s="13" t="str">
        <f>+HYPERLINK("http://trademark.i-assist.jp/data/china/image_1920th/81555475.pdf","81555475")</f>
        <v>81555475</v>
      </c>
      <c r="F1169" s="9" t="s">
        <v>3258</v>
      </c>
      <c r="G1169" s="12" t="s">
        <v>108</v>
      </c>
      <c r="H1169" s="9" t="s">
        <v>3259</v>
      </c>
      <c r="I1169" s="10">
        <v>45589</v>
      </c>
    </row>
    <row r="1170" spans="1:9" x14ac:dyDescent="0.15">
      <c r="A1170" s="9">
        <v>1169</v>
      </c>
      <c r="B1170" s="9" t="s">
        <v>9</v>
      </c>
      <c r="C1170" s="9">
        <v>1920</v>
      </c>
      <c r="D1170" s="10">
        <v>45677</v>
      </c>
      <c r="E1170" s="13" t="str">
        <f>+HYPERLINK("http://trademark.i-assist.jp/data/china/image_1920th/81555613.pdf","81555613")</f>
        <v>81555613</v>
      </c>
      <c r="F1170" s="9" t="s">
        <v>3260</v>
      </c>
      <c r="G1170" s="12" t="s">
        <v>3261</v>
      </c>
      <c r="H1170" s="12" t="s">
        <v>3262</v>
      </c>
      <c r="I1170" s="10">
        <v>45589</v>
      </c>
    </row>
    <row r="1171" spans="1:9" x14ac:dyDescent="0.15">
      <c r="A1171" s="9">
        <v>1170</v>
      </c>
      <c r="B1171" s="9" t="s">
        <v>9</v>
      </c>
      <c r="C1171" s="9">
        <v>1920</v>
      </c>
      <c r="D1171" s="10">
        <v>45677</v>
      </c>
      <c r="E1171" s="13" t="str">
        <f>+HYPERLINK("http://trademark.i-assist.jp/data/china/image_1920th/81556209.pdf","81556209")</f>
        <v>81556209</v>
      </c>
      <c r="F1171" s="12" t="s">
        <v>3263</v>
      </c>
      <c r="G1171" s="9" t="s">
        <v>141</v>
      </c>
      <c r="H1171" s="9" t="s">
        <v>3264</v>
      </c>
      <c r="I1171" s="10">
        <v>45589</v>
      </c>
    </row>
    <row r="1172" spans="1:9" x14ac:dyDescent="0.15">
      <c r="A1172" s="9">
        <v>1171</v>
      </c>
      <c r="B1172" s="9" t="s">
        <v>9</v>
      </c>
      <c r="C1172" s="9">
        <v>1920</v>
      </c>
      <c r="D1172" s="10">
        <v>45677</v>
      </c>
      <c r="E1172" s="13" t="str">
        <f>+HYPERLINK("http://trademark.i-assist.jp/data/china/image_1920th/81556389.pdf","81556389")</f>
        <v>81556389</v>
      </c>
      <c r="F1172" s="9" t="s">
        <v>3265</v>
      </c>
      <c r="G1172" s="9" t="s">
        <v>3266</v>
      </c>
      <c r="H1172" s="9" t="s">
        <v>3267</v>
      </c>
      <c r="I1172" s="10">
        <v>45589</v>
      </c>
    </row>
    <row r="1173" spans="1:9" x14ac:dyDescent="0.15">
      <c r="A1173" s="9">
        <v>1172</v>
      </c>
      <c r="B1173" s="9" t="s">
        <v>9</v>
      </c>
      <c r="C1173" s="9">
        <v>1920</v>
      </c>
      <c r="D1173" s="10">
        <v>45677</v>
      </c>
      <c r="E1173" s="13" t="str">
        <f>+HYPERLINK("http://trademark.i-assist.jp/data/china/image_1920th/81556887.pdf","81556887")</f>
        <v>81556887</v>
      </c>
      <c r="F1173" s="9" t="s">
        <v>3268</v>
      </c>
      <c r="G1173" s="9" t="s">
        <v>3252</v>
      </c>
      <c r="H1173" s="9" t="s">
        <v>3269</v>
      </c>
      <c r="I1173" s="10">
        <v>45589</v>
      </c>
    </row>
    <row r="1174" spans="1:9" x14ac:dyDescent="0.15">
      <c r="A1174" s="9">
        <v>1173</v>
      </c>
      <c r="B1174" s="9" t="s">
        <v>9</v>
      </c>
      <c r="C1174" s="9">
        <v>1920</v>
      </c>
      <c r="D1174" s="10">
        <v>45677</v>
      </c>
      <c r="E1174" s="13" t="str">
        <f>+HYPERLINK("http://trademark.i-assist.jp/data/china/image_1920th/81556920.pdf","81556920")</f>
        <v>81556920</v>
      </c>
      <c r="F1174" s="9" t="s">
        <v>3270</v>
      </c>
      <c r="G1174" s="9" t="s">
        <v>3252</v>
      </c>
      <c r="H1174" s="9" t="s">
        <v>3271</v>
      </c>
      <c r="I1174" s="10">
        <v>45589</v>
      </c>
    </row>
    <row r="1175" spans="1:9" x14ac:dyDescent="0.15">
      <c r="A1175" s="9">
        <v>1174</v>
      </c>
      <c r="B1175" s="9" t="s">
        <v>9</v>
      </c>
      <c r="C1175" s="9">
        <v>1920</v>
      </c>
      <c r="D1175" s="10">
        <v>45677</v>
      </c>
      <c r="E1175" s="13" t="str">
        <f>+HYPERLINK("http://trademark.i-assist.jp/data/china/image_1920th/81557084.pdf","81557084")</f>
        <v>81557084</v>
      </c>
      <c r="F1175" s="9" t="s">
        <v>3272</v>
      </c>
      <c r="G1175" s="9" t="s">
        <v>3273</v>
      </c>
      <c r="H1175" s="9" t="s">
        <v>3274</v>
      </c>
      <c r="I1175" s="10">
        <v>45589</v>
      </c>
    </row>
    <row r="1176" spans="1:9" x14ac:dyDescent="0.15">
      <c r="A1176" s="9">
        <v>1175</v>
      </c>
      <c r="B1176" s="9" t="s">
        <v>9</v>
      </c>
      <c r="C1176" s="9">
        <v>1920</v>
      </c>
      <c r="D1176" s="10">
        <v>45677</v>
      </c>
      <c r="E1176" s="13" t="str">
        <f>+HYPERLINK("http://trademark.i-assist.jp/data/china/image_1920th/81557147.pdf","81557147")</f>
        <v>81557147</v>
      </c>
      <c r="F1176" s="12" t="s">
        <v>12</v>
      </c>
      <c r="G1176" s="9" t="s">
        <v>3275</v>
      </c>
      <c r="H1176" s="12" t="s">
        <v>3276</v>
      </c>
      <c r="I1176" s="10">
        <v>45589</v>
      </c>
    </row>
    <row r="1177" spans="1:9" x14ac:dyDescent="0.15">
      <c r="A1177" s="9">
        <v>1176</v>
      </c>
      <c r="B1177" s="9" t="s">
        <v>9</v>
      </c>
      <c r="C1177" s="9">
        <v>1920</v>
      </c>
      <c r="D1177" s="10">
        <v>45677</v>
      </c>
      <c r="E1177" s="13" t="str">
        <f>+HYPERLINK("http://trademark.i-assist.jp/data/china/image_1920th/81557584.pdf","81557584")</f>
        <v>81557584</v>
      </c>
      <c r="F1177" s="9" t="s">
        <v>3277</v>
      </c>
      <c r="G1177" s="9" t="s">
        <v>3278</v>
      </c>
      <c r="H1177" s="9" t="s">
        <v>3279</v>
      </c>
      <c r="I1177" s="10">
        <v>45589</v>
      </c>
    </row>
    <row r="1178" spans="1:9" x14ac:dyDescent="0.15">
      <c r="A1178" s="9">
        <v>1177</v>
      </c>
      <c r="B1178" s="9" t="s">
        <v>9</v>
      </c>
      <c r="C1178" s="9">
        <v>1920</v>
      </c>
      <c r="D1178" s="10">
        <v>45677</v>
      </c>
      <c r="E1178" s="13" t="str">
        <f>+HYPERLINK("http://trademark.i-assist.jp/data/china/image_1920th/81557648.pdf","81557648")</f>
        <v>81557648</v>
      </c>
      <c r="F1178" s="12" t="s">
        <v>3280</v>
      </c>
      <c r="G1178" s="12" t="s">
        <v>73</v>
      </c>
      <c r="H1178" s="9" t="s">
        <v>3281</v>
      </c>
      <c r="I1178" s="10">
        <v>45589</v>
      </c>
    </row>
    <row r="1179" spans="1:9" x14ac:dyDescent="0.15">
      <c r="A1179" s="9">
        <v>1178</v>
      </c>
      <c r="B1179" s="9" t="s">
        <v>9</v>
      </c>
      <c r="C1179" s="9">
        <v>1920</v>
      </c>
      <c r="D1179" s="10">
        <v>45677</v>
      </c>
      <c r="E1179" s="13" t="str">
        <f>+HYPERLINK("http://trademark.i-assist.jp/data/china/image_1920th/81557658.pdf","81557658")</f>
        <v>81557658</v>
      </c>
      <c r="F1179" s="9" t="s">
        <v>3282</v>
      </c>
      <c r="G1179" s="9" t="s">
        <v>3283</v>
      </c>
      <c r="H1179" s="9" t="s">
        <v>3284</v>
      </c>
      <c r="I1179" s="10">
        <v>45589</v>
      </c>
    </row>
    <row r="1180" spans="1:9" x14ac:dyDescent="0.15">
      <c r="A1180" s="9">
        <v>1179</v>
      </c>
      <c r="B1180" s="9" t="s">
        <v>9</v>
      </c>
      <c r="C1180" s="9">
        <v>1920</v>
      </c>
      <c r="D1180" s="10">
        <v>45677</v>
      </c>
      <c r="E1180" s="13" t="str">
        <f>+HYPERLINK("http://trademark.i-assist.jp/data/china/image_1920th/81557715.pdf","81557715")</f>
        <v>81557715</v>
      </c>
      <c r="F1180" s="9" t="s">
        <v>3285</v>
      </c>
      <c r="G1180" s="12" t="s">
        <v>3286</v>
      </c>
      <c r="H1180" s="9" t="s">
        <v>3287</v>
      </c>
      <c r="I1180" s="10">
        <v>45589</v>
      </c>
    </row>
    <row r="1181" spans="1:9" x14ac:dyDescent="0.15">
      <c r="A1181" s="9">
        <v>1180</v>
      </c>
      <c r="B1181" s="9" t="s">
        <v>9</v>
      </c>
      <c r="C1181" s="9">
        <v>1920</v>
      </c>
      <c r="D1181" s="10">
        <v>45677</v>
      </c>
      <c r="E1181" s="13" t="str">
        <f>+HYPERLINK("http://trademark.i-assist.jp/data/china/image_1920th/81558069.pdf","81558069")</f>
        <v>81558069</v>
      </c>
      <c r="F1181" s="9" t="s">
        <v>3288</v>
      </c>
      <c r="G1181" s="9" t="s">
        <v>3289</v>
      </c>
      <c r="H1181" s="9" t="s">
        <v>3290</v>
      </c>
      <c r="I1181" s="10">
        <v>45589</v>
      </c>
    </row>
    <row r="1182" spans="1:9" x14ac:dyDescent="0.15">
      <c r="A1182" s="9">
        <v>1181</v>
      </c>
      <c r="B1182" s="9" t="s">
        <v>9</v>
      </c>
      <c r="C1182" s="9">
        <v>1920</v>
      </c>
      <c r="D1182" s="10">
        <v>45677</v>
      </c>
      <c r="E1182" s="13" t="str">
        <f>+HYPERLINK("http://trademark.i-assist.jp/data/china/image_1920th/81558241.pdf","81558241")</f>
        <v>81558241</v>
      </c>
      <c r="F1182" s="9" t="s">
        <v>3291</v>
      </c>
      <c r="G1182" s="12" t="s">
        <v>3292</v>
      </c>
      <c r="H1182" s="12" t="s">
        <v>3293</v>
      </c>
      <c r="I1182" s="10">
        <v>45589</v>
      </c>
    </row>
    <row r="1183" spans="1:9" x14ac:dyDescent="0.15">
      <c r="A1183" s="9">
        <v>1182</v>
      </c>
      <c r="B1183" s="9" t="s">
        <v>9</v>
      </c>
      <c r="C1183" s="9">
        <v>1920</v>
      </c>
      <c r="D1183" s="10">
        <v>45677</v>
      </c>
      <c r="E1183" s="13" t="str">
        <f>+HYPERLINK("http://trademark.i-assist.jp/data/china/image_1920th/81558291.pdf","81558291")</f>
        <v>81558291</v>
      </c>
      <c r="F1183" s="9" t="s">
        <v>3294</v>
      </c>
      <c r="G1183" s="9" t="s">
        <v>3295</v>
      </c>
      <c r="H1183" s="9" t="s">
        <v>3296</v>
      </c>
      <c r="I1183" s="10">
        <v>45589</v>
      </c>
    </row>
    <row r="1184" spans="1:9" x14ac:dyDescent="0.15">
      <c r="A1184" s="9">
        <v>1183</v>
      </c>
      <c r="B1184" s="9" t="s">
        <v>9</v>
      </c>
      <c r="C1184" s="9">
        <v>1920</v>
      </c>
      <c r="D1184" s="10">
        <v>45677</v>
      </c>
      <c r="E1184" s="13" t="str">
        <f>+HYPERLINK("http://trademark.i-assist.jp/data/china/image_1920th/81558316.pdf","81558316")</f>
        <v>81558316</v>
      </c>
      <c r="F1184" s="9" t="s">
        <v>3297</v>
      </c>
      <c r="G1184" s="9" t="s">
        <v>3252</v>
      </c>
      <c r="H1184" s="9" t="s">
        <v>3298</v>
      </c>
      <c r="I1184" s="10">
        <v>45589</v>
      </c>
    </row>
    <row r="1185" spans="1:9" x14ac:dyDescent="0.15">
      <c r="A1185" s="9">
        <v>1184</v>
      </c>
      <c r="B1185" s="9" t="s">
        <v>9</v>
      </c>
      <c r="C1185" s="9">
        <v>1920</v>
      </c>
      <c r="D1185" s="10">
        <v>45677</v>
      </c>
      <c r="E1185" s="13" t="str">
        <f>+HYPERLINK("http://trademark.i-assist.jp/data/china/image_1920th/81558327.pdf","81558327")</f>
        <v>81558327</v>
      </c>
      <c r="F1185" s="9" t="s">
        <v>3299</v>
      </c>
      <c r="G1185" s="9" t="s">
        <v>3252</v>
      </c>
      <c r="H1185" s="9" t="s">
        <v>3300</v>
      </c>
      <c r="I1185" s="10">
        <v>45589</v>
      </c>
    </row>
    <row r="1186" spans="1:9" x14ac:dyDescent="0.15">
      <c r="A1186" s="9">
        <v>1185</v>
      </c>
      <c r="B1186" s="9" t="s">
        <v>9</v>
      </c>
      <c r="C1186" s="9">
        <v>1920</v>
      </c>
      <c r="D1186" s="10">
        <v>45677</v>
      </c>
      <c r="E1186" s="13" t="str">
        <f>+HYPERLINK("http://trademark.i-assist.jp/data/china/image_1920th/81558329.pdf","81558329")</f>
        <v>81558329</v>
      </c>
      <c r="F1186" s="9" t="s">
        <v>3301</v>
      </c>
      <c r="G1186" s="9" t="s">
        <v>3252</v>
      </c>
      <c r="H1186" s="9" t="s">
        <v>3302</v>
      </c>
      <c r="I1186" s="10">
        <v>45589</v>
      </c>
    </row>
    <row r="1187" spans="1:9" x14ac:dyDescent="0.15">
      <c r="A1187" s="9">
        <v>1186</v>
      </c>
      <c r="B1187" s="9" t="s">
        <v>9</v>
      </c>
      <c r="C1187" s="9">
        <v>1920</v>
      </c>
      <c r="D1187" s="10">
        <v>45677</v>
      </c>
      <c r="E1187" s="13" t="str">
        <f>+HYPERLINK("http://trademark.i-assist.jp/data/china/image_1920th/81558451.pdf","81558451")</f>
        <v>81558451</v>
      </c>
      <c r="F1187" s="9" t="s">
        <v>3303</v>
      </c>
      <c r="G1187" s="9" t="s">
        <v>1870</v>
      </c>
      <c r="H1187" s="9" t="s">
        <v>3304</v>
      </c>
      <c r="I1187" s="10">
        <v>45589</v>
      </c>
    </row>
    <row r="1188" spans="1:9" x14ac:dyDescent="0.15">
      <c r="A1188" s="9">
        <v>1187</v>
      </c>
      <c r="B1188" s="9" t="s">
        <v>9</v>
      </c>
      <c r="C1188" s="9">
        <v>1920</v>
      </c>
      <c r="D1188" s="10">
        <v>45677</v>
      </c>
      <c r="E1188" s="13" t="str">
        <f>+HYPERLINK("http://trademark.i-assist.jp/data/china/image_1920th/81558866.pdf","81558866")</f>
        <v>81558866</v>
      </c>
      <c r="F1188" s="9" t="s">
        <v>3305</v>
      </c>
      <c r="G1188" s="12" t="s">
        <v>3306</v>
      </c>
      <c r="H1188" s="9" t="s">
        <v>3307</v>
      </c>
      <c r="I1188" s="10">
        <v>45589</v>
      </c>
    </row>
    <row r="1189" spans="1:9" x14ac:dyDescent="0.15">
      <c r="A1189" s="9">
        <v>1188</v>
      </c>
      <c r="B1189" s="9" t="s">
        <v>9</v>
      </c>
      <c r="C1189" s="9">
        <v>1920</v>
      </c>
      <c r="D1189" s="10">
        <v>45677</v>
      </c>
      <c r="E1189" s="13" t="str">
        <f>+HYPERLINK("http://trademark.i-assist.jp/data/china/image_1920th/81559114.pdf","81559114")</f>
        <v>81559114</v>
      </c>
      <c r="F1189" s="9" t="s">
        <v>3308</v>
      </c>
      <c r="G1189" s="9" t="s">
        <v>3309</v>
      </c>
      <c r="H1189" s="9" t="s">
        <v>3310</v>
      </c>
      <c r="I1189" s="10">
        <v>45589</v>
      </c>
    </row>
    <row r="1190" spans="1:9" x14ac:dyDescent="0.15">
      <c r="A1190" s="9">
        <v>1189</v>
      </c>
      <c r="B1190" s="9" t="s">
        <v>9</v>
      </c>
      <c r="C1190" s="9">
        <v>1920</v>
      </c>
      <c r="D1190" s="10">
        <v>45677</v>
      </c>
      <c r="E1190" s="13" t="str">
        <f>+HYPERLINK("http://trademark.i-assist.jp/data/china/image_1920th/81559146.pdf","81559146")</f>
        <v>81559146</v>
      </c>
      <c r="F1190" s="9" t="s">
        <v>3311</v>
      </c>
      <c r="G1190" s="9" t="s">
        <v>3312</v>
      </c>
      <c r="H1190" s="9" t="s">
        <v>3313</v>
      </c>
      <c r="I1190" s="10">
        <v>45589</v>
      </c>
    </row>
    <row r="1191" spans="1:9" x14ac:dyDescent="0.15">
      <c r="A1191" s="9">
        <v>1190</v>
      </c>
      <c r="B1191" s="9" t="s">
        <v>9</v>
      </c>
      <c r="C1191" s="9">
        <v>1920</v>
      </c>
      <c r="D1191" s="10">
        <v>45677</v>
      </c>
      <c r="E1191" s="13" t="str">
        <f>+HYPERLINK("http://trademark.i-assist.jp/data/china/image_1920th/81559162.pdf","81559162")</f>
        <v>81559162</v>
      </c>
      <c r="F1191" s="9" t="s">
        <v>3314</v>
      </c>
      <c r="G1191" s="9" t="s">
        <v>3252</v>
      </c>
      <c r="H1191" s="9" t="s">
        <v>3315</v>
      </c>
      <c r="I1191" s="10">
        <v>45589</v>
      </c>
    </row>
    <row r="1192" spans="1:9" x14ac:dyDescent="0.15">
      <c r="A1192" s="9">
        <v>1191</v>
      </c>
      <c r="B1192" s="9" t="s">
        <v>9</v>
      </c>
      <c r="C1192" s="9">
        <v>1920</v>
      </c>
      <c r="D1192" s="10">
        <v>45677</v>
      </c>
      <c r="E1192" s="13" t="str">
        <f>+HYPERLINK("http://trademark.i-assist.jp/data/china/image_1920th/81559233.pdf","81559233")</f>
        <v>81559233</v>
      </c>
      <c r="F1192" s="9" t="s">
        <v>3316</v>
      </c>
      <c r="G1192" s="9" t="s">
        <v>3317</v>
      </c>
      <c r="H1192" s="12" t="s">
        <v>3318</v>
      </c>
      <c r="I1192" s="10">
        <v>45589</v>
      </c>
    </row>
    <row r="1193" spans="1:9" x14ac:dyDescent="0.15">
      <c r="A1193" s="9">
        <v>1192</v>
      </c>
      <c r="B1193" s="9" t="s">
        <v>9</v>
      </c>
      <c r="C1193" s="9">
        <v>1920</v>
      </c>
      <c r="D1193" s="10">
        <v>45677</v>
      </c>
      <c r="E1193" s="13" t="str">
        <f>+HYPERLINK("http://trademark.i-assist.jp/data/china/image_1920th/81559454.pdf","81559454")</f>
        <v>81559454</v>
      </c>
      <c r="F1193" s="9" t="s">
        <v>3319</v>
      </c>
      <c r="G1193" s="12" t="s">
        <v>3320</v>
      </c>
      <c r="H1193" s="9" t="s">
        <v>3321</v>
      </c>
      <c r="I1193" s="10">
        <v>45589</v>
      </c>
    </row>
    <row r="1194" spans="1:9" x14ac:dyDescent="0.15">
      <c r="A1194" s="9">
        <v>1193</v>
      </c>
      <c r="B1194" s="9" t="s">
        <v>9</v>
      </c>
      <c r="C1194" s="9">
        <v>1920</v>
      </c>
      <c r="D1194" s="10">
        <v>45677</v>
      </c>
      <c r="E1194" s="13" t="str">
        <f>+HYPERLINK("http://trademark.i-assist.jp/data/china/image_1920th/81559547.pdf","81559547")</f>
        <v>81559547</v>
      </c>
      <c r="F1194" s="9" t="s">
        <v>3322</v>
      </c>
      <c r="G1194" s="9" t="s">
        <v>3323</v>
      </c>
      <c r="H1194" s="9" t="s">
        <v>3324</v>
      </c>
      <c r="I1194" s="10">
        <v>45589</v>
      </c>
    </row>
    <row r="1195" spans="1:9" x14ac:dyDescent="0.15">
      <c r="A1195" s="9">
        <v>1194</v>
      </c>
      <c r="B1195" s="9" t="s">
        <v>9</v>
      </c>
      <c r="C1195" s="9">
        <v>1920</v>
      </c>
      <c r="D1195" s="10">
        <v>45677</v>
      </c>
      <c r="E1195" s="13" t="str">
        <f>+HYPERLINK("http://trademark.i-assist.jp/data/china/image_1920th/81559782.pdf","81559782")</f>
        <v>81559782</v>
      </c>
      <c r="F1195" s="9" t="s">
        <v>3325</v>
      </c>
      <c r="G1195" s="9" t="s">
        <v>3326</v>
      </c>
      <c r="H1195" s="9" t="s">
        <v>3327</v>
      </c>
      <c r="I1195" s="10">
        <v>45589</v>
      </c>
    </row>
    <row r="1196" spans="1:9" x14ac:dyDescent="0.15">
      <c r="A1196" s="9">
        <v>1195</v>
      </c>
      <c r="B1196" s="9" t="s">
        <v>9</v>
      </c>
      <c r="C1196" s="9">
        <v>1920</v>
      </c>
      <c r="D1196" s="10">
        <v>45677</v>
      </c>
      <c r="E1196" s="13" t="str">
        <f>+HYPERLINK("http://trademark.i-assist.jp/data/china/image_1920th/81560120.pdf","81560120")</f>
        <v>81560120</v>
      </c>
      <c r="F1196" s="9" t="s">
        <v>3328</v>
      </c>
      <c r="G1196" s="12" t="s">
        <v>3329</v>
      </c>
      <c r="H1196" s="9" t="s">
        <v>3330</v>
      </c>
      <c r="I1196" s="10">
        <v>45589</v>
      </c>
    </row>
    <row r="1197" spans="1:9" x14ac:dyDescent="0.15">
      <c r="A1197" s="9">
        <v>1196</v>
      </c>
      <c r="B1197" s="9" t="s">
        <v>9</v>
      </c>
      <c r="C1197" s="9">
        <v>1920</v>
      </c>
      <c r="D1197" s="10">
        <v>45677</v>
      </c>
      <c r="E1197" s="13" t="str">
        <f>+HYPERLINK("http://trademark.i-assist.jp/data/china/image_1920th/81560193.pdf","81560193")</f>
        <v>81560193</v>
      </c>
      <c r="F1197" s="9" t="s">
        <v>3331</v>
      </c>
      <c r="G1197" s="9" t="s">
        <v>47</v>
      </c>
      <c r="H1197" s="9" t="s">
        <v>3332</v>
      </c>
      <c r="I1197" s="10">
        <v>45589</v>
      </c>
    </row>
    <row r="1198" spans="1:9" x14ac:dyDescent="0.15">
      <c r="A1198" s="9">
        <v>1197</v>
      </c>
      <c r="B1198" s="9" t="s">
        <v>9</v>
      </c>
      <c r="C1198" s="9">
        <v>1920</v>
      </c>
      <c r="D1198" s="10">
        <v>45677</v>
      </c>
      <c r="E1198" s="13" t="str">
        <f>+HYPERLINK("http://trademark.i-assist.jp/data/china/image_1920th/81560200.pdf","81560200")</f>
        <v>81560200</v>
      </c>
      <c r="F1198" s="9" t="s">
        <v>3333</v>
      </c>
      <c r="G1198" s="9" t="s">
        <v>47</v>
      </c>
      <c r="H1198" s="9" t="s">
        <v>3334</v>
      </c>
      <c r="I1198" s="10">
        <v>45589</v>
      </c>
    </row>
    <row r="1199" spans="1:9" x14ac:dyDescent="0.15">
      <c r="A1199" s="9">
        <v>1198</v>
      </c>
      <c r="B1199" s="9" t="s">
        <v>9</v>
      </c>
      <c r="C1199" s="9">
        <v>1920</v>
      </c>
      <c r="D1199" s="10">
        <v>45677</v>
      </c>
      <c r="E1199" s="13" t="str">
        <f>+HYPERLINK("http://trademark.i-assist.jp/data/china/image_1920th/81560765.pdf","81560765")</f>
        <v>81560765</v>
      </c>
      <c r="F1199" s="9" t="s">
        <v>3335</v>
      </c>
      <c r="G1199" s="12" t="s">
        <v>3336</v>
      </c>
      <c r="H1199" s="9" t="s">
        <v>3337</v>
      </c>
      <c r="I1199" s="10">
        <v>45589</v>
      </c>
    </row>
    <row r="1200" spans="1:9" x14ac:dyDescent="0.15">
      <c r="A1200" s="9">
        <v>1199</v>
      </c>
      <c r="B1200" s="9" t="s">
        <v>9</v>
      </c>
      <c r="C1200" s="9">
        <v>1920</v>
      </c>
      <c r="D1200" s="10">
        <v>45677</v>
      </c>
      <c r="E1200" s="13" t="str">
        <f>+HYPERLINK("http://trademark.i-assist.jp/data/china/image_1920th/81561098.pdf","81561098")</f>
        <v>81561098</v>
      </c>
      <c r="F1200" s="9" t="s">
        <v>3338</v>
      </c>
      <c r="G1200" s="9" t="s">
        <v>3339</v>
      </c>
      <c r="H1200" s="9" t="s">
        <v>3340</v>
      </c>
      <c r="I1200" s="10">
        <v>45589</v>
      </c>
    </row>
    <row r="1201" spans="1:9" x14ac:dyDescent="0.15">
      <c r="A1201" s="9">
        <v>1200</v>
      </c>
      <c r="B1201" s="9" t="s">
        <v>9</v>
      </c>
      <c r="C1201" s="9">
        <v>1920</v>
      </c>
      <c r="D1201" s="10">
        <v>45677</v>
      </c>
      <c r="E1201" s="13" t="str">
        <f>+HYPERLINK("http://trademark.i-assist.jp/data/china/image_1920th/81561428.pdf","81561428")</f>
        <v>81561428</v>
      </c>
      <c r="F1201" s="9" t="s">
        <v>3341</v>
      </c>
      <c r="G1201" s="9" t="s">
        <v>3342</v>
      </c>
      <c r="H1201" s="9" t="s">
        <v>3343</v>
      </c>
      <c r="I1201" s="10">
        <v>45589</v>
      </c>
    </row>
    <row r="1202" spans="1:9" x14ac:dyDescent="0.15">
      <c r="A1202" s="9">
        <v>1201</v>
      </c>
      <c r="B1202" s="9" t="s">
        <v>9</v>
      </c>
      <c r="C1202" s="9">
        <v>1920</v>
      </c>
      <c r="D1202" s="10">
        <v>45677</v>
      </c>
      <c r="E1202" s="13" t="str">
        <f>+HYPERLINK("http://trademark.i-assist.jp/data/china/image_1920th/81561472.pdf","81561472")</f>
        <v>81561472</v>
      </c>
      <c r="F1202" s="9" t="s">
        <v>3344</v>
      </c>
      <c r="G1202" s="12" t="s">
        <v>3286</v>
      </c>
      <c r="H1202" s="9" t="s">
        <v>3345</v>
      </c>
      <c r="I1202" s="10">
        <v>45589</v>
      </c>
    </row>
    <row r="1203" spans="1:9" x14ac:dyDescent="0.15">
      <c r="A1203" s="9">
        <v>1202</v>
      </c>
      <c r="B1203" s="9" t="s">
        <v>9</v>
      </c>
      <c r="C1203" s="9">
        <v>1920</v>
      </c>
      <c r="D1203" s="10">
        <v>45677</v>
      </c>
      <c r="E1203" s="13" t="str">
        <f>+HYPERLINK("http://trademark.i-assist.jp/data/china/image_1920th/81561575.pdf","81561575")</f>
        <v>81561575</v>
      </c>
      <c r="F1203" s="9" t="s">
        <v>3346</v>
      </c>
      <c r="G1203" s="9" t="s">
        <v>3347</v>
      </c>
      <c r="H1203" s="9" t="s">
        <v>3348</v>
      </c>
      <c r="I1203" s="10">
        <v>45589</v>
      </c>
    </row>
    <row r="1204" spans="1:9" x14ac:dyDescent="0.15">
      <c r="A1204" s="9">
        <v>1203</v>
      </c>
      <c r="B1204" s="9" t="s">
        <v>9</v>
      </c>
      <c r="C1204" s="9">
        <v>1920</v>
      </c>
      <c r="D1204" s="10">
        <v>45677</v>
      </c>
      <c r="E1204" s="13" t="str">
        <f>+HYPERLINK("http://trademark.i-assist.jp/data/china/image_1920th/81561597.pdf","81561597")</f>
        <v>81561597</v>
      </c>
      <c r="F1204" s="12" t="s">
        <v>12</v>
      </c>
      <c r="G1204" s="9" t="s">
        <v>3349</v>
      </c>
      <c r="H1204" s="9" t="s">
        <v>3350</v>
      </c>
      <c r="I1204" s="10">
        <v>45589</v>
      </c>
    </row>
    <row r="1205" spans="1:9" x14ac:dyDescent="0.15">
      <c r="A1205" s="9">
        <v>1204</v>
      </c>
      <c r="B1205" s="9" t="s">
        <v>9</v>
      </c>
      <c r="C1205" s="9">
        <v>1920</v>
      </c>
      <c r="D1205" s="10">
        <v>45677</v>
      </c>
      <c r="E1205" s="13" t="str">
        <f>+HYPERLINK("http://trademark.i-assist.jp/data/china/image_1920th/81562037.pdf","81562037")</f>
        <v>81562037</v>
      </c>
      <c r="F1205" s="9" t="s">
        <v>3351</v>
      </c>
      <c r="G1205" s="9" t="s">
        <v>3352</v>
      </c>
      <c r="H1205" s="9" t="s">
        <v>3353</v>
      </c>
      <c r="I1205" s="10">
        <v>45589</v>
      </c>
    </row>
    <row r="1206" spans="1:9" x14ac:dyDescent="0.15">
      <c r="A1206" s="9">
        <v>1205</v>
      </c>
      <c r="B1206" s="9" t="s">
        <v>9</v>
      </c>
      <c r="C1206" s="9">
        <v>1920</v>
      </c>
      <c r="D1206" s="10">
        <v>45677</v>
      </c>
      <c r="E1206" s="13" t="str">
        <f>+HYPERLINK("http://trademark.i-assist.jp/data/china/image_1920th/81562107.pdf","81562107")</f>
        <v>81562107</v>
      </c>
      <c r="F1206" s="9" t="s">
        <v>3354</v>
      </c>
      <c r="G1206" s="9" t="s">
        <v>3355</v>
      </c>
      <c r="H1206" s="12" t="s">
        <v>3356</v>
      </c>
      <c r="I1206" s="10">
        <v>45589</v>
      </c>
    </row>
    <row r="1207" spans="1:9" x14ac:dyDescent="0.15">
      <c r="A1207" s="9">
        <v>1206</v>
      </c>
      <c r="B1207" s="9" t="s">
        <v>9</v>
      </c>
      <c r="C1207" s="9">
        <v>1920</v>
      </c>
      <c r="D1207" s="10">
        <v>45677</v>
      </c>
      <c r="E1207" s="13" t="str">
        <f>+HYPERLINK("http://trademark.i-assist.jp/data/china/image_1920th/81562118.pdf","81562118")</f>
        <v>81562118</v>
      </c>
      <c r="F1207" s="9" t="s">
        <v>3357</v>
      </c>
      <c r="G1207" s="9" t="s">
        <v>3358</v>
      </c>
      <c r="H1207" s="9" t="s">
        <v>3359</v>
      </c>
      <c r="I1207" s="10">
        <v>45589</v>
      </c>
    </row>
    <row r="1208" spans="1:9" x14ac:dyDescent="0.15">
      <c r="A1208" s="9">
        <v>1207</v>
      </c>
      <c r="B1208" s="9" t="s">
        <v>9</v>
      </c>
      <c r="C1208" s="9">
        <v>1920</v>
      </c>
      <c r="D1208" s="10">
        <v>45677</v>
      </c>
      <c r="E1208" s="13" t="str">
        <f>+HYPERLINK("http://trademark.i-assist.jp/data/china/image_1920th/81562260.pdf","81562260")</f>
        <v>81562260</v>
      </c>
      <c r="F1208" s="9" t="s">
        <v>3360</v>
      </c>
      <c r="G1208" s="9" t="s">
        <v>3252</v>
      </c>
      <c r="H1208" s="9" t="s">
        <v>3361</v>
      </c>
      <c r="I1208" s="10">
        <v>45589</v>
      </c>
    </row>
    <row r="1209" spans="1:9" x14ac:dyDescent="0.15">
      <c r="A1209" s="9">
        <v>1208</v>
      </c>
      <c r="B1209" s="9" t="s">
        <v>9</v>
      </c>
      <c r="C1209" s="9">
        <v>1920</v>
      </c>
      <c r="D1209" s="10">
        <v>45677</v>
      </c>
      <c r="E1209" s="13" t="str">
        <f>+HYPERLINK("http://trademark.i-assist.jp/data/china/image_1920th/81562344.pdf","81562344")</f>
        <v>81562344</v>
      </c>
      <c r="F1209" s="9" t="s">
        <v>3362</v>
      </c>
      <c r="G1209" s="12" t="s">
        <v>3363</v>
      </c>
      <c r="H1209" s="9" t="s">
        <v>3364</v>
      </c>
      <c r="I1209" s="10">
        <v>45589</v>
      </c>
    </row>
    <row r="1210" spans="1:9" x14ac:dyDescent="0.15">
      <c r="A1210" s="9">
        <v>1209</v>
      </c>
      <c r="B1210" s="9" t="s">
        <v>9</v>
      </c>
      <c r="C1210" s="9">
        <v>1920</v>
      </c>
      <c r="D1210" s="10">
        <v>45677</v>
      </c>
      <c r="E1210" s="13" t="str">
        <f>+HYPERLINK("http://trademark.i-assist.jp/data/china/image_1920th/81562715.pdf","81562715")</f>
        <v>81562715</v>
      </c>
      <c r="F1210" s="9" t="s">
        <v>3365</v>
      </c>
      <c r="G1210" s="9" t="s">
        <v>61</v>
      </c>
      <c r="H1210" s="9" t="s">
        <v>3366</v>
      </c>
      <c r="I1210" s="10">
        <v>45589</v>
      </c>
    </row>
    <row r="1211" spans="1:9" x14ac:dyDescent="0.15">
      <c r="A1211" s="9">
        <v>1210</v>
      </c>
      <c r="B1211" s="9" t="s">
        <v>9</v>
      </c>
      <c r="C1211" s="9">
        <v>1920</v>
      </c>
      <c r="D1211" s="10">
        <v>45677</v>
      </c>
      <c r="E1211" s="13" t="str">
        <f>+HYPERLINK("http://trademark.i-assist.jp/data/china/image_1920th/81562879.pdf","81562879")</f>
        <v>81562879</v>
      </c>
      <c r="F1211" s="9" t="s">
        <v>3367</v>
      </c>
      <c r="G1211" s="9" t="s">
        <v>3368</v>
      </c>
      <c r="H1211" s="9" t="s">
        <v>3369</v>
      </c>
      <c r="I1211" s="10">
        <v>45589</v>
      </c>
    </row>
    <row r="1212" spans="1:9" x14ac:dyDescent="0.15">
      <c r="A1212" s="9">
        <v>1211</v>
      </c>
      <c r="B1212" s="9" t="s">
        <v>9</v>
      </c>
      <c r="C1212" s="9">
        <v>1920</v>
      </c>
      <c r="D1212" s="10">
        <v>45677</v>
      </c>
      <c r="E1212" s="13" t="str">
        <f>+HYPERLINK("http://trademark.i-assist.jp/data/china/image_1920th/81563326.pdf","81563326")</f>
        <v>81563326</v>
      </c>
      <c r="F1212" s="9" t="s">
        <v>3370</v>
      </c>
      <c r="G1212" s="9" t="s">
        <v>36</v>
      </c>
      <c r="H1212" s="9" t="s">
        <v>3371</v>
      </c>
      <c r="I1212" s="10">
        <v>45589</v>
      </c>
    </row>
    <row r="1213" spans="1:9" x14ac:dyDescent="0.15">
      <c r="A1213" s="9">
        <v>1212</v>
      </c>
      <c r="B1213" s="9" t="s">
        <v>9</v>
      </c>
      <c r="C1213" s="9">
        <v>1920</v>
      </c>
      <c r="D1213" s="10">
        <v>45677</v>
      </c>
      <c r="E1213" s="13" t="str">
        <f>+HYPERLINK("http://trademark.i-assist.jp/data/china/image_1920th/81563465.pdf","81563465")</f>
        <v>81563465</v>
      </c>
      <c r="F1213" s="12" t="s">
        <v>3372</v>
      </c>
      <c r="G1213" s="12" t="s">
        <v>3373</v>
      </c>
      <c r="H1213" s="9" t="s">
        <v>3374</v>
      </c>
      <c r="I1213" s="10">
        <v>45589</v>
      </c>
    </row>
    <row r="1214" spans="1:9" x14ac:dyDescent="0.15">
      <c r="A1214" s="9">
        <v>1213</v>
      </c>
      <c r="B1214" s="9" t="s">
        <v>9</v>
      </c>
      <c r="C1214" s="9">
        <v>1920</v>
      </c>
      <c r="D1214" s="10">
        <v>45677</v>
      </c>
      <c r="E1214" s="13" t="str">
        <f>+HYPERLINK("http://trademark.i-assist.jp/data/china/image_1920th/81563577.pdf","81563577")</f>
        <v>81563577</v>
      </c>
      <c r="F1214" s="12" t="s">
        <v>12</v>
      </c>
      <c r="G1214" s="12" t="s">
        <v>25</v>
      </c>
      <c r="H1214" s="12" t="s">
        <v>3375</v>
      </c>
      <c r="I1214" s="10">
        <v>45589</v>
      </c>
    </row>
    <row r="1215" spans="1:9" x14ac:dyDescent="0.15">
      <c r="A1215" s="9">
        <v>1214</v>
      </c>
      <c r="B1215" s="9" t="s">
        <v>9</v>
      </c>
      <c r="C1215" s="9">
        <v>1920</v>
      </c>
      <c r="D1215" s="10">
        <v>45677</v>
      </c>
      <c r="E1215" s="13" t="str">
        <f>+HYPERLINK("http://trademark.i-assist.jp/data/china/image_1920th/81563588.pdf","81563588")</f>
        <v>81563588</v>
      </c>
      <c r="F1215" s="12" t="s">
        <v>3376</v>
      </c>
      <c r="G1215" s="9" t="s">
        <v>3377</v>
      </c>
      <c r="H1215" s="12" t="s">
        <v>3378</v>
      </c>
      <c r="I1215" s="10">
        <v>45589</v>
      </c>
    </row>
    <row r="1216" spans="1:9" x14ac:dyDescent="0.15">
      <c r="A1216" s="9">
        <v>1215</v>
      </c>
      <c r="B1216" s="9" t="s">
        <v>9</v>
      </c>
      <c r="C1216" s="9">
        <v>1920</v>
      </c>
      <c r="D1216" s="10">
        <v>45677</v>
      </c>
      <c r="E1216" s="13" t="str">
        <f>+HYPERLINK("http://trademark.i-assist.jp/data/china/image_1920th/81563592.pdf","81563592")</f>
        <v>81563592</v>
      </c>
      <c r="F1216" s="12" t="s">
        <v>3379</v>
      </c>
      <c r="G1216" s="9" t="s">
        <v>3380</v>
      </c>
      <c r="H1216" s="9" t="s">
        <v>3381</v>
      </c>
      <c r="I1216" s="10">
        <v>45589</v>
      </c>
    </row>
    <row r="1217" spans="1:9" x14ac:dyDescent="0.15">
      <c r="A1217" s="9">
        <v>1216</v>
      </c>
      <c r="B1217" s="9" t="s">
        <v>9</v>
      </c>
      <c r="C1217" s="9">
        <v>1920</v>
      </c>
      <c r="D1217" s="10">
        <v>45677</v>
      </c>
      <c r="E1217" s="13" t="str">
        <f>+HYPERLINK("http://trademark.i-assist.jp/data/china/image_1920th/81563819.pdf","81563819")</f>
        <v>81563819</v>
      </c>
      <c r="F1217" s="9" t="s">
        <v>3382</v>
      </c>
      <c r="G1217" s="9" t="s">
        <v>3252</v>
      </c>
      <c r="H1217" s="9" t="s">
        <v>3383</v>
      </c>
      <c r="I1217" s="10">
        <v>45589</v>
      </c>
    </row>
    <row r="1218" spans="1:9" x14ac:dyDescent="0.15">
      <c r="A1218" s="9">
        <v>1217</v>
      </c>
      <c r="B1218" s="9" t="s">
        <v>9</v>
      </c>
      <c r="C1218" s="9">
        <v>1920</v>
      </c>
      <c r="D1218" s="10">
        <v>45677</v>
      </c>
      <c r="E1218" s="13" t="str">
        <f>+HYPERLINK("http://trademark.i-assist.jp/data/china/image_1920th/81563860.pdf","81563860")</f>
        <v>81563860</v>
      </c>
      <c r="F1218" s="9" t="s">
        <v>3384</v>
      </c>
      <c r="G1218" s="9" t="s">
        <v>3252</v>
      </c>
      <c r="H1218" s="12" t="s">
        <v>3385</v>
      </c>
      <c r="I1218" s="10">
        <v>45589</v>
      </c>
    </row>
    <row r="1219" spans="1:9" x14ac:dyDescent="0.15">
      <c r="A1219" s="9">
        <v>1218</v>
      </c>
      <c r="B1219" s="9" t="s">
        <v>9</v>
      </c>
      <c r="C1219" s="9">
        <v>1920</v>
      </c>
      <c r="D1219" s="10">
        <v>45677</v>
      </c>
      <c r="E1219" s="13" t="str">
        <f>+HYPERLINK("http://trademark.i-assist.jp/data/china/image_1920th/81564090.pdf","81564090")</f>
        <v>81564090</v>
      </c>
      <c r="F1219" s="9" t="s">
        <v>3386</v>
      </c>
      <c r="G1219" s="9" t="s">
        <v>133</v>
      </c>
      <c r="H1219" s="12" t="s">
        <v>3387</v>
      </c>
      <c r="I1219" s="10">
        <v>45589</v>
      </c>
    </row>
    <row r="1220" spans="1:9" x14ac:dyDescent="0.15">
      <c r="A1220" s="9">
        <v>1219</v>
      </c>
      <c r="B1220" s="9" t="s">
        <v>9</v>
      </c>
      <c r="C1220" s="9">
        <v>1920</v>
      </c>
      <c r="D1220" s="10">
        <v>45677</v>
      </c>
      <c r="E1220" s="13" t="str">
        <f>+HYPERLINK("http://trademark.i-assist.jp/data/china/image_1920th/81564101.pdf","81564101")</f>
        <v>81564101</v>
      </c>
      <c r="F1220" s="12" t="s">
        <v>12</v>
      </c>
      <c r="G1220" s="9" t="s">
        <v>3388</v>
      </c>
      <c r="H1220" s="12" t="s">
        <v>3389</v>
      </c>
      <c r="I1220" s="10">
        <v>45589</v>
      </c>
    </row>
    <row r="1221" spans="1:9" x14ac:dyDescent="0.15">
      <c r="A1221" s="9">
        <v>1220</v>
      </c>
      <c r="B1221" s="9" t="s">
        <v>9</v>
      </c>
      <c r="C1221" s="9">
        <v>1920</v>
      </c>
      <c r="D1221" s="10">
        <v>45677</v>
      </c>
      <c r="E1221" s="13" t="str">
        <f>+HYPERLINK("http://trademark.i-assist.jp/data/china/image_1920th/81564240.pdf","81564240")</f>
        <v>81564240</v>
      </c>
      <c r="F1221" s="9" t="s">
        <v>3390</v>
      </c>
      <c r="G1221" s="9" t="s">
        <v>3391</v>
      </c>
      <c r="H1221" s="9" t="s">
        <v>3392</v>
      </c>
      <c r="I1221" s="10">
        <v>45589</v>
      </c>
    </row>
    <row r="1222" spans="1:9" x14ac:dyDescent="0.15">
      <c r="A1222" s="9">
        <v>1221</v>
      </c>
      <c r="B1222" s="9" t="s">
        <v>9</v>
      </c>
      <c r="C1222" s="9">
        <v>1920</v>
      </c>
      <c r="D1222" s="10">
        <v>45677</v>
      </c>
      <c r="E1222" s="13" t="str">
        <f>+HYPERLINK("http://trademark.i-assist.jp/data/china/image_1920th/81564858.pdf","81564858")</f>
        <v>81564858</v>
      </c>
      <c r="F1222" s="9" t="s">
        <v>3393</v>
      </c>
      <c r="G1222" s="9" t="s">
        <v>75</v>
      </c>
      <c r="H1222" s="9" t="s">
        <v>3394</v>
      </c>
      <c r="I1222" s="10">
        <v>45589</v>
      </c>
    </row>
    <row r="1223" spans="1:9" x14ac:dyDescent="0.15">
      <c r="A1223" s="9">
        <v>1222</v>
      </c>
      <c r="B1223" s="9" t="s">
        <v>9</v>
      </c>
      <c r="C1223" s="9">
        <v>1920</v>
      </c>
      <c r="D1223" s="10">
        <v>45677</v>
      </c>
      <c r="E1223" s="13" t="str">
        <f>+HYPERLINK("http://trademark.i-assist.jp/data/china/image_1920th/81565131.pdf","81565131")</f>
        <v>81565131</v>
      </c>
      <c r="F1223" s="9" t="s">
        <v>3395</v>
      </c>
      <c r="G1223" s="12" t="s">
        <v>3396</v>
      </c>
      <c r="H1223" s="9" t="s">
        <v>3397</v>
      </c>
      <c r="I1223" s="10">
        <v>45589</v>
      </c>
    </row>
    <row r="1224" spans="1:9" x14ac:dyDescent="0.15">
      <c r="A1224" s="9">
        <v>1223</v>
      </c>
      <c r="B1224" s="9" t="s">
        <v>9</v>
      </c>
      <c r="C1224" s="9">
        <v>1920</v>
      </c>
      <c r="D1224" s="10">
        <v>45677</v>
      </c>
      <c r="E1224" s="13" t="str">
        <f>+HYPERLINK("http://trademark.i-assist.jp/data/china/image_1920th/81565247.pdf","81565247")</f>
        <v>81565247</v>
      </c>
      <c r="F1224" s="9" t="s">
        <v>3398</v>
      </c>
      <c r="G1224" s="12" t="s">
        <v>3286</v>
      </c>
      <c r="H1224" s="12" t="s">
        <v>3399</v>
      </c>
      <c r="I1224" s="10">
        <v>45589</v>
      </c>
    </row>
    <row r="1225" spans="1:9" x14ac:dyDescent="0.15">
      <c r="A1225" s="9">
        <v>1224</v>
      </c>
      <c r="B1225" s="9" t="s">
        <v>9</v>
      </c>
      <c r="C1225" s="9">
        <v>1920</v>
      </c>
      <c r="D1225" s="10">
        <v>45677</v>
      </c>
      <c r="E1225" s="13" t="str">
        <f>+HYPERLINK("http://trademark.i-assist.jp/data/china/image_1920th/81565717.pdf","81565717")</f>
        <v>81565717</v>
      </c>
      <c r="F1225" s="9" t="s">
        <v>3400</v>
      </c>
      <c r="G1225" s="9" t="s">
        <v>3401</v>
      </c>
      <c r="H1225" s="12" t="s">
        <v>3402</v>
      </c>
      <c r="I1225" s="10">
        <v>45589</v>
      </c>
    </row>
    <row r="1226" spans="1:9" x14ac:dyDescent="0.15">
      <c r="A1226" s="9">
        <v>1225</v>
      </c>
      <c r="B1226" s="9" t="s">
        <v>9</v>
      </c>
      <c r="C1226" s="9">
        <v>1920</v>
      </c>
      <c r="D1226" s="10">
        <v>45677</v>
      </c>
      <c r="E1226" s="13" t="str">
        <f>+HYPERLINK("http://trademark.i-assist.jp/data/china/image_1920th/81566075.pdf","81566075")</f>
        <v>81566075</v>
      </c>
      <c r="F1226" s="9" t="s">
        <v>3403</v>
      </c>
      <c r="G1226" s="9" t="s">
        <v>133</v>
      </c>
      <c r="H1226" s="9" t="s">
        <v>3404</v>
      </c>
      <c r="I1226" s="10">
        <v>45589</v>
      </c>
    </row>
    <row r="1227" spans="1:9" x14ac:dyDescent="0.15">
      <c r="A1227" s="9">
        <v>1226</v>
      </c>
      <c r="B1227" s="9" t="s">
        <v>9</v>
      </c>
      <c r="C1227" s="9">
        <v>1920</v>
      </c>
      <c r="D1227" s="10">
        <v>45677</v>
      </c>
      <c r="E1227" s="13" t="str">
        <f>+HYPERLINK("http://trademark.i-assist.jp/data/china/image_1920th/81566097.pdf","81566097")</f>
        <v>81566097</v>
      </c>
      <c r="F1227" s="9" t="s">
        <v>3405</v>
      </c>
      <c r="G1227" s="9" t="s">
        <v>3406</v>
      </c>
      <c r="H1227" s="9" t="s">
        <v>3407</v>
      </c>
      <c r="I1227" s="10">
        <v>45589</v>
      </c>
    </row>
    <row r="1228" spans="1:9" x14ac:dyDescent="0.15">
      <c r="A1228" s="9">
        <v>1227</v>
      </c>
      <c r="B1228" s="9" t="s">
        <v>9</v>
      </c>
      <c r="C1228" s="9">
        <v>1920</v>
      </c>
      <c r="D1228" s="10">
        <v>45677</v>
      </c>
      <c r="E1228" s="13" t="str">
        <f>+HYPERLINK("http://trademark.i-assist.jp/data/china/image_1920th/81566184.pdf","81566184")</f>
        <v>81566184</v>
      </c>
      <c r="F1228" s="12" t="s">
        <v>3408</v>
      </c>
      <c r="G1228" s="9" t="s">
        <v>3409</v>
      </c>
      <c r="H1228" s="9" t="s">
        <v>3410</v>
      </c>
      <c r="I1228" s="10">
        <v>45589</v>
      </c>
    </row>
    <row r="1229" spans="1:9" x14ac:dyDescent="0.15">
      <c r="A1229" s="9">
        <v>1228</v>
      </c>
      <c r="B1229" s="9" t="s">
        <v>9</v>
      </c>
      <c r="C1229" s="9">
        <v>1920</v>
      </c>
      <c r="D1229" s="10">
        <v>45677</v>
      </c>
      <c r="E1229" s="13" t="str">
        <f>+HYPERLINK("http://trademark.i-assist.jp/data/china/image_1920th/81566201.pdf","81566201")</f>
        <v>81566201</v>
      </c>
      <c r="F1229" s="12" t="s">
        <v>12</v>
      </c>
      <c r="G1229" s="9" t="s">
        <v>3411</v>
      </c>
      <c r="H1229" s="12" t="s">
        <v>3412</v>
      </c>
      <c r="I1229" s="10">
        <v>45589</v>
      </c>
    </row>
    <row r="1230" spans="1:9" x14ac:dyDescent="0.15">
      <c r="A1230" s="9">
        <v>1229</v>
      </c>
      <c r="B1230" s="9" t="s">
        <v>9</v>
      </c>
      <c r="C1230" s="9">
        <v>1920</v>
      </c>
      <c r="D1230" s="10">
        <v>45677</v>
      </c>
      <c r="E1230" s="13" t="str">
        <f>+HYPERLINK("http://trademark.i-assist.jp/data/china/image_1920th/81566364.pdf","81566364")</f>
        <v>81566364</v>
      </c>
      <c r="F1230" s="9" t="s">
        <v>3413</v>
      </c>
      <c r="G1230" s="9" t="s">
        <v>3252</v>
      </c>
      <c r="H1230" s="9" t="s">
        <v>3414</v>
      </c>
      <c r="I1230" s="10">
        <v>45589</v>
      </c>
    </row>
    <row r="1231" spans="1:9" x14ac:dyDescent="0.15">
      <c r="A1231" s="9">
        <v>1230</v>
      </c>
      <c r="B1231" s="9" t="s">
        <v>9</v>
      </c>
      <c r="C1231" s="9">
        <v>1920</v>
      </c>
      <c r="D1231" s="10">
        <v>45677</v>
      </c>
      <c r="E1231" s="13" t="str">
        <f>+HYPERLINK("http://trademark.i-assist.jp/data/china/image_1920th/81566374.pdf","81566374")</f>
        <v>81566374</v>
      </c>
      <c r="F1231" s="9" t="s">
        <v>3415</v>
      </c>
      <c r="G1231" s="9" t="s">
        <v>116</v>
      </c>
      <c r="H1231" s="9" t="s">
        <v>3416</v>
      </c>
      <c r="I1231" s="10">
        <v>45589</v>
      </c>
    </row>
    <row r="1232" spans="1:9" x14ac:dyDescent="0.15">
      <c r="A1232" s="9">
        <v>1231</v>
      </c>
      <c r="B1232" s="9" t="s">
        <v>9</v>
      </c>
      <c r="C1232" s="9">
        <v>1920</v>
      </c>
      <c r="D1232" s="10">
        <v>45677</v>
      </c>
      <c r="E1232" s="13" t="str">
        <f>+HYPERLINK("http://trademark.i-assist.jp/data/china/image_1920th/81566377.pdf","81566377")</f>
        <v>81566377</v>
      </c>
      <c r="F1232" s="9" t="s">
        <v>3417</v>
      </c>
      <c r="G1232" s="9" t="s">
        <v>3252</v>
      </c>
      <c r="H1232" s="9" t="s">
        <v>3418</v>
      </c>
      <c r="I1232" s="10">
        <v>45589</v>
      </c>
    </row>
    <row r="1233" spans="1:9" x14ac:dyDescent="0.15">
      <c r="A1233" s="9">
        <v>1232</v>
      </c>
      <c r="B1233" s="9" t="s">
        <v>9</v>
      </c>
      <c r="C1233" s="9">
        <v>1920</v>
      </c>
      <c r="D1233" s="10">
        <v>45677</v>
      </c>
      <c r="E1233" s="13" t="str">
        <f>+HYPERLINK("http://trademark.i-assist.jp/data/china/image_1920th/81566425.pdf","81566425")</f>
        <v>81566425</v>
      </c>
      <c r="F1233" s="9" t="s">
        <v>3419</v>
      </c>
      <c r="G1233" s="9" t="s">
        <v>3252</v>
      </c>
      <c r="H1233" s="9" t="s">
        <v>3420</v>
      </c>
      <c r="I1233" s="10">
        <v>45589</v>
      </c>
    </row>
    <row r="1234" spans="1:9" x14ac:dyDescent="0.15">
      <c r="A1234" s="9">
        <v>1233</v>
      </c>
      <c r="B1234" s="9" t="s">
        <v>9</v>
      </c>
      <c r="C1234" s="9">
        <v>1920</v>
      </c>
      <c r="D1234" s="10">
        <v>45677</v>
      </c>
      <c r="E1234" s="13" t="str">
        <f>+HYPERLINK("http://trademark.i-assist.jp/data/china/image_1920th/81566491.pdf","81566491")</f>
        <v>81566491</v>
      </c>
      <c r="F1234" s="9" t="s">
        <v>3421</v>
      </c>
      <c r="G1234" s="9" t="s">
        <v>3422</v>
      </c>
      <c r="H1234" s="9" t="s">
        <v>3423</v>
      </c>
      <c r="I1234" s="10">
        <v>45589</v>
      </c>
    </row>
    <row r="1235" spans="1:9" x14ac:dyDescent="0.15">
      <c r="A1235" s="9">
        <v>1234</v>
      </c>
      <c r="B1235" s="9" t="s">
        <v>9</v>
      </c>
      <c r="C1235" s="9">
        <v>1920</v>
      </c>
      <c r="D1235" s="10">
        <v>45677</v>
      </c>
      <c r="E1235" s="13" t="str">
        <f>+HYPERLINK("http://trademark.i-assist.jp/data/china/image_1920th/81566688.pdf","81566688")</f>
        <v>81566688</v>
      </c>
      <c r="F1235" s="9" t="s">
        <v>3424</v>
      </c>
      <c r="G1235" s="12" t="s">
        <v>3425</v>
      </c>
      <c r="H1235" s="9" t="s">
        <v>3426</v>
      </c>
      <c r="I1235" s="10">
        <v>45589</v>
      </c>
    </row>
    <row r="1236" spans="1:9" x14ac:dyDescent="0.15">
      <c r="A1236" s="9">
        <v>1235</v>
      </c>
      <c r="B1236" s="9" t="s">
        <v>9</v>
      </c>
      <c r="C1236" s="9">
        <v>1920</v>
      </c>
      <c r="D1236" s="10">
        <v>45677</v>
      </c>
      <c r="E1236" s="13" t="str">
        <f>+HYPERLINK("http://trademark.i-assist.jp/data/china/image_1920th/81567143.pdf","81567143")</f>
        <v>81567143</v>
      </c>
      <c r="F1236" s="9" t="s">
        <v>3427</v>
      </c>
      <c r="G1236" s="9" t="s">
        <v>3428</v>
      </c>
      <c r="H1236" s="9" t="s">
        <v>3429</v>
      </c>
      <c r="I1236" s="10">
        <v>45589</v>
      </c>
    </row>
    <row r="1237" spans="1:9" x14ac:dyDescent="0.15">
      <c r="A1237" s="9">
        <v>1236</v>
      </c>
      <c r="B1237" s="9" t="s">
        <v>9</v>
      </c>
      <c r="C1237" s="9">
        <v>1920</v>
      </c>
      <c r="D1237" s="10">
        <v>45677</v>
      </c>
      <c r="E1237" s="13" t="str">
        <f>+HYPERLINK("http://trademark.i-assist.jp/data/china/image_1920th/81567198.pdf","81567198")</f>
        <v>81567198</v>
      </c>
      <c r="F1237" s="9" t="s">
        <v>3430</v>
      </c>
      <c r="G1237" s="9" t="s">
        <v>3431</v>
      </c>
      <c r="H1237" s="9" t="s">
        <v>3432</v>
      </c>
      <c r="I1237" s="10">
        <v>45589</v>
      </c>
    </row>
    <row r="1238" spans="1:9" x14ac:dyDescent="0.15">
      <c r="A1238" s="9">
        <v>1237</v>
      </c>
      <c r="B1238" s="9" t="s">
        <v>9</v>
      </c>
      <c r="C1238" s="9">
        <v>1920</v>
      </c>
      <c r="D1238" s="10">
        <v>45677</v>
      </c>
      <c r="E1238" s="13" t="str">
        <f>+HYPERLINK("http://trademark.i-assist.jp/data/china/image_1920th/81567737.pdf","81567737")</f>
        <v>81567737</v>
      </c>
      <c r="F1238" s="9" t="s">
        <v>3433</v>
      </c>
      <c r="G1238" s="12" t="s">
        <v>3434</v>
      </c>
      <c r="H1238" s="9" t="s">
        <v>3435</v>
      </c>
      <c r="I1238" s="10">
        <v>45589</v>
      </c>
    </row>
    <row r="1239" spans="1:9" x14ac:dyDescent="0.15">
      <c r="A1239" s="9">
        <v>1238</v>
      </c>
      <c r="B1239" s="9" t="s">
        <v>9</v>
      </c>
      <c r="C1239" s="9">
        <v>1920</v>
      </c>
      <c r="D1239" s="10">
        <v>45677</v>
      </c>
      <c r="E1239" s="13" t="str">
        <f>+HYPERLINK("http://trademark.i-assist.jp/data/china/image_1920th/81568907.pdf","81568907")</f>
        <v>81568907</v>
      </c>
      <c r="F1239" s="9" t="s">
        <v>3436</v>
      </c>
      <c r="G1239" s="9" t="s">
        <v>3317</v>
      </c>
      <c r="H1239" s="9" t="s">
        <v>3437</v>
      </c>
      <c r="I1239" s="10">
        <v>45589</v>
      </c>
    </row>
    <row r="1240" spans="1:9" x14ac:dyDescent="0.15">
      <c r="A1240" s="9">
        <v>1239</v>
      </c>
      <c r="B1240" s="9" t="s">
        <v>9</v>
      </c>
      <c r="C1240" s="9">
        <v>1920</v>
      </c>
      <c r="D1240" s="10">
        <v>45677</v>
      </c>
      <c r="E1240" s="13" t="str">
        <f>+HYPERLINK("http://trademark.i-assist.jp/data/china/image_1920th/81568911.pdf","81568911")</f>
        <v>81568911</v>
      </c>
      <c r="F1240" s="9" t="s">
        <v>3438</v>
      </c>
      <c r="G1240" s="12" t="s">
        <v>3292</v>
      </c>
      <c r="H1240" s="9" t="s">
        <v>3439</v>
      </c>
      <c r="I1240" s="10">
        <v>45589</v>
      </c>
    </row>
    <row r="1241" spans="1:9" x14ac:dyDescent="0.15">
      <c r="A1241" s="9">
        <v>1240</v>
      </c>
      <c r="B1241" s="9" t="s">
        <v>9</v>
      </c>
      <c r="C1241" s="9">
        <v>1920</v>
      </c>
      <c r="D1241" s="10">
        <v>45677</v>
      </c>
      <c r="E1241" s="13" t="str">
        <f>+HYPERLINK("http://trademark.i-assist.jp/data/china/image_1920th/81568921.pdf","81568921")</f>
        <v>81568921</v>
      </c>
      <c r="F1241" s="9" t="s">
        <v>3440</v>
      </c>
      <c r="G1241" s="9" t="s">
        <v>3317</v>
      </c>
      <c r="H1241" s="9" t="s">
        <v>3441</v>
      </c>
      <c r="I1241" s="10">
        <v>45589</v>
      </c>
    </row>
    <row r="1242" spans="1:9" x14ac:dyDescent="0.15">
      <c r="A1242" s="9">
        <v>1241</v>
      </c>
      <c r="B1242" s="9" t="s">
        <v>9</v>
      </c>
      <c r="C1242" s="9">
        <v>1920</v>
      </c>
      <c r="D1242" s="10">
        <v>45677</v>
      </c>
      <c r="E1242" s="13" t="str">
        <f>+HYPERLINK("http://trademark.i-assist.jp/data/china/image_1920th/81568977.pdf","81568977")</f>
        <v>81568977</v>
      </c>
      <c r="F1242" s="9" t="s">
        <v>3442</v>
      </c>
      <c r="G1242" s="9" t="s">
        <v>3443</v>
      </c>
      <c r="H1242" s="9" t="s">
        <v>3444</v>
      </c>
      <c r="I1242" s="10">
        <v>45589</v>
      </c>
    </row>
    <row r="1243" spans="1:9" x14ac:dyDescent="0.15">
      <c r="A1243" s="9">
        <v>1242</v>
      </c>
      <c r="B1243" s="9" t="s">
        <v>9</v>
      </c>
      <c r="C1243" s="9">
        <v>1920</v>
      </c>
      <c r="D1243" s="10">
        <v>45677</v>
      </c>
      <c r="E1243" s="13" t="str">
        <f>+HYPERLINK("http://trademark.i-assist.jp/data/china/image_1920th/81568993.pdf","81568993")</f>
        <v>81568993</v>
      </c>
      <c r="F1243" s="9" t="s">
        <v>3445</v>
      </c>
      <c r="G1243" s="9" t="s">
        <v>3446</v>
      </c>
      <c r="H1243" s="9" t="s">
        <v>3447</v>
      </c>
      <c r="I1243" s="10">
        <v>45589</v>
      </c>
    </row>
    <row r="1244" spans="1:9" x14ac:dyDescent="0.15">
      <c r="A1244" s="9">
        <v>1243</v>
      </c>
      <c r="B1244" s="9" t="s">
        <v>9</v>
      </c>
      <c r="C1244" s="9">
        <v>1920</v>
      </c>
      <c r="D1244" s="10">
        <v>45677</v>
      </c>
      <c r="E1244" s="13" t="str">
        <f>+HYPERLINK("http://trademark.i-assist.jp/data/china/image_1920th/81569402.pdf","81569402")</f>
        <v>81569402</v>
      </c>
      <c r="F1244" s="9" t="s">
        <v>3448</v>
      </c>
      <c r="G1244" s="9" t="s">
        <v>3449</v>
      </c>
      <c r="H1244" s="12" t="s">
        <v>3450</v>
      </c>
      <c r="I1244" s="10">
        <v>45589</v>
      </c>
    </row>
    <row r="1245" spans="1:9" x14ac:dyDescent="0.15">
      <c r="A1245" s="9">
        <v>1244</v>
      </c>
      <c r="B1245" s="9" t="s">
        <v>9</v>
      </c>
      <c r="C1245" s="9">
        <v>1920</v>
      </c>
      <c r="D1245" s="10">
        <v>45677</v>
      </c>
      <c r="E1245" s="13" t="str">
        <f>+HYPERLINK("http://trademark.i-assist.jp/data/china/image_1920th/81569590.pdf","81569590")</f>
        <v>81569590</v>
      </c>
      <c r="F1245" s="12" t="s">
        <v>12</v>
      </c>
      <c r="G1245" s="9" t="s">
        <v>141</v>
      </c>
      <c r="H1245" s="9" t="s">
        <v>3451</v>
      </c>
      <c r="I1245" s="10">
        <v>45589</v>
      </c>
    </row>
    <row r="1246" spans="1:9" x14ac:dyDescent="0.15">
      <c r="A1246" s="9">
        <v>1245</v>
      </c>
      <c r="B1246" s="9" t="s">
        <v>9</v>
      </c>
      <c r="C1246" s="9">
        <v>1920</v>
      </c>
      <c r="D1246" s="10">
        <v>45677</v>
      </c>
      <c r="E1246" s="13" t="str">
        <f>+HYPERLINK("http://trademark.i-assist.jp/data/china/image_1920th/81569605.pdf","81569605")</f>
        <v>81569605</v>
      </c>
      <c r="F1246" s="9" t="s">
        <v>3452</v>
      </c>
      <c r="G1246" s="9" t="s">
        <v>3453</v>
      </c>
      <c r="H1246" s="12" t="s">
        <v>3454</v>
      </c>
      <c r="I1246" s="10">
        <v>45589</v>
      </c>
    </row>
    <row r="1247" spans="1:9" x14ac:dyDescent="0.15">
      <c r="A1247" s="9">
        <v>1246</v>
      </c>
      <c r="B1247" s="9" t="s">
        <v>9</v>
      </c>
      <c r="C1247" s="9">
        <v>1920</v>
      </c>
      <c r="D1247" s="10">
        <v>45677</v>
      </c>
      <c r="E1247" s="13" t="str">
        <f>+HYPERLINK("http://trademark.i-assist.jp/data/china/image_1920th/81569642.pdf","81569642")</f>
        <v>81569642</v>
      </c>
      <c r="F1247" s="12" t="s">
        <v>3455</v>
      </c>
      <c r="G1247" s="9" t="s">
        <v>3456</v>
      </c>
      <c r="H1247" s="9" t="s">
        <v>3457</v>
      </c>
      <c r="I1247" s="10">
        <v>45589</v>
      </c>
    </row>
    <row r="1248" spans="1:9" x14ac:dyDescent="0.15">
      <c r="A1248" s="9">
        <v>1247</v>
      </c>
      <c r="B1248" s="9" t="s">
        <v>9</v>
      </c>
      <c r="C1248" s="9">
        <v>1920</v>
      </c>
      <c r="D1248" s="10">
        <v>45677</v>
      </c>
      <c r="E1248" s="13" t="str">
        <f>+HYPERLINK("http://trademark.i-assist.jp/data/china/image_1920th/81569823.pdf","81569823")</f>
        <v>81569823</v>
      </c>
      <c r="F1248" s="9" t="s">
        <v>3458</v>
      </c>
      <c r="G1248" s="9" t="s">
        <v>3355</v>
      </c>
      <c r="H1248" s="9" t="s">
        <v>3459</v>
      </c>
      <c r="I1248" s="10">
        <v>45589</v>
      </c>
    </row>
    <row r="1249" spans="1:9" x14ac:dyDescent="0.15">
      <c r="A1249" s="9">
        <v>1248</v>
      </c>
      <c r="B1249" s="9" t="s">
        <v>9</v>
      </c>
      <c r="C1249" s="9">
        <v>1920</v>
      </c>
      <c r="D1249" s="10">
        <v>45677</v>
      </c>
      <c r="E1249" s="13" t="str">
        <f>+HYPERLINK("http://trademark.i-assist.jp/data/china/image_1920th/81569834.pdf","81569834")</f>
        <v>81569834</v>
      </c>
      <c r="F1249" s="9" t="s">
        <v>3460</v>
      </c>
      <c r="G1249" s="9" t="s">
        <v>3252</v>
      </c>
      <c r="H1249" s="9" t="s">
        <v>3461</v>
      </c>
      <c r="I1249" s="10">
        <v>45589</v>
      </c>
    </row>
    <row r="1250" spans="1:9" x14ac:dyDescent="0.15">
      <c r="A1250" s="9">
        <v>1249</v>
      </c>
      <c r="B1250" s="9" t="s">
        <v>9</v>
      </c>
      <c r="C1250" s="9">
        <v>1920</v>
      </c>
      <c r="D1250" s="10">
        <v>45677</v>
      </c>
      <c r="E1250" s="13" t="str">
        <f>+HYPERLINK("http://trademark.i-assist.jp/data/china/image_1920th/81569880.pdf","81569880")</f>
        <v>81569880</v>
      </c>
      <c r="F1250" s="9" t="s">
        <v>3462</v>
      </c>
      <c r="G1250" s="9" t="s">
        <v>3252</v>
      </c>
      <c r="H1250" s="9" t="s">
        <v>3463</v>
      </c>
      <c r="I1250" s="10">
        <v>45589</v>
      </c>
    </row>
    <row r="1251" spans="1:9" x14ac:dyDescent="0.15">
      <c r="A1251" s="9">
        <v>1250</v>
      </c>
      <c r="B1251" s="9" t="s">
        <v>9</v>
      </c>
      <c r="C1251" s="9">
        <v>1920</v>
      </c>
      <c r="D1251" s="10">
        <v>45677</v>
      </c>
      <c r="E1251" s="13" t="str">
        <f>+HYPERLINK("http://trademark.i-assist.jp/data/china/image_1920th/81569908.pdf","81569908")</f>
        <v>81569908</v>
      </c>
      <c r="F1251" s="9" t="s">
        <v>3464</v>
      </c>
      <c r="G1251" s="12" t="s">
        <v>128</v>
      </c>
      <c r="H1251" s="9" t="s">
        <v>3465</v>
      </c>
      <c r="I1251" s="10">
        <v>45589</v>
      </c>
    </row>
    <row r="1252" spans="1:9" x14ac:dyDescent="0.15">
      <c r="A1252" s="9">
        <v>1251</v>
      </c>
      <c r="B1252" s="9" t="s">
        <v>9</v>
      </c>
      <c r="C1252" s="9">
        <v>1920</v>
      </c>
      <c r="D1252" s="10">
        <v>45677</v>
      </c>
      <c r="E1252" s="13" t="str">
        <f>+HYPERLINK("http://trademark.i-assist.jp/data/china/image_1920th/81570262.pdf","81570262")</f>
        <v>81570262</v>
      </c>
      <c r="F1252" s="9" t="s">
        <v>3466</v>
      </c>
      <c r="G1252" s="9" t="s">
        <v>3467</v>
      </c>
      <c r="H1252" s="9" t="s">
        <v>3468</v>
      </c>
      <c r="I1252" s="10">
        <v>45589</v>
      </c>
    </row>
    <row r="1253" spans="1:9" x14ac:dyDescent="0.15">
      <c r="A1253" s="9">
        <v>1252</v>
      </c>
      <c r="B1253" s="9" t="s">
        <v>9</v>
      </c>
      <c r="C1253" s="9">
        <v>1920</v>
      </c>
      <c r="D1253" s="10">
        <v>45677</v>
      </c>
      <c r="E1253" s="13" t="str">
        <f>+HYPERLINK("http://trademark.i-assist.jp/data/china/image_1920th/81570397.pdf","81570397")</f>
        <v>81570397</v>
      </c>
      <c r="F1253" s="9" t="s">
        <v>3469</v>
      </c>
      <c r="G1253" s="9" t="s">
        <v>3470</v>
      </c>
      <c r="H1253" s="9" t="s">
        <v>3471</v>
      </c>
      <c r="I1253" s="10">
        <v>45589</v>
      </c>
    </row>
    <row r="1254" spans="1:9" x14ac:dyDescent="0.15">
      <c r="A1254" s="9">
        <v>1253</v>
      </c>
      <c r="B1254" s="9" t="s">
        <v>9</v>
      </c>
      <c r="C1254" s="9">
        <v>1920</v>
      </c>
      <c r="D1254" s="10">
        <v>45677</v>
      </c>
      <c r="E1254" s="13" t="str">
        <f>+HYPERLINK("http://trademark.i-assist.jp/data/china/image_1920th/81570645.pdf","81570645")</f>
        <v>81570645</v>
      </c>
      <c r="F1254" s="9" t="s">
        <v>3472</v>
      </c>
      <c r="G1254" s="9" t="s">
        <v>3245</v>
      </c>
      <c r="H1254" s="9" t="s">
        <v>3473</v>
      </c>
      <c r="I1254" s="10">
        <v>45589</v>
      </c>
    </row>
    <row r="1255" spans="1:9" x14ac:dyDescent="0.15">
      <c r="A1255" s="9">
        <v>1254</v>
      </c>
      <c r="B1255" s="9" t="s">
        <v>9</v>
      </c>
      <c r="C1255" s="9">
        <v>1920</v>
      </c>
      <c r="D1255" s="10">
        <v>45677</v>
      </c>
      <c r="E1255" s="13" t="str">
        <f>+HYPERLINK("http://trademark.i-assist.jp/data/china/image_1920th/81570671.pdf","81570671")</f>
        <v>81570671</v>
      </c>
      <c r="F1255" s="9" t="s">
        <v>3474</v>
      </c>
      <c r="G1255" s="9" t="s">
        <v>3475</v>
      </c>
      <c r="H1255" s="9" t="s">
        <v>3476</v>
      </c>
      <c r="I1255" s="10">
        <v>45589</v>
      </c>
    </row>
    <row r="1256" spans="1:9" x14ac:dyDescent="0.15">
      <c r="A1256" s="9">
        <v>1255</v>
      </c>
      <c r="B1256" s="9" t="s">
        <v>9</v>
      </c>
      <c r="C1256" s="9">
        <v>1920</v>
      </c>
      <c r="D1256" s="10">
        <v>45677</v>
      </c>
      <c r="E1256" s="13" t="str">
        <f>+HYPERLINK("http://trademark.i-assist.jp/data/china/image_1920th/81570900.pdf","81570900")</f>
        <v>81570900</v>
      </c>
      <c r="F1256" s="9" t="s">
        <v>3477</v>
      </c>
      <c r="G1256" s="9" t="s">
        <v>138</v>
      </c>
      <c r="H1256" s="9" t="s">
        <v>3478</v>
      </c>
      <c r="I1256" s="10">
        <v>45589</v>
      </c>
    </row>
    <row r="1257" spans="1:9" x14ac:dyDescent="0.15">
      <c r="A1257" s="9">
        <v>1256</v>
      </c>
      <c r="B1257" s="9" t="s">
        <v>9</v>
      </c>
      <c r="C1257" s="9">
        <v>1920</v>
      </c>
      <c r="D1257" s="10">
        <v>45677</v>
      </c>
      <c r="E1257" s="13" t="str">
        <f>+HYPERLINK("http://trademark.i-assist.jp/data/china/image_1920th/81570914.pdf","81570914")</f>
        <v>81570914</v>
      </c>
      <c r="F1257" s="9" t="s">
        <v>3479</v>
      </c>
      <c r="G1257" s="9" t="s">
        <v>138</v>
      </c>
      <c r="H1257" s="9" t="s">
        <v>3480</v>
      </c>
      <c r="I1257" s="10">
        <v>45589</v>
      </c>
    </row>
    <row r="1258" spans="1:9" x14ac:dyDescent="0.15">
      <c r="A1258" s="9">
        <v>1257</v>
      </c>
      <c r="B1258" s="9" t="s">
        <v>9</v>
      </c>
      <c r="C1258" s="9">
        <v>1920</v>
      </c>
      <c r="D1258" s="10">
        <v>45677</v>
      </c>
      <c r="E1258" s="13" t="str">
        <f>+HYPERLINK("http://trademark.i-assist.jp/data/china/image_1920th/81571034.pdf","81571034")</f>
        <v>81571034</v>
      </c>
      <c r="F1258" s="9" t="s">
        <v>3481</v>
      </c>
      <c r="G1258" s="12" t="s">
        <v>3482</v>
      </c>
      <c r="H1258" s="9" t="s">
        <v>3483</v>
      </c>
      <c r="I1258" s="10">
        <v>45589</v>
      </c>
    </row>
    <row r="1259" spans="1:9" x14ac:dyDescent="0.15">
      <c r="A1259" s="9">
        <v>1258</v>
      </c>
      <c r="B1259" s="9" t="s">
        <v>9</v>
      </c>
      <c r="C1259" s="9">
        <v>1920</v>
      </c>
      <c r="D1259" s="10">
        <v>45677</v>
      </c>
      <c r="E1259" s="13" t="str">
        <f>+HYPERLINK("http://trademark.i-assist.jp/data/china/image_1920th/81571062.pdf","81571062")</f>
        <v>81571062</v>
      </c>
      <c r="F1259" s="9" t="s">
        <v>3484</v>
      </c>
      <c r="G1259" s="9" t="s">
        <v>3485</v>
      </c>
      <c r="H1259" s="9" t="s">
        <v>3486</v>
      </c>
      <c r="I1259" s="10">
        <v>45589</v>
      </c>
    </row>
    <row r="1260" spans="1:9" x14ac:dyDescent="0.15">
      <c r="A1260" s="9">
        <v>1259</v>
      </c>
      <c r="B1260" s="9" t="s">
        <v>9</v>
      </c>
      <c r="C1260" s="9">
        <v>1920</v>
      </c>
      <c r="D1260" s="10">
        <v>45677</v>
      </c>
      <c r="E1260" s="13" t="str">
        <f>+HYPERLINK("http://trademark.i-assist.jp/data/china/image_1920th/81571583.pdf","81571583")</f>
        <v>81571583</v>
      </c>
      <c r="F1260" s="9" t="s">
        <v>3487</v>
      </c>
      <c r="G1260" s="9" t="s">
        <v>3252</v>
      </c>
      <c r="H1260" s="9" t="s">
        <v>3488</v>
      </c>
      <c r="I1260" s="10">
        <v>45589</v>
      </c>
    </row>
    <row r="1261" spans="1:9" x14ac:dyDescent="0.15">
      <c r="A1261" s="9">
        <v>1260</v>
      </c>
      <c r="B1261" s="9" t="s">
        <v>9</v>
      </c>
      <c r="C1261" s="9">
        <v>1920</v>
      </c>
      <c r="D1261" s="10">
        <v>45677</v>
      </c>
      <c r="E1261" s="13" t="str">
        <f>+HYPERLINK("http://trademark.i-assist.jp/data/china/image_1920th/81571729.pdf","81571729")</f>
        <v>81571729</v>
      </c>
      <c r="F1261" s="9" t="s">
        <v>3489</v>
      </c>
      <c r="G1261" s="12" t="s">
        <v>3490</v>
      </c>
      <c r="H1261" s="9" t="s">
        <v>3491</v>
      </c>
      <c r="I1261" s="10">
        <v>45589</v>
      </c>
    </row>
    <row r="1262" spans="1:9" x14ac:dyDescent="0.15">
      <c r="A1262" s="9">
        <v>1261</v>
      </c>
      <c r="B1262" s="9" t="s">
        <v>9</v>
      </c>
      <c r="C1262" s="9">
        <v>1920</v>
      </c>
      <c r="D1262" s="10">
        <v>45677</v>
      </c>
      <c r="E1262" s="13" t="str">
        <f>+HYPERLINK("http://trademark.i-assist.jp/data/china/image_1920th/81572066.pdf","81572066")</f>
        <v>81572066</v>
      </c>
      <c r="F1262" s="9" t="s">
        <v>3492</v>
      </c>
      <c r="G1262" s="9" t="s">
        <v>3493</v>
      </c>
      <c r="H1262" s="12" t="s">
        <v>3494</v>
      </c>
      <c r="I1262" s="10">
        <v>45589</v>
      </c>
    </row>
    <row r="1263" spans="1:9" x14ac:dyDescent="0.15">
      <c r="A1263" s="9">
        <v>1262</v>
      </c>
      <c r="B1263" s="9" t="s">
        <v>9</v>
      </c>
      <c r="C1263" s="9">
        <v>1920</v>
      </c>
      <c r="D1263" s="10">
        <v>45677</v>
      </c>
      <c r="E1263" s="13" t="str">
        <f>+HYPERLINK("http://trademark.i-assist.jp/data/china/image_1920th/81572924.pdf","81572924")</f>
        <v>81572924</v>
      </c>
      <c r="F1263" s="12" t="s">
        <v>3495</v>
      </c>
      <c r="G1263" s="9" t="s">
        <v>137</v>
      </c>
      <c r="H1263" s="9" t="s">
        <v>3496</v>
      </c>
      <c r="I1263" s="10">
        <v>45589</v>
      </c>
    </row>
    <row r="1264" spans="1:9" x14ac:dyDescent="0.15">
      <c r="A1264" s="9">
        <v>1263</v>
      </c>
      <c r="B1264" s="9" t="s">
        <v>9</v>
      </c>
      <c r="C1264" s="9">
        <v>1920</v>
      </c>
      <c r="D1264" s="10">
        <v>45677</v>
      </c>
      <c r="E1264" s="13" t="str">
        <f>+HYPERLINK("http://trademark.i-assist.jp/data/china/image_1920th/81573035.pdf","81573035")</f>
        <v>81573035</v>
      </c>
      <c r="F1264" s="12" t="s">
        <v>3497</v>
      </c>
      <c r="G1264" s="9" t="s">
        <v>3498</v>
      </c>
      <c r="H1264" s="9" t="s">
        <v>3499</v>
      </c>
      <c r="I1264" s="10">
        <v>45589</v>
      </c>
    </row>
    <row r="1265" spans="1:9" x14ac:dyDescent="0.15">
      <c r="A1265" s="9">
        <v>1264</v>
      </c>
      <c r="B1265" s="9" t="s">
        <v>9</v>
      </c>
      <c r="C1265" s="9">
        <v>1920</v>
      </c>
      <c r="D1265" s="10">
        <v>45677</v>
      </c>
      <c r="E1265" s="13" t="str">
        <f>+HYPERLINK("http://trademark.i-assist.jp/data/china/image_1920th/81573122.pdf","81573122")</f>
        <v>81573122</v>
      </c>
      <c r="F1265" s="12" t="s">
        <v>3500</v>
      </c>
      <c r="G1265" s="9" t="s">
        <v>3501</v>
      </c>
      <c r="H1265" s="9" t="s">
        <v>3502</v>
      </c>
      <c r="I1265" s="10">
        <v>45589</v>
      </c>
    </row>
    <row r="1266" spans="1:9" x14ac:dyDescent="0.15">
      <c r="A1266" s="9">
        <v>1265</v>
      </c>
      <c r="B1266" s="9" t="s">
        <v>9</v>
      </c>
      <c r="C1266" s="9">
        <v>1920</v>
      </c>
      <c r="D1266" s="10">
        <v>45677</v>
      </c>
      <c r="E1266" s="13" t="str">
        <f>+HYPERLINK("http://trademark.i-assist.jp/data/china/image_1920th/81573178.pdf","81573178")</f>
        <v>81573178</v>
      </c>
      <c r="F1266" s="9" t="s">
        <v>3503</v>
      </c>
      <c r="G1266" s="9" t="s">
        <v>120</v>
      </c>
      <c r="H1266" s="9" t="s">
        <v>3504</v>
      </c>
      <c r="I1266" s="10">
        <v>45589</v>
      </c>
    </row>
    <row r="1267" spans="1:9" x14ac:dyDescent="0.15">
      <c r="A1267" s="9">
        <v>1266</v>
      </c>
      <c r="B1267" s="9" t="s">
        <v>9</v>
      </c>
      <c r="C1267" s="9">
        <v>1920</v>
      </c>
      <c r="D1267" s="10">
        <v>45677</v>
      </c>
      <c r="E1267" s="13" t="str">
        <f>+HYPERLINK("http://trademark.i-assist.jp/data/china/image_1920th/81573333.pdf","81573333")</f>
        <v>81573333</v>
      </c>
      <c r="F1267" s="12" t="s">
        <v>12</v>
      </c>
      <c r="G1267" s="9" t="s">
        <v>3352</v>
      </c>
      <c r="H1267" s="12" t="s">
        <v>3505</v>
      </c>
      <c r="I1267" s="10">
        <v>45589</v>
      </c>
    </row>
    <row r="1268" spans="1:9" x14ac:dyDescent="0.15">
      <c r="A1268" s="9">
        <v>1267</v>
      </c>
      <c r="B1268" s="9" t="s">
        <v>9</v>
      </c>
      <c r="C1268" s="9">
        <v>1920</v>
      </c>
      <c r="D1268" s="10">
        <v>45677</v>
      </c>
      <c r="E1268" s="13" t="str">
        <f>+HYPERLINK("http://trademark.i-assist.jp/data/china/image_1920th/81573893.pdf","81573893")</f>
        <v>81573893</v>
      </c>
      <c r="F1268" s="9" t="s">
        <v>3506</v>
      </c>
      <c r="G1268" s="9" t="s">
        <v>3507</v>
      </c>
      <c r="H1268" s="9" t="s">
        <v>3508</v>
      </c>
      <c r="I1268" s="10">
        <v>45589</v>
      </c>
    </row>
    <row r="1269" spans="1:9" x14ac:dyDescent="0.15">
      <c r="A1269" s="9">
        <v>1268</v>
      </c>
      <c r="B1269" s="9" t="s">
        <v>9</v>
      </c>
      <c r="C1269" s="9">
        <v>1920</v>
      </c>
      <c r="D1269" s="10">
        <v>45677</v>
      </c>
      <c r="E1269" s="13" t="str">
        <f>+HYPERLINK("http://trademark.i-assist.jp/data/china/image_1920th/81573910.pdf","81573910")</f>
        <v>81573910</v>
      </c>
      <c r="F1269" s="12" t="s">
        <v>12</v>
      </c>
      <c r="G1269" s="12" t="s">
        <v>3509</v>
      </c>
      <c r="H1269" s="9" t="s">
        <v>3510</v>
      </c>
      <c r="I1269" s="10">
        <v>45589</v>
      </c>
    </row>
    <row r="1270" spans="1:9" x14ac:dyDescent="0.15">
      <c r="A1270" s="9">
        <v>1269</v>
      </c>
      <c r="B1270" s="9" t="s">
        <v>9</v>
      </c>
      <c r="C1270" s="9">
        <v>1920</v>
      </c>
      <c r="D1270" s="10">
        <v>45677</v>
      </c>
      <c r="E1270" s="13" t="str">
        <f>+HYPERLINK("http://trademark.i-assist.jp/data/china/image_1920th/81574056.pdf","81574056")</f>
        <v>81574056</v>
      </c>
      <c r="F1270" s="9" t="s">
        <v>3511</v>
      </c>
      <c r="G1270" s="9" t="s">
        <v>3512</v>
      </c>
      <c r="H1270" s="9" t="s">
        <v>3513</v>
      </c>
      <c r="I1270" s="10">
        <v>45589</v>
      </c>
    </row>
    <row r="1271" spans="1:9" x14ac:dyDescent="0.15">
      <c r="A1271" s="9">
        <v>1270</v>
      </c>
      <c r="B1271" s="9" t="s">
        <v>9</v>
      </c>
      <c r="C1271" s="9">
        <v>1920</v>
      </c>
      <c r="D1271" s="10">
        <v>45677</v>
      </c>
      <c r="E1271" s="13" t="str">
        <f>+HYPERLINK("http://trademark.i-assist.jp/data/china/image_1920th/81574386.pdf","81574386")</f>
        <v>81574386</v>
      </c>
      <c r="F1271" s="9" t="s">
        <v>3514</v>
      </c>
      <c r="G1271" s="12" t="s">
        <v>3515</v>
      </c>
      <c r="H1271" s="9" t="s">
        <v>3516</v>
      </c>
      <c r="I1271" s="10">
        <v>45589</v>
      </c>
    </row>
    <row r="1272" spans="1:9" x14ac:dyDescent="0.15">
      <c r="A1272" s="9">
        <v>1271</v>
      </c>
      <c r="B1272" s="9" t="s">
        <v>9</v>
      </c>
      <c r="C1272" s="9">
        <v>1920</v>
      </c>
      <c r="D1272" s="10">
        <v>45677</v>
      </c>
      <c r="E1272" s="13" t="str">
        <f>+HYPERLINK("http://trademark.i-assist.jp/data/china/image_1920th/81574628.pdf","81574628")</f>
        <v>81574628</v>
      </c>
      <c r="F1272" s="9" t="s">
        <v>3517</v>
      </c>
      <c r="G1272" s="9" t="s">
        <v>1870</v>
      </c>
      <c r="H1272" s="12" t="s">
        <v>3518</v>
      </c>
      <c r="I1272" s="10">
        <v>45589</v>
      </c>
    </row>
    <row r="1273" spans="1:9" x14ac:dyDescent="0.15">
      <c r="A1273" s="9">
        <v>1272</v>
      </c>
      <c r="B1273" s="9" t="s">
        <v>9</v>
      </c>
      <c r="C1273" s="9">
        <v>1920</v>
      </c>
      <c r="D1273" s="10">
        <v>45677</v>
      </c>
      <c r="E1273" s="13" t="str">
        <f>+HYPERLINK("http://trademark.i-assist.jp/data/china/image_1920th/81574878.pdf","81574878")</f>
        <v>81574878</v>
      </c>
      <c r="F1273" s="9" t="s">
        <v>3519</v>
      </c>
      <c r="G1273" s="9" t="s">
        <v>3520</v>
      </c>
      <c r="H1273" s="9" t="s">
        <v>3521</v>
      </c>
      <c r="I1273" s="10">
        <v>45589</v>
      </c>
    </row>
    <row r="1274" spans="1:9" x14ac:dyDescent="0.15">
      <c r="A1274" s="9">
        <v>1273</v>
      </c>
      <c r="B1274" s="9" t="s">
        <v>9</v>
      </c>
      <c r="C1274" s="9">
        <v>1920</v>
      </c>
      <c r="D1274" s="10">
        <v>45677</v>
      </c>
      <c r="E1274" s="13" t="str">
        <f>+HYPERLINK("http://trademark.i-assist.jp/data/china/image_1920th/81575724.pdf","81575724")</f>
        <v>81575724</v>
      </c>
      <c r="F1274" s="9" t="s">
        <v>3522</v>
      </c>
      <c r="G1274" s="9" t="s">
        <v>136</v>
      </c>
      <c r="H1274" s="12" t="s">
        <v>3523</v>
      </c>
      <c r="I1274" s="10">
        <v>45589</v>
      </c>
    </row>
    <row r="1275" spans="1:9" x14ac:dyDescent="0.15">
      <c r="A1275" s="9">
        <v>1274</v>
      </c>
      <c r="B1275" s="9" t="s">
        <v>9</v>
      </c>
      <c r="C1275" s="9">
        <v>1920</v>
      </c>
      <c r="D1275" s="10">
        <v>45677</v>
      </c>
      <c r="E1275" s="13" t="str">
        <f>+HYPERLINK("http://trademark.i-assist.jp/data/china/image_1920th/81575814.pdf","81575814")</f>
        <v>81575814</v>
      </c>
      <c r="F1275" s="9" t="s">
        <v>3524</v>
      </c>
      <c r="G1275" s="9" t="s">
        <v>138</v>
      </c>
      <c r="H1275" s="9" t="s">
        <v>3525</v>
      </c>
      <c r="I1275" s="10">
        <v>45589</v>
      </c>
    </row>
    <row r="1276" spans="1:9" x14ac:dyDescent="0.15">
      <c r="A1276" s="9">
        <v>1275</v>
      </c>
      <c r="B1276" s="9" t="s">
        <v>9</v>
      </c>
      <c r="C1276" s="9">
        <v>1920</v>
      </c>
      <c r="D1276" s="10">
        <v>45677</v>
      </c>
      <c r="E1276" s="13" t="str">
        <f>+HYPERLINK("http://trademark.i-assist.jp/data/china/image_1920th/81576754.pdf","81576754")</f>
        <v>81576754</v>
      </c>
      <c r="F1276" s="9" t="s">
        <v>3526</v>
      </c>
      <c r="G1276" s="9" t="s">
        <v>3527</v>
      </c>
      <c r="H1276" s="9" t="s">
        <v>3528</v>
      </c>
      <c r="I1276" s="10">
        <v>45589</v>
      </c>
    </row>
    <row r="1277" spans="1:9" x14ac:dyDescent="0.15">
      <c r="A1277" s="9">
        <v>1276</v>
      </c>
      <c r="B1277" s="9" t="s">
        <v>9</v>
      </c>
      <c r="C1277" s="9">
        <v>1920</v>
      </c>
      <c r="D1277" s="10">
        <v>45677</v>
      </c>
      <c r="E1277" s="13" t="str">
        <f>+HYPERLINK("http://trademark.i-assist.jp/data/china/image_1920th/81576994.pdf","81576994")</f>
        <v>81576994</v>
      </c>
      <c r="F1277" s="9" t="s">
        <v>3529</v>
      </c>
      <c r="G1277" s="9" t="s">
        <v>3530</v>
      </c>
      <c r="H1277" s="9" t="s">
        <v>3531</v>
      </c>
      <c r="I1277" s="10">
        <v>45589</v>
      </c>
    </row>
    <row r="1278" spans="1:9" x14ac:dyDescent="0.15">
      <c r="A1278" s="9">
        <v>1277</v>
      </c>
      <c r="B1278" s="9" t="s">
        <v>9</v>
      </c>
      <c r="C1278" s="9">
        <v>1920</v>
      </c>
      <c r="D1278" s="10">
        <v>45677</v>
      </c>
      <c r="E1278" s="13" t="str">
        <f>+HYPERLINK("http://trademark.i-assist.jp/data/china/image_1920th/81577028.pdf","81577028")</f>
        <v>81577028</v>
      </c>
      <c r="F1278" s="9" t="s">
        <v>3532</v>
      </c>
      <c r="G1278" s="9" t="s">
        <v>3533</v>
      </c>
      <c r="H1278" s="9" t="s">
        <v>3534</v>
      </c>
      <c r="I1278" s="10">
        <v>45589</v>
      </c>
    </row>
    <row r="1279" spans="1:9" x14ac:dyDescent="0.15">
      <c r="A1279" s="9">
        <v>1278</v>
      </c>
      <c r="B1279" s="9" t="s">
        <v>9</v>
      </c>
      <c r="C1279" s="9">
        <v>1920</v>
      </c>
      <c r="D1279" s="10">
        <v>45677</v>
      </c>
      <c r="E1279" s="13" t="str">
        <f>+HYPERLINK("http://trademark.i-assist.jp/data/china/image_1920th/81577159.pdf","81577159")</f>
        <v>81577159</v>
      </c>
      <c r="F1279" s="9" t="s">
        <v>3535</v>
      </c>
      <c r="G1279" s="9" t="s">
        <v>3536</v>
      </c>
      <c r="H1279" s="9" t="s">
        <v>3537</v>
      </c>
      <c r="I1279" s="10">
        <v>45589</v>
      </c>
    </row>
    <row r="1280" spans="1:9" x14ac:dyDescent="0.15">
      <c r="A1280" s="9">
        <v>1279</v>
      </c>
      <c r="B1280" s="9" t="s">
        <v>9</v>
      </c>
      <c r="C1280" s="9">
        <v>1920</v>
      </c>
      <c r="D1280" s="10">
        <v>45677</v>
      </c>
      <c r="E1280" s="13" t="str">
        <f>+HYPERLINK("http://trademark.i-assist.jp/data/china/image_1920th/81577172.pdf","81577172")</f>
        <v>81577172</v>
      </c>
      <c r="F1280" s="12" t="s">
        <v>3538</v>
      </c>
      <c r="G1280" s="9" t="s">
        <v>3536</v>
      </c>
      <c r="H1280" s="9" t="s">
        <v>3539</v>
      </c>
      <c r="I1280" s="10">
        <v>45589</v>
      </c>
    </row>
    <row r="1281" spans="1:9" x14ac:dyDescent="0.15">
      <c r="A1281" s="9">
        <v>1280</v>
      </c>
      <c r="B1281" s="9" t="s">
        <v>9</v>
      </c>
      <c r="C1281" s="9">
        <v>1920</v>
      </c>
      <c r="D1281" s="10">
        <v>45677</v>
      </c>
      <c r="E1281" s="13" t="str">
        <f>+HYPERLINK("http://trademark.i-assist.jp/data/china/image_1920th/81577263.pdf","81577263")</f>
        <v>81577263</v>
      </c>
      <c r="F1281" s="9" t="s">
        <v>3540</v>
      </c>
      <c r="G1281" s="9" t="s">
        <v>555</v>
      </c>
      <c r="H1281" s="12" t="s">
        <v>3541</v>
      </c>
      <c r="I1281" s="10">
        <v>45589</v>
      </c>
    </row>
    <row r="1282" spans="1:9" x14ac:dyDescent="0.15">
      <c r="A1282" s="9">
        <v>1281</v>
      </c>
      <c r="B1282" s="9" t="s">
        <v>9</v>
      </c>
      <c r="C1282" s="9">
        <v>1920</v>
      </c>
      <c r="D1282" s="10">
        <v>45677</v>
      </c>
      <c r="E1282" s="13" t="str">
        <f>+HYPERLINK("http://trademark.i-assist.jp/data/china/image_1920th/81577344.pdf","81577344")</f>
        <v>81577344</v>
      </c>
      <c r="F1282" s="9" t="s">
        <v>3542</v>
      </c>
      <c r="G1282" s="9" t="s">
        <v>3252</v>
      </c>
      <c r="H1282" s="12" t="s">
        <v>3543</v>
      </c>
      <c r="I1282" s="10">
        <v>45589</v>
      </c>
    </row>
    <row r="1283" spans="1:9" x14ac:dyDescent="0.15">
      <c r="A1283" s="9">
        <v>1282</v>
      </c>
      <c r="B1283" s="9" t="s">
        <v>9</v>
      </c>
      <c r="C1283" s="9">
        <v>1920</v>
      </c>
      <c r="D1283" s="10">
        <v>45677</v>
      </c>
      <c r="E1283" s="13" t="str">
        <f>+HYPERLINK("http://trademark.i-assist.jp/data/china/image_1920th/81577359.pdf","81577359")</f>
        <v>81577359</v>
      </c>
      <c r="F1283" s="9" t="s">
        <v>3544</v>
      </c>
      <c r="G1283" s="9" t="s">
        <v>3252</v>
      </c>
      <c r="H1283" s="9" t="s">
        <v>3545</v>
      </c>
      <c r="I1283" s="10">
        <v>45589</v>
      </c>
    </row>
    <row r="1284" spans="1:9" x14ac:dyDescent="0.15">
      <c r="A1284" s="9">
        <v>1283</v>
      </c>
      <c r="B1284" s="9" t="s">
        <v>9</v>
      </c>
      <c r="C1284" s="9">
        <v>1920</v>
      </c>
      <c r="D1284" s="10">
        <v>45677</v>
      </c>
      <c r="E1284" s="13" t="str">
        <f>+HYPERLINK("http://trademark.i-assist.jp/data/china/image_1920th/81577462.pdf","81577462")</f>
        <v>81577462</v>
      </c>
      <c r="F1284" s="9" t="s">
        <v>3546</v>
      </c>
      <c r="G1284" s="12" t="s">
        <v>3547</v>
      </c>
      <c r="H1284" s="9" t="s">
        <v>3548</v>
      </c>
      <c r="I1284" s="10">
        <v>45589</v>
      </c>
    </row>
    <row r="1285" spans="1:9" x14ac:dyDescent="0.15">
      <c r="A1285" s="9">
        <v>1284</v>
      </c>
      <c r="B1285" s="9" t="s">
        <v>9</v>
      </c>
      <c r="C1285" s="9">
        <v>1920</v>
      </c>
      <c r="D1285" s="10">
        <v>45677</v>
      </c>
      <c r="E1285" s="13" t="str">
        <f>+HYPERLINK("http://trademark.i-assist.jp/data/china/image_1920th/81577942.pdf","81577942")</f>
        <v>81577942</v>
      </c>
      <c r="F1285" s="9" t="s">
        <v>3549</v>
      </c>
      <c r="G1285" s="9" t="s">
        <v>3550</v>
      </c>
      <c r="H1285" s="12" t="s">
        <v>3551</v>
      </c>
      <c r="I1285" s="10">
        <v>45590</v>
      </c>
    </row>
    <row r="1286" spans="1:9" x14ac:dyDescent="0.15">
      <c r="A1286" s="9">
        <v>1285</v>
      </c>
      <c r="B1286" s="9" t="s">
        <v>9</v>
      </c>
      <c r="C1286" s="9">
        <v>1920</v>
      </c>
      <c r="D1286" s="10">
        <v>45677</v>
      </c>
      <c r="E1286" s="13" t="str">
        <f>+HYPERLINK("http://trademark.i-assist.jp/data/china/image_1920th/81578116.pdf","81578116")</f>
        <v>81578116</v>
      </c>
      <c r="F1286" s="12" t="s">
        <v>3552</v>
      </c>
      <c r="G1286" s="9" t="s">
        <v>3553</v>
      </c>
      <c r="H1286" s="9" t="s">
        <v>3554</v>
      </c>
      <c r="I1286" s="10">
        <v>45590</v>
      </c>
    </row>
    <row r="1287" spans="1:9" x14ac:dyDescent="0.15">
      <c r="A1287" s="9">
        <v>1286</v>
      </c>
      <c r="B1287" s="9" t="s">
        <v>9</v>
      </c>
      <c r="C1287" s="9">
        <v>1920</v>
      </c>
      <c r="D1287" s="10">
        <v>45677</v>
      </c>
      <c r="E1287" s="13" t="str">
        <f>+HYPERLINK("http://trademark.i-assist.jp/data/china/image_1920th/81578294.pdf","81578294")</f>
        <v>81578294</v>
      </c>
      <c r="F1287" s="9" t="s">
        <v>3555</v>
      </c>
      <c r="G1287" s="9" t="s">
        <v>3556</v>
      </c>
      <c r="H1287" s="9" t="s">
        <v>3557</v>
      </c>
      <c r="I1287" s="10">
        <v>45590</v>
      </c>
    </row>
    <row r="1288" spans="1:9" x14ac:dyDescent="0.15">
      <c r="A1288" s="9">
        <v>1287</v>
      </c>
      <c r="B1288" s="9" t="s">
        <v>9</v>
      </c>
      <c r="C1288" s="9">
        <v>1920</v>
      </c>
      <c r="D1288" s="10">
        <v>45677</v>
      </c>
      <c r="E1288" s="13" t="str">
        <f>+HYPERLINK("http://trademark.i-assist.jp/data/china/image_1920th/81578830.pdf","81578830")</f>
        <v>81578830</v>
      </c>
      <c r="F1288" s="9" t="s">
        <v>3558</v>
      </c>
      <c r="G1288" s="9" t="s">
        <v>3559</v>
      </c>
      <c r="H1288" s="9" t="s">
        <v>3560</v>
      </c>
      <c r="I1288" s="10">
        <v>45590</v>
      </c>
    </row>
    <row r="1289" spans="1:9" x14ac:dyDescent="0.15">
      <c r="A1289" s="9">
        <v>1288</v>
      </c>
      <c r="B1289" s="9" t="s">
        <v>9</v>
      </c>
      <c r="C1289" s="9">
        <v>1920</v>
      </c>
      <c r="D1289" s="10">
        <v>45677</v>
      </c>
      <c r="E1289" s="13" t="str">
        <f>+HYPERLINK("http://trademark.i-assist.jp/data/china/image_1920th/81579149.pdf","81579149")</f>
        <v>81579149</v>
      </c>
      <c r="F1289" s="9" t="s">
        <v>3561</v>
      </c>
      <c r="G1289" s="12" t="s">
        <v>3562</v>
      </c>
      <c r="H1289" s="12" t="s">
        <v>3563</v>
      </c>
      <c r="I1289" s="10">
        <v>45590</v>
      </c>
    </row>
    <row r="1290" spans="1:9" x14ac:dyDescent="0.15">
      <c r="A1290" s="9">
        <v>1289</v>
      </c>
      <c r="B1290" s="9" t="s">
        <v>9</v>
      </c>
      <c r="C1290" s="9">
        <v>1920</v>
      </c>
      <c r="D1290" s="10">
        <v>45677</v>
      </c>
      <c r="E1290" s="13" t="str">
        <f>+HYPERLINK("http://trademark.i-assist.jp/data/china/image_1920th/81579215.pdf","81579215")</f>
        <v>81579215</v>
      </c>
      <c r="F1290" s="9" t="s">
        <v>3564</v>
      </c>
      <c r="G1290" s="9" t="s">
        <v>3565</v>
      </c>
      <c r="H1290" s="9" t="s">
        <v>3566</v>
      </c>
      <c r="I1290" s="10">
        <v>45590</v>
      </c>
    </row>
    <row r="1291" spans="1:9" x14ac:dyDescent="0.15">
      <c r="A1291" s="9">
        <v>1290</v>
      </c>
      <c r="B1291" s="9" t="s">
        <v>9</v>
      </c>
      <c r="C1291" s="9">
        <v>1920</v>
      </c>
      <c r="D1291" s="10">
        <v>45677</v>
      </c>
      <c r="E1291" s="13" t="str">
        <f>+HYPERLINK("http://trademark.i-assist.jp/data/china/image_1920th/81579407.pdf","81579407")</f>
        <v>81579407</v>
      </c>
      <c r="F1291" s="9" t="s">
        <v>3567</v>
      </c>
      <c r="G1291" s="9" t="s">
        <v>3568</v>
      </c>
      <c r="H1291" s="9" t="s">
        <v>3569</v>
      </c>
      <c r="I1291" s="10">
        <v>45590</v>
      </c>
    </row>
    <row r="1292" spans="1:9" x14ac:dyDescent="0.15">
      <c r="A1292" s="9">
        <v>1291</v>
      </c>
      <c r="B1292" s="9" t="s">
        <v>9</v>
      </c>
      <c r="C1292" s="9">
        <v>1920</v>
      </c>
      <c r="D1292" s="10">
        <v>45677</v>
      </c>
      <c r="E1292" s="13" t="str">
        <f>+HYPERLINK("http://trademark.i-assist.jp/data/china/image_1920th/81580108.pdf","81580108")</f>
        <v>81580108</v>
      </c>
      <c r="F1292" s="9" t="s">
        <v>3570</v>
      </c>
      <c r="G1292" s="9" t="s">
        <v>3571</v>
      </c>
      <c r="H1292" s="9" t="s">
        <v>3572</v>
      </c>
      <c r="I1292" s="10">
        <v>45590</v>
      </c>
    </row>
    <row r="1293" spans="1:9" x14ac:dyDescent="0.15">
      <c r="A1293" s="9">
        <v>1292</v>
      </c>
      <c r="B1293" s="9" t="s">
        <v>9</v>
      </c>
      <c r="C1293" s="9">
        <v>1920</v>
      </c>
      <c r="D1293" s="10">
        <v>45677</v>
      </c>
      <c r="E1293" s="13" t="str">
        <f>+HYPERLINK("http://trademark.i-assist.jp/data/china/image_1920th/81580126.pdf","81580126")</f>
        <v>81580126</v>
      </c>
      <c r="F1293" s="12" t="s">
        <v>3573</v>
      </c>
      <c r="G1293" s="9" t="s">
        <v>3574</v>
      </c>
      <c r="H1293" s="9" t="s">
        <v>3575</v>
      </c>
      <c r="I1293" s="10">
        <v>45590</v>
      </c>
    </row>
    <row r="1294" spans="1:9" x14ac:dyDescent="0.15">
      <c r="A1294" s="9">
        <v>1293</v>
      </c>
      <c r="B1294" s="9" t="s">
        <v>9</v>
      </c>
      <c r="C1294" s="9">
        <v>1920</v>
      </c>
      <c r="D1294" s="10">
        <v>45677</v>
      </c>
      <c r="E1294" s="13" t="str">
        <f>+HYPERLINK("http://trademark.i-assist.jp/data/china/image_1920th/81580200.pdf","81580200")</f>
        <v>81580200</v>
      </c>
      <c r="F1294" s="9" t="s">
        <v>3576</v>
      </c>
      <c r="G1294" s="9" t="s">
        <v>3577</v>
      </c>
      <c r="H1294" s="9" t="s">
        <v>3578</v>
      </c>
      <c r="I1294" s="10">
        <v>45590</v>
      </c>
    </row>
    <row r="1295" spans="1:9" x14ac:dyDescent="0.15">
      <c r="A1295" s="9">
        <v>1294</v>
      </c>
      <c r="B1295" s="9" t="s">
        <v>9</v>
      </c>
      <c r="C1295" s="9">
        <v>1920</v>
      </c>
      <c r="D1295" s="10">
        <v>45677</v>
      </c>
      <c r="E1295" s="13" t="str">
        <f>+HYPERLINK("http://trademark.i-assist.jp/data/china/image_1920th/81580299.pdf","81580299")</f>
        <v>81580299</v>
      </c>
      <c r="F1295" s="9" t="s">
        <v>3579</v>
      </c>
      <c r="G1295" s="12" t="s">
        <v>60</v>
      </c>
      <c r="H1295" s="9" t="s">
        <v>3580</v>
      </c>
      <c r="I1295" s="10">
        <v>45590</v>
      </c>
    </row>
    <row r="1296" spans="1:9" x14ac:dyDescent="0.15">
      <c r="A1296" s="9">
        <v>1295</v>
      </c>
      <c r="B1296" s="9" t="s">
        <v>9</v>
      </c>
      <c r="C1296" s="9">
        <v>1920</v>
      </c>
      <c r="D1296" s="10">
        <v>45677</v>
      </c>
      <c r="E1296" s="13" t="str">
        <f>+HYPERLINK("http://trademark.i-assist.jp/data/china/image_1920th/81580692.pdf","81580692")</f>
        <v>81580692</v>
      </c>
      <c r="F1296" s="9" t="s">
        <v>3581</v>
      </c>
      <c r="G1296" s="9" t="s">
        <v>3582</v>
      </c>
      <c r="H1296" s="9" t="s">
        <v>3583</v>
      </c>
      <c r="I1296" s="10">
        <v>45590</v>
      </c>
    </row>
    <row r="1297" spans="1:9" x14ac:dyDescent="0.15">
      <c r="A1297" s="9">
        <v>1296</v>
      </c>
      <c r="B1297" s="9" t="s">
        <v>9</v>
      </c>
      <c r="C1297" s="9">
        <v>1920</v>
      </c>
      <c r="D1297" s="10">
        <v>45677</v>
      </c>
      <c r="E1297" s="13" t="str">
        <f>+HYPERLINK("http://trademark.i-assist.jp/data/china/image_1920th/81580945.pdf","81580945")</f>
        <v>81580945</v>
      </c>
      <c r="F1297" s="12" t="s">
        <v>12</v>
      </c>
      <c r="G1297" s="12" t="s">
        <v>3584</v>
      </c>
      <c r="H1297" s="9" t="s">
        <v>3585</v>
      </c>
      <c r="I1297" s="10">
        <v>45590</v>
      </c>
    </row>
    <row r="1298" spans="1:9" x14ac:dyDescent="0.15">
      <c r="A1298" s="9">
        <v>1297</v>
      </c>
      <c r="B1298" s="9" t="s">
        <v>9</v>
      </c>
      <c r="C1298" s="9">
        <v>1920</v>
      </c>
      <c r="D1298" s="10">
        <v>45677</v>
      </c>
      <c r="E1298" s="13" t="str">
        <f>+HYPERLINK("http://trademark.i-assist.jp/data/china/image_1920th/81581091.pdf","81581091")</f>
        <v>81581091</v>
      </c>
      <c r="F1298" s="9" t="s">
        <v>3586</v>
      </c>
      <c r="G1298" s="9" t="s">
        <v>3587</v>
      </c>
      <c r="H1298" s="9" t="s">
        <v>3588</v>
      </c>
      <c r="I1298" s="10">
        <v>45590</v>
      </c>
    </row>
    <row r="1299" spans="1:9" x14ac:dyDescent="0.15">
      <c r="A1299" s="9">
        <v>1298</v>
      </c>
      <c r="B1299" s="9" t="s">
        <v>9</v>
      </c>
      <c r="C1299" s="9">
        <v>1920</v>
      </c>
      <c r="D1299" s="10">
        <v>45677</v>
      </c>
      <c r="E1299" s="13" t="str">
        <f>+HYPERLINK("http://trademark.i-assist.jp/data/china/image_1920th/81581161.pdf","81581161")</f>
        <v>81581161</v>
      </c>
      <c r="F1299" s="9" t="s">
        <v>3589</v>
      </c>
      <c r="G1299" s="9" t="s">
        <v>3590</v>
      </c>
      <c r="H1299" s="9" t="s">
        <v>3591</v>
      </c>
      <c r="I1299" s="10">
        <v>45590</v>
      </c>
    </row>
    <row r="1300" spans="1:9" x14ac:dyDescent="0.15">
      <c r="A1300" s="9">
        <v>1299</v>
      </c>
      <c r="B1300" s="9" t="s">
        <v>9</v>
      </c>
      <c r="C1300" s="9">
        <v>1920</v>
      </c>
      <c r="D1300" s="10">
        <v>45677</v>
      </c>
      <c r="E1300" s="13" t="str">
        <f>+HYPERLINK("http://trademark.i-assist.jp/data/china/image_1920th/81581284.pdf","81581284")</f>
        <v>81581284</v>
      </c>
      <c r="F1300" s="9" t="s">
        <v>3592</v>
      </c>
      <c r="G1300" s="9" t="s">
        <v>3593</v>
      </c>
      <c r="H1300" s="9" t="s">
        <v>3594</v>
      </c>
      <c r="I1300" s="10">
        <v>45590</v>
      </c>
    </row>
    <row r="1301" spans="1:9" x14ac:dyDescent="0.15">
      <c r="A1301" s="9">
        <v>1300</v>
      </c>
      <c r="B1301" s="9" t="s">
        <v>9</v>
      </c>
      <c r="C1301" s="9">
        <v>1920</v>
      </c>
      <c r="D1301" s="10">
        <v>45677</v>
      </c>
      <c r="E1301" s="13" t="str">
        <f>+HYPERLINK("http://trademark.i-assist.jp/data/china/image_1920th/81581543.pdf","81581543")</f>
        <v>81581543</v>
      </c>
      <c r="F1301" s="9" t="s">
        <v>3595</v>
      </c>
      <c r="G1301" s="9" t="s">
        <v>133</v>
      </c>
      <c r="H1301" s="9" t="s">
        <v>3596</v>
      </c>
      <c r="I1301" s="10">
        <v>45590</v>
      </c>
    </row>
    <row r="1302" spans="1:9" x14ac:dyDescent="0.15">
      <c r="A1302" s="9">
        <v>1301</v>
      </c>
      <c r="B1302" s="9" t="s">
        <v>9</v>
      </c>
      <c r="C1302" s="9">
        <v>1920</v>
      </c>
      <c r="D1302" s="10">
        <v>45677</v>
      </c>
      <c r="E1302" s="13" t="str">
        <f>+HYPERLINK("http://trademark.i-assist.jp/data/china/image_1920th/81581594.pdf","81581594")</f>
        <v>81581594</v>
      </c>
      <c r="F1302" s="12" t="s">
        <v>12</v>
      </c>
      <c r="G1302" s="9" t="s">
        <v>3597</v>
      </c>
      <c r="H1302" s="9" t="s">
        <v>3598</v>
      </c>
      <c r="I1302" s="10">
        <v>45590</v>
      </c>
    </row>
    <row r="1303" spans="1:9" x14ac:dyDescent="0.15">
      <c r="A1303" s="9">
        <v>1302</v>
      </c>
      <c r="B1303" s="9" t="s">
        <v>9</v>
      </c>
      <c r="C1303" s="9">
        <v>1920</v>
      </c>
      <c r="D1303" s="10">
        <v>45677</v>
      </c>
      <c r="E1303" s="13" t="str">
        <f>+HYPERLINK("http://trademark.i-assist.jp/data/china/image_1920th/81581737.pdf","81581737")</f>
        <v>81581737</v>
      </c>
      <c r="F1303" s="12" t="s">
        <v>3599</v>
      </c>
      <c r="G1303" s="9" t="s">
        <v>3600</v>
      </c>
      <c r="H1303" s="12" t="s">
        <v>3601</v>
      </c>
      <c r="I1303" s="10">
        <v>45590</v>
      </c>
    </row>
    <row r="1304" spans="1:9" x14ac:dyDescent="0.15">
      <c r="A1304" s="9">
        <v>1303</v>
      </c>
      <c r="B1304" s="9" t="s">
        <v>9</v>
      </c>
      <c r="C1304" s="9">
        <v>1920</v>
      </c>
      <c r="D1304" s="10">
        <v>45677</v>
      </c>
      <c r="E1304" s="13" t="str">
        <f>+HYPERLINK("http://trademark.i-assist.jp/data/china/image_1920th/81582253.pdf","81582253")</f>
        <v>81582253</v>
      </c>
      <c r="F1304" s="12" t="s">
        <v>12</v>
      </c>
      <c r="G1304" s="9" t="s">
        <v>3602</v>
      </c>
      <c r="H1304" s="12" t="s">
        <v>3603</v>
      </c>
      <c r="I1304" s="10">
        <v>45590</v>
      </c>
    </row>
    <row r="1305" spans="1:9" x14ac:dyDescent="0.15">
      <c r="A1305" s="9">
        <v>1304</v>
      </c>
      <c r="B1305" s="9" t="s">
        <v>9</v>
      </c>
      <c r="C1305" s="9">
        <v>1920</v>
      </c>
      <c r="D1305" s="10">
        <v>45677</v>
      </c>
      <c r="E1305" s="13" t="str">
        <f>+HYPERLINK("http://trademark.i-assist.jp/data/china/image_1920th/81582376.pdf","81582376")</f>
        <v>81582376</v>
      </c>
      <c r="F1305" s="9" t="s">
        <v>131</v>
      </c>
      <c r="G1305" s="9" t="s">
        <v>131</v>
      </c>
      <c r="H1305" s="12" t="s">
        <v>3604</v>
      </c>
      <c r="I1305" s="10">
        <v>45590</v>
      </c>
    </row>
    <row r="1306" spans="1:9" x14ac:dyDescent="0.15">
      <c r="A1306" s="9">
        <v>1305</v>
      </c>
      <c r="B1306" s="9" t="s">
        <v>9</v>
      </c>
      <c r="C1306" s="9">
        <v>1920</v>
      </c>
      <c r="D1306" s="10">
        <v>45677</v>
      </c>
      <c r="E1306" s="13" t="str">
        <f>+HYPERLINK("http://trademark.i-assist.jp/data/china/image_1920th/81582504.pdf","81582504")</f>
        <v>81582504</v>
      </c>
      <c r="F1306" s="9" t="s">
        <v>3605</v>
      </c>
      <c r="G1306" s="12" t="s">
        <v>3606</v>
      </c>
      <c r="H1306" s="9" t="s">
        <v>3607</v>
      </c>
      <c r="I1306" s="10">
        <v>45590</v>
      </c>
    </row>
    <row r="1307" spans="1:9" x14ac:dyDescent="0.15">
      <c r="A1307" s="9">
        <v>1306</v>
      </c>
      <c r="B1307" s="9" t="s">
        <v>9</v>
      </c>
      <c r="C1307" s="9">
        <v>1920</v>
      </c>
      <c r="D1307" s="10">
        <v>45677</v>
      </c>
      <c r="E1307" s="13" t="str">
        <f>+HYPERLINK("http://trademark.i-assist.jp/data/china/image_1920th/81582730.pdf","81582730")</f>
        <v>81582730</v>
      </c>
      <c r="F1307" s="9" t="s">
        <v>3608</v>
      </c>
      <c r="G1307" s="9" t="s">
        <v>3609</v>
      </c>
      <c r="H1307" s="12" t="s">
        <v>3610</v>
      </c>
      <c r="I1307" s="10">
        <v>45590</v>
      </c>
    </row>
    <row r="1308" spans="1:9" x14ac:dyDescent="0.15">
      <c r="A1308" s="9">
        <v>1307</v>
      </c>
      <c r="B1308" s="9" t="s">
        <v>9</v>
      </c>
      <c r="C1308" s="9">
        <v>1920</v>
      </c>
      <c r="D1308" s="10">
        <v>45677</v>
      </c>
      <c r="E1308" s="13" t="str">
        <f>+HYPERLINK("http://trademark.i-assist.jp/data/china/image_1920th/81582941.pdf","81582941")</f>
        <v>81582941</v>
      </c>
      <c r="F1308" s="9" t="s">
        <v>3611</v>
      </c>
      <c r="G1308" s="9" t="s">
        <v>3612</v>
      </c>
      <c r="H1308" s="9" t="s">
        <v>3613</v>
      </c>
      <c r="I1308" s="10">
        <v>45590</v>
      </c>
    </row>
    <row r="1309" spans="1:9" x14ac:dyDescent="0.15">
      <c r="A1309" s="9">
        <v>1308</v>
      </c>
      <c r="B1309" s="9" t="s">
        <v>9</v>
      </c>
      <c r="C1309" s="9">
        <v>1920</v>
      </c>
      <c r="D1309" s="10">
        <v>45677</v>
      </c>
      <c r="E1309" s="13" t="str">
        <f>+HYPERLINK("http://trademark.i-assist.jp/data/china/image_1920th/81583114.pdf","81583114")</f>
        <v>81583114</v>
      </c>
      <c r="F1309" s="9" t="s">
        <v>3614</v>
      </c>
      <c r="G1309" s="12" t="s">
        <v>3562</v>
      </c>
      <c r="H1309" s="9" t="s">
        <v>3615</v>
      </c>
      <c r="I1309" s="10">
        <v>45590</v>
      </c>
    </row>
    <row r="1310" spans="1:9" x14ac:dyDescent="0.15">
      <c r="A1310" s="9">
        <v>1309</v>
      </c>
      <c r="B1310" s="9" t="s">
        <v>9</v>
      </c>
      <c r="C1310" s="9">
        <v>1920</v>
      </c>
      <c r="D1310" s="10">
        <v>45677</v>
      </c>
      <c r="E1310" s="13" t="str">
        <f>+HYPERLINK("http://trademark.i-assist.jp/data/china/image_1920th/81583134.pdf","81583134")</f>
        <v>81583134</v>
      </c>
      <c r="F1310" s="9" t="s">
        <v>3616</v>
      </c>
      <c r="G1310" s="9" t="s">
        <v>3617</v>
      </c>
      <c r="H1310" s="12" t="s">
        <v>3618</v>
      </c>
      <c r="I1310" s="10">
        <v>45590</v>
      </c>
    </row>
    <row r="1311" spans="1:9" x14ac:dyDescent="0.15">
      <c r="A1311" s="9">
        <v>1310</v>
      </c>
      <c r="B1311" s="9" t="s">
        <v>9</v>
      </c>
      <c r="C1311" s="9">
        <v>1920</v>
      </c>
      <c r="D1311" s="10">
        <v>45677</v>
      </c>
      <c r="E1311" s="13" t="str">
        <f>+HYPERLINK("http://trademark.i-assist.jp/data/china/image_1920th/81583172.pdf","81583172")</f>
        <v>81583172</v>
      </c>
      <c r="F1311" s="12" t="s">
        <v>3619</v>
      </c>
      <c r="G1311" s="9" t="s">
        <v>3620</v>
      </c>
      <c r="H1311" s="9" t="s">
        <v>3621</v>
      </c>
      <c r="I1311" s="10">
        <v>45590</v>
      </c>
    </row>
    <row r="1312" spans="1:9" x14ac:dyDescent="0.15">
      <c r="A1312" s="9">
        <v>1311</v>
      </c>
      <c r="B1312" s="9" t="s">
        <v>9</v>
      </c>
      <c r="C1312" s="9">
        <v>1920</v>
      </c>
      <c r="D1312" s="10">
        <v>45677</v>
      </c>
      <c r="E1312" s="13" t="str">
        <f>+HYPERLINK("http://trademark.i-assist.jp/data/china/image_1920th/81583751.pdf","81583751")</f>
        <v>81583751</v>
      </c>
      <c r="F1312" s="9" t="s">
        <v>3622</v>
      </c>
      <c r="G1312" s="9" t="s">
        <v>3623</v>
      </c>
      <c r="H1312" s="9" t="s">
        <v>3624</v>
      </c>
      <c r="I1312" s="10">
        <v>45590</v>
      </c>
    </row>
    <row r="1313" spans="1:9" x14ac:dyDescent="0.15">
      <c r="A1313" s="9">
        <v>1312</v>
      </c>
      <c r="B1313" s="9" t="s">
        <v>9</v>
      </c>
      <c r="C1313" s="9">
        <v>1920</v>
      </c>
      <c r="D1313" s="10">
        <v>45677</v>
      </c>
      <c r="E1313" s="13" t="str">
        <f>+HYPERLINK("http://trademark.i-assist.jp/data/china/image_1920th/81583759.pdf","81583759")</f>
        <v>81583759</v>
      </c>
      <c r="F1313" s="9" t="s">
        <v>3625</v>
      </c>
      <c r="G1313" s="9" t="s">
        <v>133</v>
      </c>
      <c r="H1313" s="9" t="s">
        <v>3626</v>
      </c>
      <c r="I1313" s="10">
        <v>45590</v>
      </c>
    </row>
    <row r="1314" spans="1:9" x14ac:dyDescent="0.15">
      <c r="A1314" s="9">
        <v>1313</v>
      </c>
      <c r="B1314" s="9" t="s">
        <v>9</v>
      </c>
      <c r="C1314" s="9">
        <v>1920</v>
      </c>
      <c r="D1314" s="10">
        <v>45677</v>
      </c>
      <c r="E1314" s="13" t="str">
        <f>+HYPERLINK("http://trademark.i-assist.jp/data/china/image_1920th/81584041.pdf","81584041")</f>
        <v>81584041</v>
      </c>
      <c r="F1314" s="9" t="s">
        <v>3627</v>
      </c>
      <c r="G1314" s="12" t="s">
        <v>3628</v>
      </c>
      <c r="H1314" s="9" t="s">
        <v>3629</v>
      </c>
      <c r="I1314" s="10">
        <v>45590</v>
      </c>
    </row>
    <row r="1315" spans="1:9" x14ac:dyDescent="0.15">
      <c r="A1315" s="9">
        <v>1314</v>
      </c>
      <c r="B1315" s="9" t="s">
        <v>9</v>
      </c>
      <c r="C1315" s="9">
        <v>1920</v>
      </c>
      <c r="D1315" s="10">
        <v>45677</v>
      </c>
      <c r="E1315" s="13" t="str">
        <f>+HYPERLINK("http://trademark.i-assist.jp/data/china/image_1920th/81584152.pdf","81584152")</f>
        <v>81584152</v>
      </c>
      <c r="F1315" s="9" t="s">
        <v>3630</v>
      </c>
      <c r="G1315" s="9" t="s">
        <v>151</v>
      </c>
      <c r="H1315" s="9" t="s">
        <v>3631</v>
      </c>
      <c r="I1315" s="10">
        <v>45590</v>
      </c>
    </row>
    <row r="1316" spans="1:9" x14ac:dyDescent="0.15">
      <c r="A1316" s="9">
        <v>1315</v>
      </c>
      <c r="B1316" s="9" t="s">
        <v>9</v>
      </c>
      <c r="C1316" s="9">
        <v>1920</v>
      </c>
      <c r="D1316" s="10">
        <v>45677</v>
      </c>
      <c r="E1316" s="13" t="str">
        <f>+HYPERLINK("http://trademark.i-assist.jp/data/china/image_1920th/81584230.pdf","81584230")</f>
        <v>81584230</v>
      </c>
      <c r="F1316" s="9" t="s">
        <v>3632</v>
      </c>
      <c r="G1316" s="9" t="s">
        <v>3633</v>
      </c>
      <c r="H1316" s="9" t="s">
        <v>3634</v>
      </c>
      <c r="I1316" s="10">
        <v>45590</v>
      </c>
    </row>
    <row r="1317" spans="1:9" x14ac:dyDescent="0.15">
      <c r="A1317" s="9">
        <v>1316</v>
      </c>
      <c r="B1317" s="9" t="s">
        <v>9</v>
      </c>
      <c r="C1317" s="9">
        <v>1920</v>
      </c>
      <c r="D1317" s="10">
        <v>45677</v>
      </c>
      <c r="E1317" s="13" t="str">
        <f>+HYPERLINK("http://trademark.i-assist.jp/data/china/image_1920th/81584537.pdf","81584537")</f>
        <v>81584537</v>
      </c>
      <c r="F1317" s="12" t="s">
        <v>3635</v>
      </c>
      <c r="G1317" s="9" t="s">
        <v>3600</v>
      </c>
      <c r="H1317" s="9" t="s">
        <v>3636</v>
      </c>
      <c r="I1317" s="10">
        <v>45590</v>
      </c>
    </row>
    <row r="1318" spans="1:9" x14ac:dyDescent="0.15">
      <c r="A1318" s="9">
        <v>1317</v>
      </c>
      <c r="B1318" s="9" t="s">
        <v>9</v>
      </c>
      <c r="C1318" s="9">
        <v>1920</v>
      </c>
      <c r="D1318" s="10">
        <v>45677</v>
      </c>
      <c r="E1318" s="13" t="str">
        <f>+HYPERLINK("http://trademark.i-assist.jp/data/china/image_1920th/81584776.pdf","81584776")</f>
        <v>81584776</v>
      </c>
      <c r="F1318" s="9" t="s">
        <v>3637</v>
      </c>
      <c r="G1318" s="9" t="s">
        <v>3638</v>
      </c>
      <c r="H1318" s="12" t="s">
        <v>3639</v>
      </c>
      <c r="I1318" s="10">
        <v>45590</v>
      </c>
    </row>
    <row r="1319" spans="1:9" x14ac:dyDescent="0.15">
      <c r="A1319" s="9">
        <v>1318</v>
      </c>
      <c r="B1319" s="9" t="s">
        <v>9</v>
      </c>
      <c r="C1319" s="9">
        <v>1920</v>
      </c>
      <c r="D1319" s="10">
        <v>45677</v>
      </c>
      <c r="E1319" s="13" t="str">
        <f>+HYPERLINK("http://trademark.i-assist.jp/data/china/image_1920th/81585104.pdf","81585104")</f>
        <v>81585104</v>
      </c>
      <c r="F1319" s="9" t="s">
        <v>3640</v>
      </c>
      <c r="G1319" s="9" t="s">
        <v>3641</v>
      </c>
      <c r="H1319" s="9" t="s">
        <v>3642</v>
      </c>
      <c r="I1319" s="10">
        <v>45590</v>
      </c>
    </row>
    <row r="1320" spans="1:9" x14ac:dyDescent="0.15">
      <c r="A1320" s="9">
        <v>1319</v>
      </c>
      <c r="B1320" s="9" t="s">
        <v>9</v>
      </c>
      <c r="C1320" s="9">
        <v>1920</v>
      </c>
      <c r="D1320" s="10">
        <v>45677</v>
      </c>
      <c r="E1320" s="13" t="str">
        <f>+HYPERLINK("http://trademark.i-assist.jp/data/china/image_1920th/81585262.pdf","81585262")</f>
        <v>81585262</v>
      </c>
      <c r="F1320" s="9" t="s">
        <v>3643</v>
      </c>
      <c r="G1320" s="9" t="s">
        <v>3644</v>
      </c>
      <c r="H1320" s="12" t="s">
        <v>3645</v>
      </c>
      <c r="I1320" s="10">
        <v>45590</v>
      </c>
    </row>
    <row r="1321" spans="1:9" x14ac:dyDescent="0.15">
      <c r="A1321" s="9">
        <v>1320</v>
      </c>
      <c r="B1321" s="9" t="s">
        <v>9</v>
      </c>
      <c r="C1321" s="9">
        <v>1920</v>
      </c>
      <c r="D1321" s="10">
        <v>45677</v>
      </c>
      <c r="E1321" s="13" t="str">
        <f>+HYPERLINK("http://trademark.i-assist.jp/data/china/image_1920th/81585661.pdf","81585661")</f>
        <v>81585661</v>
      </c>
      <c r="F1321" s="12" t="s">
        <v>3646</v>
      </c>
      <c r="G1321" s="12" t="s">
        <v>147</v>
      </c>
      <c r="H1321" s="9" t="s">
        <v>3647</v>
      </c>
      <c r="I1321" s="10">
        <v>45590</v>
      </c>
    </row>
    <row r="1322" spans="1:9" x14ac:dyDescent="0.15">
      <c r="A1322" s="9">
        <v>1321</v>
      </c>
      <c r="B1322" s="9" t="s">
        <v>9</v>
      </c>
      <c r="C1322" s="9">
        <v>1920</v>
      </c>
      <c r="D1322" s="10">
        <v>45677</v>
      </c>
      <c r="E1322" s="13" t="str">
        <f>+HYPERLINK("http://trademark.i-assist.jp/data/china/image_1920th/81585909.pdf","81585909")</f>
        <v>81585909</v>
      </c>
      <c r="F1322" s="9" t="s">
        <v>3648</v>
      </c>
      <c r="G1322" s="9" t="s">
        <v>148</v>
      </c>
      <c r="H1322" s="9" t="s">
        <v>3649</v>
      </c>
      <c r="I1322" s="10">
        <v>45590</v>
      </c>
    </row>
    <row r="1323" spans="1:9" x14ac:dyDescent="0.15">
      <c r="A1323" s="9">
        <v>1322</v>
      </c>
      <c r="B1323" s="9" t="s">
        <v>9</v>
      </c>
      <c r="C1323" s="9">
        <v>1920</v>
      </c>
      <c r="D1323" s="10">
        <v>45677</v>
      </c>
      <c r="E1323" s="13" t="str">
        <f>+HYPERLINK("http://trademark.i-assist.jp/data/china/image_1920th/81585933.pdf","81585933")</f>
        <v>81585933</v>
      </c>
      <c r="F1323" s="9" t="s">
        <v>3650</v>
      </c>
      <c r="G1323" s="9" t="s">
        <v>148</v>
      </c>
      <c r="H1323" s="9" t="s">
        <v>3651</v>
      </c>
      <c r="I1323" s="10">
        <v>45590</v>
      </c>
    </row>
    <row r="1324" spans="1:9" x14ac:dyDescent="0.15">
      <c r="A1324" s="9">
        <v>1323</v>
      </c>
      <c r="B1324" s="9" t="s">
        <v>9</v>
      </c>
      <c r="C1324" s="9">
        <v>1920</v>
      </c>
      <c r="D1324" s="10">
        <v>45677</v>
      </c>
      <c r="E1324" s="13" t="str">
        <f>+HYPERLINK("http://trademark.i-assist.jp/data/china/image_1920th/81586030.pdf","81586030")</f>
        <v>81586030</v>
      </c>
      <c r="F1324" s="9" t="s">
        <v>3652</v>
      </c>
      <c r="G1324" s="9" t="s">
        <v>3653</v>
      </c>
      <c r="H1324" s="9" t="s">
        <v>3654</v>
      </c>
      <c r="I1324" s="10">
        <v>45590</v>
      </c>
    </row>
    <row r="1325" spans="1:9" x14ac:dyDescent="0.15">
      <c r="A1325" s="9">
        <v>1324</v>
      </c>
      <c r="B1325" s="9" t="s">
        <v>9</v>
      </c>
      <c r="C1325" s="9">
        <v>1920</v>
      </c>
      <c r="D1325" s="10">
        <v>45677</v>
      </c>
      <c r="E1325" s="13" t="str">
        <f>+HYPERLINK("http://trademark.i-assist.jp/data/china/image_1920th/81586306.pdf","81586306")</f>
        <v>81586306</v>
      </c>
      <c r="F1325" s="9" t="s">
        <v>3655</v>
      </c>
      <c r="G1325" s="9" t="s">
        <v>3656</v>
      </c>
      <c r="H1325" s="9" t="s">
        <v>3657</v>
      </c>
      <c r="I1325" s="10">
        <v>45590</v>
      </c>
    </row>
    <row r="1326" spans="1:9" x14ac:dyDescent="0.15">
      <c r="A1326" s="9">
        <v>1325</v>
      </c>
      <c r="B1326" s="9" t="s">
        <v>9</v>
      </c>
      <c r="C1326" s="9">
        <v>1920</v>
      </c>
      <c r="D1326" s="10">
        <v>45677</v>
      </c>
      <c r="E1326" s="13" t="str">
        <f>+HYPERLINK("http://trademark.i-assist.jp/data/china/image_1920th/81586315.pdf","81586315")</f>
        <v>81586315</v>
      </c>
      <c r="F1326" s="9" t="s">
        <v>3658</v>
      </c>
      <c r="G1326" s="9" t="s">
        <v>3659</v>
      </c>
      <c r="H1326" s="9" t="s">
        <v>3660</v>
      </c>
      <c r="I1326" s="10">
        <v>45590</v>
      </c>
    </row>
    <row r="1327" spans="1:9" x14ac:dyDescent="0.15">
      <c r="A1327" s="9">
        <v>1326</v>
      </c>
      <c r="B1327" s="9" t="s">
        <v>9</v>
      </c>
      <c r="C1327" s="9">
        <v>1920</v>
      </c>
      <c r="D1327" s="10">
        <v>45677</v>
      </c>
      <c r="E1327" s="13" t="str">
        <f>+HYPERLINK("http://trademark.i-assist.jp/data/china/image_1920th/81586487.pdf","81586487")</f>
        <v>81586487</v>
      </c>
      <c r="F1327" s="12" t="s">
        <v>3661</v>
      </c>
      <c r="G1327" s="12" t="s">
        <v>3662</v>
      </c>
      <c r="H1327" s="9" t="s">
        <v>3663</v>
      </c>
      <c r="I1327" s="10">
        <v>45590</v>
      </c>
    </row>
    <row r="1328" spans="1:9" x14ac:dyDescent="0.15">
      <c r="A1328" s="9">
        <v>1327</v>
      </c>
      <c r="B1328" s="9" t="s">
        <v>9</v>
      </c>
      <c r="C1328" s="9">
        <v>1920</v>
      </c>
      <c r="D1328" s="10">
        <v>45677</v>
      </c>
      <c r="E1328" s="13" t="str">
        <f>+HYPERLINK("http://trademark.i-assist.jp/data/china/image_1920th/81586736.pdf","81586736")</f>
        <v>81586736</v>
      </c>
      <c r="F1328" s="9" t="s">
        <v>3664</v>
      </c>
      <c r="G1328" s="12" t="s">
        <v>3665</v>
      </c>
      <c r="H1328" s="9" t="s">
        <v>3666</v>
      </c>
      <c r="I1328" s="10">
        <v>45590</v>
      </c>
    </row>
    <row r="1329" spans="1:9" x14ac:dyDescent="0.15">
      <c r="A1329" s="9">
        <v>1328</v>
      </c>
      <c r="B1329" s="9" t="s">
        <v>9</v>
      </c>
      <c r="C1329" s="9">
        <v>1920</v>
      </c>
      <c r="D1329" s="10">
        <v>45677</v>
      </c>
      <c r="E1329" s="13" t="str">
        <f>+HYPERLINK("http://trademark.i-assist.jp/data/china/image_1920th/81586841.pdf","81586841")</f>
        <v>81586841</v>
      </c>
      <c r="F1329" s="9" t="s">
        <v>3667</v>
      </c>
      <c r="G1329" s="9" t="s">
        <v>3668</v>
      </c>
      <c r="H1329" s="12" t="s">
        <v>3669</v>
      </c>
      <c r="I1329" s="10">
        <v>45590</v>
      </c>
    </row>
    <row r="1330" spans="1:9" x14ac:dyDescent="0.15">
      <c r="A1330" s="9">
        <v>1329</v>
      </c>
      <c r="B1330" s="9" t="s">
        <v>9</v>
      </c>
      <c r="C1330" s="9">
        <v>1920</v>
      </c>
      <c r="D1330" s="10">
        <v>45677</v>
      </c>
      <c r="E1330" s="13" t="str">
        <f>+HYPERLINK("http://trademark.i-assist.jp/data/china/image_1920th/81587454.pdf","81587454")</f>
        <v>81587454</v>
      </c>
      <c r="F1330" s="9" t="s">
        <v>3670</v>
      </c>
      <c r="G1330" s="9" t="s">
        <v>3671</v>
      </c>
      <c r="H1330" s="9" t="s">
        <v>3672</v>
      </c>
      <c r="I1330" s="10">
        <v>45590</v>
      </c>
    </row>
    <row r="1331" spans="1:9" x14ac:dyDescent="0.15">
      <c r="A1331" s="9">
        <v>1330</v>
      </c>
      <c r="B1331" s="9" t="s">
        <v>9</v>
      </c>
      <c r="C1331" s="9">
        <v>1920</v>
      </c>
      <c r="D1331" s="10">
        <v>45677</v>
      </c>
      <c r="E1331" s="13" t="str">
        <f>+HYPERLINK("http://trademark.i-assist.jp/data/china/image_1920th/81587665.pdf","81587665")</f>
        <v>81587665</v>
      </c>
      <c r="F1331" s="9" t="s">
        <v>3673</v>
      </c>
      <c r="G1331" s="12" t="s">
        <v>129</v>
      </c>
      <c r="H1331" s="9" t="s">
        <v>3674</v>
      </c>
      <c r="I1331" s="10">
        <v>45590</v>
      </c>
    </row>
    <row r="1332" spans="1:9" x14ac:dyDescent="0.15">
      <c r="A1332" s="9">
        <v>1331</v>
      </c>
      <c r="B1332" s="9" t="s">
        <v>9</v>
      </c>
      <c r="C1332" s="9">
        <v>1920</v>
      </c>
      <c r="D1332" s="10">
        <v>45677</v>
      </c>
      <c r="E1332" s="13" t="str">
        <f>+HYPERLINK("http://trademark.i-assist.jp/data/china/image_1920th/81587805.pdf","81587805")</f>
        <v>81587805</v>
      </c>
      <c r="F1332" s="9" t="s">
        <v>3675</v>
      </c>
      <c r="G1332" s="9" t="s">
        <v>3676</v>
      </c>
      <c r="H1332" s="12" t="s">
        <v>3677</v>
      </c>
      <c r="I1332" s="10">
        <v>45590</v>
      </c>
    </row>
    <row r="1333" spans="1:9" x14ac:dyDescent="0.15">
      <c r="A1333" s="9">
        <v>1332</v>
      </c>
      <c r="B1333" s="9" t="s">
        <v>9</v>
      </c>
      <c r="C1333" s="9">
        <v>1920</v>
      </c>
      <c r="D1333" s="10">
        <v>45677</v>
      </c>
      <c r="E1333" s="13" t="str">
        <f>+HYPERLINK("http://trademark.i-assist.jp/data/china/image_1920th/81588058.pdf","81588058")</f>
        <v>81588058</v>
      </c>
      <c r="F1333" s="9" t="s">
        <v>3678</v>
      </c>
      <c r="G1333" s="9" t="s">
        <v>3679</v>
      </c>
      <c r="H1333" s="9" t="s">
        <v>3680</v>
      </c>
      <c r="I1333" s="10">
        <v>45590</v>
      </c>
    </row>
    <row r="1334" spans="1:9" x14ac:dyDescent="0.15">
      <c r="A1334" s="9">
        <v>1333</v>
      </c>
      <c r="B1334" s="9" t="s">
        <v>9</v>
      </c>
      <c r="C1334" s="9">
        <v>1920</v>
      </c>
      <c r="D1334" s="10">
        <v>45677</v>
      </c>
      <c r="E1334" s="13" t="str">
        <f>+HYPERLINK("http://trademark.i-assist.jp/data/china/image_1920th/81588279.pdf","81588279")</f>
        <v>81588279</v>
      </c>
      <c r="F1334" s="12" t="s">
        <v>12</v>
      </c>
      <c r="G1334" s="9" t="s">
        <v>3681</v>
      </c>
      <c r="H1334" s="9" t="s">
        <v>3682</v>
      </c>
      <c r="I1334" s="10">
        <v>45590</v>
      </c>
    </row>
    <row r="1335" spans="1:9" x14ac:dyDescent="0.15">
      <c r="A1335" s="9">
        <v>1334</v>
      </c>
      <c r="B1335" s="9" t="s">
        <v>9</v>
      </c>
      <c r="C1335" s="9">
        <v>1920</v>
      </c>
      <c r="D1335" s="10">
        <v>45677</v>
      </c>
      <c r="E1335" s="13" t="str">
        <f>+HYPERLINK("http://trademark.i-assist.jp/data/china/image_1920th/81588647.pdf","81588647")</f>
        <v>81588647</v>
      </c>
      <c r="F1335" s="12" t="s">
        <v>3683</v>
      </c>
      <c r="G1335" s="9" t="s">
        <v>3684</v>
      </c>
      <c r="H1335" s="9" t="s">
        <v>3685</v>
      </c>
      <c r="I1335" s="10">
        <v>45590</v>
      </c>
    </row>
    <row r="1336" spans="1:9" x14ac:dyDescent="0.15">
      <c r="A1336" s="9">
        <v>1335</v>
      </c>
      <c r="B1336" s="9" t="s">
        <v>9</v>
      </c>
      <c r="C1336" s="9">
        <v>1920</v>
      </c>
      <c r="D1336" s="10">
        <v>45677</v>
      </c>
      <c r="E1336" s="13" t="str">
        <f>+HYPERLINK("http://trademark.i-assist.jp/data/china/image_1920th/81588697.pdf","81588697")</f>
        <v>81588697</v>
      </c>
      <c r="F1336" s="9" t="s">
        <v>3686</v>
      </c>
      <c r="G1336" s="9" t="s">
        <v>3687</v>
      </c>
      <c r="H1336" s="9" t="s">
        <v>3688</v>
      </c>
      <c r="I1336" s="10">
        <v>45590</v>
      </c>
    </row>
    <row r="1337" spans="1:9" x14ac:dyDescent="0.15">
      <c r="A1337" s="9">
        <v>1336</v>
      </c>
      <c r="B1337" s="9" t="s">
        <v>9</v>
      </c>
      <c r="C1337" s="9">
        <v>1920</v>
      </c>
      <c r="D1337" s="10">
        <v>45677</v>
      </c>
      <c r="E1337" s="13" t="str">
        <f>+HYPERLINK("http://trademark.i-assist.jp/data/china/image_1920th/81588838.pdf","81588838")</f>
        <v>81588838</v>
      </c>
      <c r="F1337" s="9" t="s">
        <v>3689</v>
      </c>
      <c r="G1337" s="9" t="s">
        <v>3690</v>
      </c>
      <c r="H1337" s="9" t="s">
        <v>3691</v>
      </c>
      <c r="I1337" s="10">
        <v>45590</v>
      </c>
    </row>
    <row r="1338" spans="1:9" x14ac:dyDescent="0.15">
      <c r="A1338" s="9">
        <v>1337</v>
      </c>
      <c r="B1338" s="9" t="s">
        <v>9</v>
      </c>
      <c r="C1338" s="9">
        <v>1920</v>
      </c>
      <c r="D1338" s="10">
        <v>45677</v>
      </c>
      <c r="E1338" s="13" t="str">
        <f>+HYPERLINK("http://trademark.i-assist.jp/data/china/image_1920th/81588878.pdf","81588878")</f>
        <v>81588878</v>
      </c>
      <c r="F1338" s="12" t="s">
        <v>12</v>
      </c>
      <c r="G1338" s="9" t="s">
        <v>3692</v>
      </c>
      <c r="H1338" s="9" t="s">
        <v>3693</v>
      </c>
      <c r="I1338" s="10">
        <v>45590</v>
      </c>
    </row>
    <row r="1339" spans="1:9" x14ac:dyDescent="0.15">
      <c r="A1339" s="9">
        <v>1338</v>
      </c>
      <c r="B1339" s="9" t="s">
        <v>9</v>
      </c>
      <c r="C1339" s="9">
        <v>1920</v>
      </c>
      <c r="D1339" s="10">
        <v>45677</v>
      </c>
      <c r="E1339" s="13" t="str">
        <f>+HYPERLINK("http://trademark.i-assist.jp/data/china/image_1920th/81589415.pdf","81589415")</f>
        <v>81589415</v>
      </c>
      <c r="F1339" s="9" t="s">
        <v>3694</v>
      </c>
      <c r="G1339" s="9" t="s">
        <v>3695</v>
      </c>
      <c r="H1339" s="12" t="s">
        <v>3696</v>
      </c>
      <c r="I1339" s="10">
        <v>45590</v>
      </c>
    </row>
    <row r="1340" spans="1:9" x14ac:dyDescent="0.15">
      <c r="A1340" s="9">
        <v>1339</v>
      </c>
      <c r="B1340" s="9" t="s">
        <v>9</v>
      </c>
      <c r="C1340" s="9">
        <v>1920</v>
      </c>
      <c r="D1340" s="10">
        <v>45677</v>
      </c>
      <c r="E1340" s="13" t="str">
        <f>+HYPERLINK("http://trademark.i-assist.jp/data/china/image_1920th/81589608.pdf","81589608")</f>
        <v>81589608</v>
      </c>
      <c r="F1340" s="9" t="s">
        <v>3697</v>
      </c>
      <c r="G1340" s="9" t="s">
        <v>3698</v>
      </c>
      <c r="H1340" s="9" t="s">
        <v>3699</v>
      </c>
      <c r="I1340" s="10">
        <v>45590</v>
      </c>
    </row>
    <row r="1341" spans="1:9" x14ac:dyDescent="0.15">
      <c r="A1341" s="9">
        <v>1340</v>
      </c>
      <c r="B1341" s="9" t="s">
        <v>9</v>
      </c>
      <c r="C1341" s="9">
        <v>1920</v>
      </c>
      <c r="D1341" s="10">
        <v>45677</v>
      </c>
      <c r="E1341" s="13" t="str">
        <f>+HYPERLINK("http://trademark.i-assist.jp/data/china/image_1920th/81590135.pdf","81590135")</f>
        <v>81590135</v>
      </c>
      <c r="F1341" s="12" t="s">
        <v>3700</v>
      </c>
      <c r="G1341" s="9" t="s">
        <v>148</v>
      </c>
      <c r="H1341" s="12" t="s">
        <v>3701</v>
      </c>
      <c r="I1341" s="10">
        <v>45590</v>
      </c>
    </row>
    <row r="1342" spans="1:9" x14ac:dyDescent="0.15">
      <c r="A1342" s="9">
        <v>1341</v>
      </c>
      <c r="B1342" s="9" t="s">
        <v>9</v>
      </c>
      <c r="C1342" s="9">
        <v>1920</v>
      </c>
      <c r="D1342" s="10">
        <v>45677</v>
      </c>
      <c r="E1342" s="13" t="str">
        <f>+HYPERLINK("http://trademark.i-assist.jp/data/china/image_1920th/81590552.pdf","81590552")</f>
        <v>81590552</v>
      </c>
      <c r="F1342" s="9" t="s">
        <v>3702</v>
      </c>
      <c r="G1342" s="9" t="s">
        <v>3703</v>
      </c>
      <c r="H1342" s="9" t="s">
        <v>3704</v>
      </c>
      <c r="I1342" s="10">
        <v>45590</v>
      </c>
    </row>
    <row r="1343" spans="1:9" x14ac:dyDescent="0.15">
      <c r="A1343" s="9">
        <v>1342</v>
      </c>
      <c r="B1343" s="9" t="s">
        <v>9</v>
      </c>
      <c r="C1343" s="9">
        <v>1920</v>
      </c>
      <c r="D1343" s="10">
        <v>45677</v>
      </c>
      <c r="E1343" s="13" t="str">
        <f>+HYPERLINK("http://trademark.i-assist.jp/data/china/image_1920th/81591018.pdf","81591018")</f>
        <v>81591018</v>
      </c>
      <c r="F1343" s="9" t="s">
        <v>3705</v>
      </c>
      <c r="G1343" s="12" t="s">
        <v>3562</v>
      </c>
      <c r="H1343" s="9" t="s">
        <v>3706</v>
      </c>
      <c r="I1343" s="10">
        <v>45590</v>
      </c>
    </row>
    <row r="1344" spans="1:9" x14ac:dyDescent="0.15">
      <c r="A1344" s="9">
        <v>1343</v>
      </c>
      <c r="B1344" s="9" t="s">
        <v>9</v>
      </c>
      <c r="C1344" s="9">
        <v>1920</v>
      </c>
      <c r="D1344" s="10">
        <v>45677</v>
      </c>
      <c r="E1344" s="13" t="str">
        <f>+HYPERLINK("http://trademark.i-assist.jp/data/china/image_1920th/81591070.pdf","81591070")</f>
        <v>81591070</v>
      </c>
      <c r="F1344" s="12" t="s">
        <v>3707</v>
      </c>
      <c r="G1344" s="9" t="s">
        <v>3708</v>
      </c>
      <c r="H1344" s="9" t="s">
        <v>3709</v>
      </c>
      <c r="I1344" s="10">
        <v>45590</v>
      </c>
    </row>
    <row r="1345" spans="1:9" x14ac:dyDescent="0.15">
      <c r="A1345" s="9">
        <v>1344</v>
      </c>
      <c r="B1345" s="9" t="s">
        <v>9</v>
      </c>
      <c r="C1345" s="9">
        <v>1920</v>
      </c>
      <c r="D1345" s="10">
        <v>45677</v>
      </c>
      <c r="E1345" s="13" t="str">
        <f>+HYPERLINK("http://trademark.i-assist.jp/data/china/image_1920th/81591078.pdf","81591078")</f>
        <v>81591078</v>
      </c>
      <c r="F1345" s="9" t="s">
        <v>3710</v>
      </c>
      <c r="G1345" s="12" t="s">
        <v>3662</v>
      </c>
      <c r="H1345" s="9" t="s">
        <v>3711</v>
      </c>
      <c r="I1345" s="10">
        <v>45590</v>
      </c>
    </row>
    <row r="1346" spans="1:9" x14ac:dyDescent="0.15">
      <c r="A1346" s="9">
        <v>1345</v>
      </c>
      <c r="B1346" s="9" t="s">
        <v>9</v>
      </c>
      <c r="C1346" s="9">
        <v>1920</v>
      </c>
      <c r="D1346" s="10">
        <v>45677</v>
      </c>
      <c r="E1346" s="13" t="str">
        <f>+HYPERLINK("http://trademark.i-assist.jp/data/china/image_1920th/81591095.pdf","81591095")</f>
        <v>81591095</v>
      </c>
      <c r="F1346" s="9" t="s">
        <v>3712</v>
      </c>
      <c r="G1346" s="9" t="s">
        <v>3713</v>
      </c>
      <c r="H1346" s="9" t="s">
        <v>3714</v>
      </c>
      <c r="I1346" s="10">
        <v>45590</v>
      </c>
    </row>
    <row r="1347" spans="1:9" x14ac:dyDescent="0.15">
      <c r="A1347" s="9">
        <v>1346</v>
      </c>
      <c r="B1347" s="9" t="s">
        <v>9</v>
      </c>
      <c r="C1347" s="9">
        <v>1920</v>
      </c>
      <c r="D1347" s="10">
        <v>45677</v>
      </c>
      <c r="E1347" s="13" t="str">
        <f>+HYPERLINK("http://trademark.i-assist.jp/data/china/image_1920th/81591261.pdf","81591261")</f>
        <v>81591261</v>
      </c>
      <c r="F1347" s="9" t="s">
        <v>3715</v>
      </c>
      <c r="G1347" s="9" t="s">
        <v>3692</v>
      </c>
      <c r="H1347" s="9" t="s">
        <v>3716</v>
      </c>
      <c r="I1347" s="10">
        <v>45590</v>
      </c>
    </row>
    <row r="1348" spans="1:9" x14ac:dyDescent="0.15">
      <c r="A1348" s="9">
        <v>1347</v>
      </c>
      <c r="B1348" s="9" t="s">
        <v>9</v>
      </c>
      <c r="C1348" s="9">
        <v>1920</v>
      </c>
      <c r="D1348" s="10">
        <v>45677</v>
      </c>
      <c r="E1348" s="13" t="str">
        <f>+HYPERLINK("http://trademark.i-assist.jp/data/china/image_1920th/81591269.pdf","81591269")</f>
        <v>81591269</v>
      </c>
      <c r="F1348" s="9" t="s">
        <v>3717</v>
      </c>
      <c r="G1348" s="9" t="s">
        <v>26</v>
      </c>
      <c r="H1348" s="9" t="s">
        <v>3718</v>
      </c>
      <c r="I1348" s="10">
        <v>45590</v>
      </c>
    </row>
    <row r="1349" spans="1:9" x14ac:dyDescent="0.15">
      <c r="A1349" s="9">
        <v>1348</v>
      </c>
      <c r="B1349" s="9" t="s">
        <v>9</v>
      </c>
      <c r="C1349" s="9">
        <v>1920</v>
      </c>
      <c r="D1349" s="10">
        <v>45677</v>
      </c>
      <c r="E1349" s="13" t="str">
        <f>+HYPERLINK("http://trademark.i-assist.jp/data/china/image_1920th/81591320.pdf","81591320")</f>
        <v>81591320</v>
      </c>
      <c r="F1349" s="9" t="s">
        <v>3719</v>
      </c>
      <c r="G1349" s="9" t="s">
        <v>3556</v>
      </c>
      <c r="H1349" s="9" t="s">
        <v>3720</v>
      </c>
      <c r="I1349" s="10">
        <v>45590</v>
      </c>
    </row>
    <row r="1350" spans="1:9" x14ac:dyDescent="0.15">
      <c r="A1350" s="9">
        <v>1349</v>
      </c>
      <c r="B1350" s="9" t="s">
        <v>9</v>
      </c>
      <c r="C1350" s="9">
        <v>1920</v>
      </c>
      <c r="D1350" s="10">
        <v>45677</v>
      </c>
      <c r="E1350" s="13" t="str">
        <f>+HYPERLINK("http://trademark.i-assist.jp/data/china/image_1920th/81591858.pdf","81591858")</f>
        <v>81591858</v>
      </c>
      <c r="F1350" s="9" t="s">
        <v>3721</v>
      </c>
      <c r="G1350" s="12" t="s">
        <v>3722</v>
      </c>
      <c r="H1350" s="9" t="s">
        <v>3723</v>
      </c>
      <c r="I1350" s="10">
        <v>45590</v>
      </c>
    </row>
    <row r="1351" spans="1:9" x14ac:dyDescent="0.15">
      <c r="A1351" s="9">
        <v>1350</v>
      </c>
      <c r="B1351" s="9" t="s">
        <v>9</v>
      </c>
      <c r="C1351" s="9">
        <v>1920</v>
      </c>
      <c r="D1351" s="10">
        <v>45677</v>
      </c>
      <c r="E1351" s="13" t="str">
        <f>+HYPERLINK("http://trademark.i-assist.jp/data/china/image_1920th/81592181.pdf","81592181")</f>
        <v>81592181</v>
      </c>
      <c r="F1351" s="9" t="s">
        <v>3724</v>
      </c>
      <c r="G1351" s="9" t="s">
        <v>3725</v>
      </c>
      <c r="H1351" s="9" t="s">
        <v>3726</v>
      </c>
      <c r="I1351" s="10">
        <v>45590</v>
      </c>
    </row>
    <row r="1352" spans="1:9" x14ac:dyDescent="0.15">
      <c r="A1352" s="9">
        <v>1351</v>
      </c>
      <c r="B1352" s="9" t="s">
        <v>9</v>
      </c>
      <c r="C1352" s="9">
        <v>1920</v>
      </c>
      <c r="D1352" s="10">
        <v>45677</v>
      </c>
      <c r="E1352" s="13" t="str">
        <f>+HYPERLINK("http://trademark.i-assist.jp/data/china/image_1920th/81592196.pdf","81592196")</f>
        <v>81592196</v>
      </c>
      <c r="F1352" s="9" t="s">
        <v>3727</v>
      </c>
      <c r="G1352" s="9" t="s">
        <v>3728</v>
      </c>
      <c r="H1352" s="12" t="s">
        <v>3729</v>
      </c>
      <c r="I1352" s="10">
        <v>45590</v>
      </c>
    </row>
    <row r="1353" spans="1:9" x14ac:dyDescent="0.15">
      <c r="A1353" s="9">
        <v>1352</v>
      </c>
      <c r="B1353" s="9" t="s">
        <v>9</v>
      </c>
      <c r="C1353" s="9">
        <v>1920</v>
      </c>
      <c r="D1353" s="10">
        <v>45677</v>
      </c>
      <c r="E1353" s="13" t="str">
        <f>+HYPERLINK("http://trademark.i-assist.jp/data/china/image_1920th/81592265.pdf","81592265")</f>
        <v>81592265</v>
      </c>
      <c r="F1353" s="9" t="s">
        <v>3730</v>
      </c>
      <c r="G1353" s="12" t="s">
        <v>3731</v>
      </c>
      <c r="H1353" s="9" t="s">
        <v>3732</v>
      </c>
      <c r="I1353" s="10">
        <v>45590</v>
      </c>
    </row>
    <row r="1354" spans="1:9" x14ac:dyDescent="0.15">
      <c r="A1354" s="9">
        <v>1353</v>
      </c>
      <c r="B1354" s="9" t="s">
        <v>9</v>
      </c>
      <c r="C1354" s="9">
        <v>1920</v>
      </c>
      <c r="D1354" s="10">
        <v>45677</v>
      </c>
      <c r="E1354" s="13" t="str">
        <f>+HYPERLINK("http://trademark.i-assist.jp/data/china/image_1920th/81592478.pdf","81592478")</f>
        <v>81592478</v>
      </c>
      <c r="F1354" s="9" t="s">
        <v>3733</v>
      </c>
      <c r="G1354" s="9" t="s">
        <v>3734</v>
      </c>
      <c r="H1354" s="9" t="s">
        <v>3735</v>
      </c>
      <c r="I1354" s="10">
        <v>45590</v>
      </c>
    </row>
    <row r="1355" spans="1:9" x14ac:dyDescent="0.15">
      <c r="A1355" s="9">
        <v>1354</v>
      </c>
      <c r="B1355" s="9" t="s">
        <v>9</v>
      </c>
      <c r="C1355" s="9">
        <v>1920</v>
      </c>
      <c r="D1355" s="10">
        <v>45677</v>
      </c>
      <c r="E1355" s="13" t="str">
        <f>+HYPERLINK("http://trademark.i-assist.jp/data/china/image_1920th/81592505.pdf","81592505")</f>
        <v>81592505</v>
      </c>
      <c r="F1355" s="9" t="s">
        <v>3736</v>
      </c>
      <c r="G1355" s="9" t="s">
        <v>3737</v>
      </c>
      <c r="H1355" s="9" t="s">
        <v>3738</v>
      </c>
      <c r="I1355" s="10">
        <v>45590</v>
      </c>
    </row>
    <row r="1356" spans="1:9" x14ac:dyDescent="0.15">
      <c r="A1356" s="9">
        <v>1355</v>
      </c>
      <c r="B1356" s="9" t="s">
        <v>9</v>
      </c>
      <c r="C1356" s="9">
        <v>1920</v>
      </c>
      <c r="D1356" s="10">
        <v>45677</v>
      </c>
      <c r="E1356" s="13" t="str">
        <f>+HYPERLINK("http://trademark.i-assist.jp/data/china/image_1920th/81592965.pdf","81592965")</f>
        <v>81592965</v>
      </c>
      <c r="F1356" s="9" t="s">
        <v>3739</v>
      </c>
      <c r="G1356" s="9" t="s">
        <v>145</v>
      </c>
      <c r="H1356" s="9" t="s">
        <v>3740</v>
      </c>
      <c r="I1356" s="10">
        <v>45590</v>
      </c>
    </row>
    <row r="1357" spans="1:9" x14ac:dyDescent="0.15">
      <c r="A1357" s="9">
        <v>1356</v>
      </c>
      <c r="B1357" s="9" t="s">
        <v>9</v>
      </c>
      <c r="C1357" s="9">
        <v>1920</v>
      </c>
      <c r="D1357" s="10">
        <v>45677</v>
      </c>
      <c r="E1357" s="13" t="str">
        <f>+HYPERLINK("http://trademark.i-assist.jp/data/china/image_1920th/81593045.pdf","81593045")</f>
        <v>81593045</v>
      </c>
      <c r="F1357" s="9" t="s">
        <v>3741</v>
      </c>
      <c r="G1357" s="12" t="s">
        <v>3742</v>
      </c>
      <c r="H1357" s="9" t="s">
        <v>3743</v>
      </c>
      <c r="I1357" s="10">
        <v>45590</v>
      </c>
    </row>
    <row r="1358" spans="1:9" x14ac:dyDescent="0.15">
      <c r="A1358" s="9">
        <v>1357</v>
      </c>
      <c r="B1358" s="9" t="s">
        <v>9</v>
      </c>
      <c r="C1358" s="9">
        <v>1920</v>
      </c>
      <c r="D1358" s="10">
        <v>45677</v>
      </c>
      <c r="E1358" s="13" t="str">
        <f>+HYPERLINK("http://trademark.i-assist.jp/data/china/image_1920th/81593453.pdf","81593453")</f>
        <v>81593453</v>
      </c>
      <c r="F1358" s="12" t="s">
        <v>3744</v>
      </c>
      <c r="G1358" s="9" t="s">
        <v>3745</v>
      </c>
      <c r="H1358" s="9" t="s">
        <v>3746</v>
      </c>
      <c r="I1358" s="10">
        <v>45590</v>
      </c>
    </row>
    <row r="1359" spans="1:9" x14ac:dyDescent="0.15">
      <c r="A1359" s="9">
        <v>1358</v>
      </c>
      <c r="B1359" s="9" t="s">
        <v>9</v>
      </c>
      <c r="C1359" s="9">
        <v>1920</v>
      </c>
      <c r="D1359" s="10">
        <v>45677</v>
      </c>
      <c r="E1359" s="13" t="str">
        <f>+HYPERLINK("http://trademark.i-assist.jp/data/china/image_1920th/81593653.pdf","81593653")</f>
        <v>81593653</v>
      </c>
      <c r="F1359" s="9" t="s">
        <v>3747</v>
      </c>
      <c r="G1359" s="12" t="s">
        <v>3748</v>
      </c>
      <c r="H1359" s="9" t="s">
        <v>3749</v>
      </c>
      <c r="I1359" s="10">
        <v>45590</v>
      </c>
    </row>
    <row r="1360" spans="1:9" x14ac:dyDescent="0.15">
      <c r="A1360" s="9">
        <v>1359</v>
      </c>
      <c r="B1360" s="9" t="s">
        <v>9</v>
      </c>
      <c r="C1360" s="9">
        <v>1920</v>
      </c>
      <c r="D1360" s="10">
        <v>45677</v>
      </c>
      <c r="E1360" s="13" t="str">
        <f>+HYPERLINK("http://trademark.i-assist.jp/data/china/image_1920th/81593689.pdf","81593689")</f>
        <v>81593689</v>
      </c>
      <c r="F1360" s="12" t="s">
        <v>3750</v>
      </c>
      <c r="G1360" s="9" t="s">
        <v>3600</v>
      </c>
      <c r="H1360" s="9" t="s">
        <v>3751</v>
      </c>
      <c r="I1360" s="10">
        <v>45590</v>
      </c>
    </row>
    <row r="1361" spans="1:9" x14ac:dyDescent="0.15">
      <c r="A1361" s="9">
        <v>1360</v>
      </c>
      <c r="B1361" s="9" t="s">
        <v>9</v>
      </c>
      <c r="C1361" s="9">
        <v>1920</v>
      </c>
      <c r="D1361" s="10">
        <v>45677</v>
      </c>
      <c r="E1361" s="13" t="str">
        <f>+HYPERLINK("http://trademark.i-assist.jp/data/china/image_1920th/81593994.pdf","81593994")</f>
        <v>81593994</v>
      </c>
      <c r="F1361" s="9" t="s">
        <v>3752</v>
      </c>
      <c r="G1361" s="9" t="s">
        <v>3737</v>
      </c>
      <c r="H1361" s="9" t="s">
        <v>3753</v>
      </c>
      <c r="I1361" s="10">
        <v>45590</v>
      </c>
    </row>
    <row r="1362" spans="1:9" x14ac:dyDescent="0.15">
      <c r="A1362" s="9">
        <v>1361</v>
      </c>
      <c r="B1362" s="9" t="s">
        <v>9</v>
      </c>
      <c r="C1362" s="9">
        <v>1920</v>
      </c>
      <c r="D1362" s="10">
        <v>45677</v>
      </c>
      <c r="E1362" s="13" t="str">
        <f>+HYPERLINK("http://trademark.i-assist.jp/data/china/image_1920th/81594082.pdf","81594082")</f>
        <v>81594082</v>
      </c>
      <c r="F1362" s="12" t="s">
        <v>3754</v>
      </c>
      <c r="G1362" s="9" t="s">
        <v>3755</v>
      </c>
      <c r="H1362" s="12" t="s">
        <v>3756</v>
      </c>
      <c r="I1362" s="10">
        <v>45590</v>
      </c>
    </row>
    <row r="1363" spans="1:9" x14ac:dyDescent="0.15">
      <c r="A1363" s="9">
        <v>1362</v>
      </c>
      <c r="B1363" s="9" t="s">
        <v>9</v>
      </c>
      <c r="C1363" s="9">
        <v>1920</v>
      </c>
      <c r="D1363" s="10">
        <v>45677</v>
      </c>
      <c r="E1363" s="13" t="str">
        <f>+HYPERLINK("http://trademark.i-assist.jp/data/china/image_1920th/81594101.pdf","81594101")</f>
        <v>81594101</v>
      </c>
      <c r="F1363" s="9" t="s">
        <v>3757</v>
      </c>
      <c r="G1363" s="12" t="s">
        <v>18</v>
      </c>
      <c r="H1363" s="9" t="s">
        <v>3758</v>
      </c>
      <c r="I1363" s="10">
        <v>45590</v>
      </c>
    </row>
    <row r="1364" spans="1:9" x14ac:dyDescent="0.15">
      <c r="A1364" s="9">
        <v>1363</v>
      </c>
      <c r="B1364" s="9" t="s">
        <v>9</v>
      </c>
      <c r="C1364" s="9">
        <v>1920</v>
      </c>
      <c r="D1364" s="10">
        <v>45677</v>
      </c>
      <c r="E1364" s="13" t="str">
        <f>+HYPERLINK("http://trademark.i-assist.jp/data/china/image_1920th/81594246.pdf","81594246")</f>
        <v>81594246</v>
      </c>
      <c r="F1364" s="12" t="s">
        <v>3759</v>
      </c>
      <c r="G1364" s="9" t="s">
        <v>3760</v>
      </c>
      <c r="H1364" s="9" t="s">
        <v>3761</v>
      </c>
      <c r="I1364" s="10">
        <v>45590</v>
      </c>
    </row>
    <row r="1365" spans="1:9" x14ac:dyDescent="0.15">
      <c r="A1365" s="9">
        <v>1364</v>
      </c>
      <c r="B1365" s="9" t="s">
        <v>9</v>
      </c>
      <c r="C1365" s="9">
        <v>1920</v>
      </c>
      <c r="D1365" s="10">
        <v>45677</v>
      </c>
      <c r="E1365" s="13" t="str">
        <f>+HYPERLINK("http://trademark.i-assist.jp/data/china/image_1920th/81594313.pdf","81594313")</f>
        <v>81594313</v>
      </c>
      <c r="F1365" s="9" t="s">
        <v>3762</v>
      </c>
      <c r="G1365" s="9" t="s">
        <v>3763</v>
      </c>
      <c r="H1365" s="9" t="s">
        <v>3764</v>
      </c>
      <c r="I1365" s="10">
        <v>45590</v>
      </c>
    </row>
    <row r="1366" spans="1:9" x14ac:dyDescent="0.15">
      <c r="A1366" s="9">
        <v>1365</v>
      </c>
      <c r="B1366" s="9" t="s">
        <v>9</v>
      </c>
      <c r="C1366" s="9">
        <v>1920</v>
      </c>
      <c r="D1366" s="10">
        <v>45677</v>
      </c>
      <c r="E1366" s="13" t="str">
        <f>+HYPERLINK("http://trademark.i-assist.jp/data/china/image_1920th/81594353.pdf","81594353")</f>
        <v>81594353</v>
      </c>
      <c r="F1366" s="9" t="s">
        <v>3765</v>
      </c>
      <c r="G1366" s="9" t="s">
        <v>3766</v>
      </c>
      <c r="H1366" s="9" t="s">
        <v>3767</v>
      </c>
      <c r="I1366" s="10">
        <v>45590</v>
      </c>
    </row>
    <row r="1367" spans="1:9" x14ac:dyDescent="0.15">
      <c r="A1367" s="9">
        <v>1366</v>
      </c>
      <c r="B1367" s="9" t="s">
        <v>9</v>
      </c>
      <c r="C1367" s="9">
        <v>1920</v>
      </c>
      <c r="D1367" s="10">
        <v>45677</v>
      </c>
      <c r="E1367" s="13" t="str">
        <f>+HYPERLINK("http://trademark.i-assist.jp/data/china/image_1920th/81594683.pdf","81594683")</f>
        <v>81594683</v>
      </c>
      <c r="F1367" s="12" t="s">
        <v>12</v>
      </c>
      <c r="G1367" s="9" t="s">
        <v>3768</v>
      </c>
      <c r="H1367" s="9" t="s">
        <v>3769</v>
      </c>
      <c r="I1367" s="10">
        <v>45590</v>
      </c>
    </row>
    <row r="1368" spans="1:9" x14ac:dyDescent="0.15">
      <c r="A1368" s="9">
        <v>1367</v>
      </c>
      <c r="B1368" s="9" t="s">
        <v>9</v>
      </c>
      <c r="C1368" s="9">
        <v>1920</v>
      </c>
      <c r="D1368" s="10">
        <v>45677</v>
      </c>
      <c r="E1368" s="13" t="str">
        <f>+HYPERLINK("http://trademark.i-assist.jp/data/china/image_1920th/81594853.pdf","81594853")</f>
        <v>81594853</v>
      </c>
      <c r="F1368" s="12" t="s">
        <v>3770</v>
      </c>
      <c r="G1368" s="9" t="s">
        <v>3771</v>
      </c>
      <c r="H1368" s="9" t="s">
        <v>3772</v>
      </c>
      <c r="I1368" s="10">
        <v>45590</v>
      </c>
    </row>
    <row r="1369" spans="1:9" x14ac:dyDescent="0.15">
      <c r="A1369" s="9">
        <v>1368</v>
      </c>
      <c r="B1369" s="9" t="s">
        <v>9</v>
      </c>
      <c r="C1369" s="9">
        <v>1920</v>
      </c>
      <c r="D1369" s="10">
        <v>45677</v>
      </c>
      <c r="E1369" s="13" t="str">
        <f>+HYPERLINK("http://trademark.i-assist.jp/data/china/image_1920th/81594936.pdf","81594936")</f>
        <v>81594936</v>
      </c>
      <c r="F1369" s="9" t="s">
        <v>3773</v>
      </c>
      <c r="G1369" s="9" t="s">
        <v>3774</v>
      </c>
      <c r="H1369" s="9" t="s">
        <v>3775</v>
      </c>
      <c r="I1369" s="10">
        <v>45590</v>
      </c>
    </row>
    <row r="1370" spans="1:9" x14ac:dyDescent="0.15">
      <c r="A1370" s="9">
        <v>1369</v>
      </c>
      <c r="B1370" s="9" t="s">
        <v>9</v>
      </c>
      <c r="C1370" s="9">
        <v>1920</v>
      </c>
      <c r="D1370" s="10">
        <v>45677</v>
      </c>
      <c r="E1370" s="13" t="str">
        <f>+HYPERLINK("http://trademark.i-assist.jp/data/china/image_1920th/81595250.pdf","81595250")</f>
        <v>81595250</v>
      </c>
      <c r="F1370" s="9" t="s">
        <v>3776</v>
      </c>
      <c r="G1370" s="12" t="s">
        <v>3722</v>
      </c>
      <c r="H1370" s="9" t="s">
        <v>3777</v>
      </c>
      <c r="I1370" s="10">
        <v>45590</v>
      </c>
    </row>
    <row r="1371" spans="1:9" x14ac:dyDescent="0.15">
      <c r="A1371" s="9">
        <v>1370</v>
      </c>
      <c r="B1371" s="9" t="s">
        <v>9</v>
      </c>
      <c r="C1371" s="9">
        <v>1920</v>
      </c>
      <c r="D1371" s="10">
        <v>45677</v>
      </c>
      <c r="E1371" s="13" t="str">
        <f>+HYPERLINK("http://trademark.i-assist.jp/data/china/image_1920th/81595274.pdf","81595274")</f>
        <v>81595274</v>
      </c>
      <c r="F1371" s="12" t="s">
        <v>3778</v>
      </c>
      <c r="G1371" s="12" t="s">
        <v>3779</v>
      </c>
      <c r="H1371" s="12" t="s">
        <v>3780</v>
      </c>
      <c r="I1371" s="10">
        <v>45590</v>
      </c>
    </row>
    <row r="1372" spans="1:9" x14ac:dyDescent="0.15">
      <c r="A1372" s="9">
        <v>1371</v>
      </c>
      <c r="B1372" s="9" t="s">
        <v>9</v>
      </c>
      <c r="C1372" s="9">
        <v>1920</v>
      </c>
      <c r="D1372" s="10">
        <v>45677</v>
      </c>
      <c r="E1372" s="13" t="str">
        <f>+HYPERLINK("http://trademark.i-assist.jp/data/china/image_1920th/81595483.pdf","81595483")</f>
        <v>81595483</v>
      </c>
      <c r="F1372" s="9" t="s">
        <v>3781</v>
      </c>
      <c r="G1372" s="9" t="s">
        <v>3782</v>
      </c>
      <c r="H1372" s="12" t="s">
        <v>3783</v>
      </c>
      <c r="I1372" s="10">
        <v>45590</v>
      </c>
    </row>
    <row r="1373" spans="1:9" x14ac:dyDescent="0.15">
      <c r="A1373" s="9">
        <v>1372</v>
      </c>
      <c r="B1373" s="9" t="s">
        <v>9</v>
      </c>
      <c r="C1373" s="9">
        <v>1920</v>
      </c>
      <c r="D1373" s="10">
        <v>45677</v>
      </c>
      <c r="E1373" s="13" t="str">
        <f>+HYPERLINK("http://trademark.i-assist.jp/data/china/image_1920th/81595745.pdf","81595745")</f>
        <v>81595745</v>
      </c>
      <c r="F1373" s="12" t="s">
        <v>3784</v>
      </c>
      <c r="G1373" s="12" t="s">
        <v>3785</v>
      </c>
      <c r="H1373" s="9" t="s">
        <v>3786</v>
      </c>
      <c r="I1373" s="10">
        <v>45590</v>
      </c>
    </row>
    <row r="1374" spans="1:9" x14ac:dyDescent="0.15">
      <c r="A1374" s="9">
        <v>1373</v>
      </c>
      <c r="B1374" s="9" t="s">
        <v>9</v>
      </c>
      <c r="C1374" s="9">
        <v>1920</v>
      </c>
      <c r="D1374" s="10">
        <v>45677</v>
      </c>
      <c r="E1374" s="13" t="str">
        <f>+HYPERLINK("http://trademark.i-assist.jp/data/china/image_1920th/81595771.pdf","81595771")</f>
        <v>81595771</v>
      </c>
      <c r="F1374" s="9" t="s">
        <v>3787</v>
      </c>
      <c r="G1374" s="9" t="s">
        <v>3788</v>
      </c>
      <c r="H1374" s="9" t="s">
        <v>3789</v>
      </c>
      <c r="I1374" s="10">
        <v>45590</v>
      </c>
    </row>
    <row r="1375" spans="1:9" x14ac:dyDescent="0.15">
      <c r="A1375" s="9">
        <v>1374</v>
      </c>
      <c r="B1375" s="9" t="s">
        <v>9</v>
      </c>
      <c r="C1375" s="9">
        <v>1920</v>
      </c>
      <c r="D1375" s="10">
        <v>45677</v>
      </c>
      <c r="E1375" s="13" t="str">
        <f>+HYPERLINK("http://trademark.i-assist.jp/data/china/image_1920th/81595844.pdf","81595844")</f>
        <v>81595844</v>
      </c>
      <c r="F1375" s="12" t="s">
        <v>3790</v>
      </c>
      <c r="G1375" s="12" t="s">
        <v>18</v>
      </c>
      <c r="H1375" s="9" t="s">
        <v>3791</v>
      </c>
      <c r="I1375" s="10">
        <v>45590</v>
      </c>
    </row>
    <row r="1376" spans="1:9" x14ac:dyDescent="0.15">
      <c r="A1376" s="9">
        <v>1375</v>
      </c>
      <c r="B1376" s="9" t="s">
        <v>9</v>
      </c>
      <c r="C1376" s="9">
        <v>1920</v>
      </c>
      <c r="D1376" s="10">
        <v>45677</v>
      </c>
      <c r="E1376" s="13" t="str">
        <f>+HYPERLINK("http://trademark.i-assist.jp/data/china/image_1920th/81595902.pdf","81595902")</f>
        <v>81595902</v>
      </c>
      <c r="F1376" s="9" t="s">
        <v>3792</v>
      </c>
      <c r="G1376" s="12" t="s">
        <v>3793</v>
      </c>
      <c r="H1376" s="9" t="s">
        <v>3794</v>
      </c>
      <c r="I1376" s="10">
        <v>45590</v>
      </c>
    </row>
    <row r="1377" spans="1:9" x14ac:dyDescent="0.15">
      <c r="A1377" s="9">
        <v>1376</v>
      </c>
      <c r="B1377" s="9" t="s">
        <v>9</v>
      </c>
      <c r="C1377" s="9">
        <v>1920</v>
      </c>
      <c r="D1377" s="10">
        <v>45677</v>
      </c>
      <c r="E1377" s="13" t="str">
        <f>+HYPERLINK("http://trademark.i-assist.jp/data/china/image_1920th/81596035.pdf","81596035")</f>
        <v>81596035</v>
      </c>
      <c r="F1377" s="9" t="s">
        <v>3795</v>
      </c>
      <c r="G1377" s="9" t="s">
        <v>3796</v>
      </c>
      <c r="H1377" s="9" t="s">
        <v>3797</v>
      </c>
      <c r="I1377" s="10">
        <v>45590</v>
      </c>
    </row>
    <row r="1378" spans="1:9" x14ac:dyDescent="0.15">
      <c r="A1378" s="9">
        <v>1377</v>
      </c>
      <c r="B1378" s="9" t="s">
        <v>9</v>
      </c>
      <c r="C1378" s="9">
        <v>1920</v>
      </c>
      <c r="D1378" s="10">
        <v>45677</v>
      </c>
      <c r="E1378" s="13" t="str">
        <f>+HYPERLINK("http://trademark.i-assist.jp/data/china/image_1920th/81596670.pdf","81596670")</f>
        <v>81596670</v>
      </c>
      <c r="F1378" s="9" t="s">
        <v>3798</v>
      </c>
      <c r="G1378" s="9" t="s">
        <v>148</v>
      </c>
      <c r="H1378" s="9" t="s">
        <v>3799</v>
      </c>
      <c r="I1378" s="10">
        <v>45590</v>
      </c>
    </row>
    <row r="1379" spans="1:9" x14ac:dyDescent="0.15">
      <c r="A1379" s="9">
        <v>1378</v>
      </c>
      <c r="B1379" s="9" t="s">
        <v>9</v>
      </c>
      <c r="C1379" s="9">
        <v>1920</v>
      </c>
      <c r="D1379" s="10">
        <v>45677</v>
      </c>
      <c r="E1379" s="13" t="str">
        <f>+HYPERLINK("http://trademark.i-assist.jp/data/china/image_1920th/81597017.pdf","81597017")</f>
        <v>81597017</v>
      </c>
      <c r="F1379" s="9" t="s">
        <v>3800</v>
      </c>
      <c r="G1379" s="9" t="s">
        <v>148</v>
      </c>
      <c r="H1379" s="9" t="s">
        <v>3801</v>
      </c>
      <c r="I1379" s="10">
        <v>45590</v>
      </c>
    </row>
    <row r="1380" spans="1:9" x14ac:dyDescent="0.15">
      <c r="A1380" s="9">
        <v>1379</v>
      </c>
      <c r="B1380" s="9" t="s">
        <v>9</v>
      </c>
      <c r="C1380" s="9">
        <v>1920</v>
      </c>
      <c r="D1380" s="10">
        <v>45677</v>
      </c>
      <c r="E1380" s="13" t="str">
        <f>+HYPERLINK("http://trademark.i-assist.jp/data/china/image_1920th/81597026.pdf","81597026")</f>
        <v>81597026</v>
      </c>
      <c r="F1380" s="12" t="s">
        <v>3802</v>
      </c>
      <c r="G1380" s="9" t="s">
        <v>148</v>
      </c>
      <c r="H1380" s="12" t="s">
        <v>3803</v>
      </c>
      <c r="I1380" s="10">
        <v>45590</v>
      </c>
    </row>
    <row r="1381" spans="1:9" x14ac:dyDescent="0.15">
      <c r="A1381" s="9">
        <v>1380</v>
      </c>
      <c r="B1381" s="9" t="s">
        <v>9</v>
      </c>
      <c r="C1381" s="9">
        <v>1920</v>
      </c>
      <c r="D1381" s="10">
        <v>45677</v>
      </c>
      <c r="E1381" s="13" t="str">
        <f>+HYPERLINK("http://trademark.i-assist.jp/data/china/image_1920th/81597386.pdf","81597386")</f>
        <v>81597386</v>
      </c>
      <c r="F1381" s="9" t="s">
        <v>3804</v>
      </c>
      <c r="G1381" s="9" t="s">
        <v>3805</v>
      </c>
      <c r="H1381" s="9" t="s">
        <v>3806</v>
      </c>
      <c r="I1381" s="10">
        <v>45590</v>
      </c>
    </row>
    <row r="1382" spans="1:9" x14ac:dyDescent="0.15">
      <c r="A1382" s="9">
        <v>1381</v>
      </c>
      <c r="B1382" s="9" t="s">
        <v>9</v>
      </c>
      <c r="C1382" s="9">
        <v>1920</v>
      </c>
      <c r="D1382" s="10">
        <v>45677</v>
      </c>
      <c r="E1382" s="13" t="str">
        <f>+HYPERLINK("http://trademark.i-assist.jp/data/china/image_1920th/81598074.pdf","81598074")</f>
        <v>81598074</v>
      </c>
      <c r="F1382" s="9" t="s">
        <v>3807</v>
      </c>
      <c r="G1382" s="12" t="s">
        <v>3662</v>
      </c>
      <c r="H1382" s="12" t="s">
        <v>3808</v>
      </c>
      <c r="I1382" s="10">
        <v>45590</v>
      </c>
    </row>
    <row r="1383" spans="1:9" x14ac:dyDescent="0.15">
      <c r="A1383" s="9">
        <v>1382</v>
      </c>
      <c r="B1383" s="9" t="s">
        <v>9</v>
      </c>
      <c r="C1383" s="9">
        <v>1920</v>
      </c>
      <c r="D1383" s="10">
        <v>45677</v>
      </c>
      <c r="E1383" s="13" t="str">
        <f>+HYPERLINK("http://trademark.i-assist.jp/data/china/image_1920th/81598470.pdf","81598470")</f>
        <v>81598470</v>
      </c>
      <c r="F1383" s="9" t="s">
        <v>3809</v>
      </c>
      <c r="G1383" s="9" t="s">
        <v>3810</v>
      </c>
      <c r="H1383" s="12" t="s">
        <v>3811</v>
      </c>
      <c r="I1383" s="10">
        <v>45590</v>
      </c>
    </row>
    <row r="1384" spans="1:9" x14ac:dyDescent="0.15">
      <c r="A1384" s="9">
        <v>1383</v>
      </c>
      <c r="B1384" s="9" t="s">
        <v>9</v>
      </c>
      <c r="C1384" s="9">
        <v>1920</v>
      </c>
      <c r="D1384" s="10">
        <v>45677</v>
      </c>
      <c r="E1384" s="13" t="str">
        <f>+HYPERLINK("http://trademark.i-assist.jp/data/china/image_1920th/81598955.pdf","81598955")</f>
        <v>81598955</v>
      </c>
      <c r="F1384" s="12" t="s">
        <v>12</v>
      </c>
      <c r="G1384" s="9" t="s">
        <v>3812</v>
      </c>
      <c r="H1384" s="9" t="s">
        <v>3813</v>
      </c>
      <c r="I1384" s="10">
        <v>45590</v>
      </c>
    </row>
    <row r="1385" spans="1:9" x14ac:dyDescent="0.15">
      <c r="A1385" s="9">
        <v>1384</v>
      </c>
      <c r="B1385" s="9" t="s">
        <v>9</v>
      </c>
      <c r="C1385" s="9">
        <v>1920</v>
      </c>
      <c r="D1385" s="10">
        <v>45677</v>
      </c>
      <c r="E1385" s="13" t="str">
        <f>+HYPERLINK("http://trademark.i-assist.jp/data/china/image_1920th/81599065.pdf","81599065")</f>
        <v>81599065</v>
      </c>
      <c r="F1385" s="12" t="s">
        <v>3814</v>
      </c>
      <c r="G1385" s="9" t="s">
        <v>99</v>
      </c>
      <c r="H1385" s="12" t="s">
        <v>3815</v>
      </c>
      <c r="I1385" s="10">
        <v>45590</v>
      </c>
    </row>
    <row r="1386" spans="1:9" x14ac:dyDescent="0.15">
      <c r="A1386" s="9">
        <v>1385</v>
      </c>
      <c r="B1386" s="9" t="s">
        <v>9</v>
      </c>
      <c r="C1386" s="9">
        <v>1920</v>
      </c>
      <c r="D1386" s="10">
        <v>45677</v>
      </c>
      <c r="E1386" s="13" t="str">
        <f>+HYPERLINK("http://trademark.i-assist.jp/data/china/image_1920th/81599223.pdf","81599223")</f>
        <v>81599223</v>
      </c>
      <c r="F1386" s="9" t="s">
        <v>3816</v>
      </c>
      <c r="G1386" s="9" t="s">
        <v>3817</v>
      </c>
      <c r="H1386" s="9" t="s">
        <v>3818</v>
      </c>
      <c r="I1386" s="10">
        <v>45590</v>
      </c>
    </row>
    <row r="1387" spans="1:9" x14ac:dyDescent="0.15">
      <c r="A1387" s="9">
        <v>1386</v>
      </c>
      <c r="B1387" s="9" t="s">
        <v>9</v>
      </c>
      <c r="C1387" s="9">
        <v>1920</v>
      </c>
      <c r="D1387" s="10">
        <v>45677</v>
      </c>
      <c r="E1387" s="13" t="str">
        <f>+HYPERLINK("http://trademark.i-assist.jp/data/china/image_1920th/81599290.pdf","81599290")</f>
        <v>81599290</v>
      </c>
      <c r="F1387" s="9" t="s">
        <v>3819</v>
      </c>
      <c r="G1387" s="9" t="s">
        <v>3820</v>
      </c>
      <c r="H1387" s="9" t="s">
        <v>3821</v>
      </c>
      <c r="I1387" s="10">
        <v>45590</v>
      </c>
    </row>
    <row r="1388" spans="1:9" x14ac:dyDescent="0.15">
      <c r="A1388" s="9">
        <v>1387</v>
      </c>
      <c r="B1388" s="9" t="s">
        <v>9</v>
      </c>
      <c r="C1388" s="9">
        <v>1920</v>
      </c>
      <c r="D1388" s="10">
        <v>45677</v>
      </c>
      <c r="E1388" s="13" t="str">
        <f>+HYPERLINK("http://trademark.i-assist.jp/data/china/image_1920th/81600197.pdf","81600197")</f>
        <v>81600197</v>
      </c>
      <c r="F1388" s="12" t="s">
        <v>3822</v>
      </c>
      <c r="G1388" s="9" t="s">
        <v>3823</v>
      </c>
      <c r="H1388" s="9" t="s">
        <v>3824</v>
      </c>
      <c r="I1388" s="10">
        <v>45590</v>
      </c>
    </row>
    <row r="1389" spans="1:9" x14ac:dyDescent="0.15">
      <c r="A1389" s="9">
        <v>1388</v>
      </c>
      <c r="B1389" s="9" t="s">
        <v>9</v>
      </c>
      <c r="C1389" s="9">
        <v>1920</v>
      </c>
      <c r="D1389" s="10">
        <v>45677</v>
      </c>
      <c r="E1389" s="13" t="str">
        <f>+HYPERLINK("http://trademark.i-assist.jp/data/china/image_1920th/81600319.pdf","81600319")</f>
        <v>81600319</v>
      </c>
      <c r="F1389" s="9" t="s">
        <v>3825</v>
      </c>
      <c r="G1389" s="9" t="s">
        <v>3826</v>
      </c>
      <c r="H1389" s="9" t="s">
        <v>3827</v>
      </c>
      <c r="I1389" s="10">
        <v>45590</v>
      </c>
    </row>
    <row r="1390" spans="1:9" x14ac:dyDescent="0.15">
      <c r="A1390" s="9">
        <v>1389</v>
      </c>
      <c r="B1390" s="9" t="s">
        <v>9</v>
      </c>
      <c r="C1390" s="9">
        <v>1920</v>
      </c>
      <c r="D1390" s="10">
        <v>45677</v>
      </c>
      <c r="E1390" s="13" t="str">
        <f>+HYPERLINK("http://trademark.i-assist.jp/data/china/image_1920th/81600855.pdf","81600855")</f>
        <v>81600855</v>
      </c>
      <c r="F1390" s="9" t="s">
        <v>3828</v>
      </c>
      <c r="G1390" s="9" t="s">
        <v>3829</v>
      </c>
      <c r="H1390" s="9" t="s">
        <v>3830</v>
      </c>
      <c r="I1390" s="10">
        <v>45590</v>
      </c>
    </row>
    <row r="1391" spans="1:9" x14ac:dyDescent="0.15">
      <c r="A1391" s="9">
        <v>1390</v>
      </c>
      <c r="B1391" s="9" t="s">
        <v>9</v>
      </c>
      <c r="C1391" s="9">
        <v>1920</v>
      </c>
      <c r="D1391" s="10">
        <v>45677</v>
      </c>
      <c r="E1391" s="13" t="str">
        <f>+HYPERLINK("http://trademark.i-assist.jp/data/china/image_1920th/81601134.pdf","81601134")</f>
        <v>81601134</v>
      </c>
      <c r="F1391" s="12" t="s">
        <v>3831</v>
      </c>
      <c r="G1391" s="9" t="s">
        <v>3832</v>
      </c>
      <c r="H1391" s="9" t="s">
        <v>3833</v>
      </c>
      <c r="I1391" s="10">
        <v>45590</v>
      </c>
    </row>
    <row r="1392" spans="1:9" x14ac:dyDescent="0.15">
      <c r="A1392" s="9">
        <v>1391</v>
      </c>
      <c r="B1392" s="9" t="s">
        <v>9</v>
      </c>
      <c r="C1392" s="9">
        <v>1920</v>
      </c>
      <c r="D1392" s="10">
        <v>45677</v>
      </c>
      <c r="E1392" s="13" t="str">
        <f>+HYPERLINK("http://trademark.i-assist.jp/data/china/image_1920th/81601195.pdf","81601195")</f>
        <v>81601195</v>
      </c>
      <c r="F1392" s="12" t="s">
        <v>3834</v>
      </c>
      <c r="G1392" s="12" t="s">
        <v>147</v>
      </c>
      <c r="H1392" s="9" t="s">
        <v>3835</v>
      </c>
      <c r="I1392" s="10">
        <v>45590</v>
      </c>
    </row>
    <row r="1393" spans="1:9" x14ac:dyDescent="0.15">
      <c r="A1393" s="9">
        <v>1392</v>
      </c>
      <c r="B1393" s="9" t="s">
        <v>9</v>
      </c>
      <c r="C1393" s="9">
        <v>1920</v>
      </c>
      <c r="D1393" s="10">
        <v>45677</v>
      </c>
      <c r="E1393" s="13" t="str">
        <f>+HYPERLINK("http://trademark.i-assist.jp/data/china/image_1920th/81601365.pdf","81601365")</f>
        <v>81601365</v>
      </c>
      <c r="F1393" s="9" t="s">
        <v>3836</v>
      </c>
      <c r="G1393" s="9" t="s">
        <v>3837</v>
      </c>
      <c r="H1393" s="9" t="s">
        <v>3838</v>
      </c>
      <c r="I1393" s="10">
        <v>45590</v>
      </c>
    </row>
    <row r="1394" spans="1:9" x14ac:dyDescent="0.15">
      <c r="A1394" s="9">
        <v>1393</v>
      </c>
      <c r="B1394" s="9" t="s">
        <v>9</v>
      </c>
      <c r="C1394" s="9">
        <v>1920</v>
      </c>
      <c r="D1394" s="10">
        <v>45677</v>
      </c>
      <c r="E1394" s="13" t="str">
        <f>+HYPERLINK("http://trademark.i-assist.jp/data/china/image_1920th/81601740.pdf","81601740")</f>
        <v>81601740</v>
      </c>
      <c r="F1394" s="12" t="s">
        <v>12</v>
      </c>
      <c r="G1394" s="9" t="s">
        <v>3839</v>
      </c>
      <c r="H1394" s="9" t="s">
        <v>3840</v>
      </c>
      <c r="I1394" s="10">
        <v>45590</v>
      </c>
    </row>
    <row r="1395" spans="1:9" x14ac:dyDescent="0.15">
      <c r="A1395" s="9">
        <v>1394</v>
      </c>
      <c r="B1395" s="9" t="s">
        <v>9</v>
      </c>
      <c r="C1395" s="9">
        <v>1920</v>
      </c>
      <c r="D1395" s="10">
        <v>45677</v>
      </c>
      <c r="E1395" s="13" t="str">
        <f>+HYPERLINK("http://trademark.i-assist.jp/data/china/image_1920th/81601819.pdf","81601819")</f>
        <v>81601819</v>
      </c>
      <c r="F1395" s="12" t="s">
        <v>12</v>
      </c>
      <c r="G1395" s="9" t="s">
        <v>3841</v>
      </c>
      <c r="H1395" s="9" t="s">
        <v>3842</v>
      </c>
      <c r="I1395" s="10">
        <v>45590</v>
      </c>
    </row>
    <row r="1396" spans="1:9" x14ac:dyDescent="0.15">
      <c r="A1396" s="9">
        <v>1395</v>
      </c>
      <c r="B1396" s="9" t="s">
        <v>9</v>
      </c>
      <c r="C1396" s="9">
        <v>1920</v>
      </c>
      <c r="D1396" s="10">
        <v>45677</v>
      </c>
      <c r="E1396" s="13" t="str">
        <f>+HYPERLINK("http://trademark.i-assist.jp/data/china/image_1920th/81602125.pdf","81602125")</f>
        <v>81602125</v>
      </c>
      <c r="F1396" s="12" t="s">
        <v>12</v>
      </c>
      <c r="G1396" s="9" t="s">
        <v>3843</v>
      </c>
      <c r="H1396" s="9" t="s">
        <v>3844</v>
      </c>
      <c r="I1396" s="10">
        <v>45591</v>
      </c>
    </row>
    <row r="1397" spans="1:9" x14ac:dyDescent="0.15">
      <c r="A1397" s="9">
        <v>1396</v>
      </c>
      <c r="B1397" s="9" t="s">
        <v>9</v>
      </c>
      <c r="C1397" s="9">
        <v>1920</v>
      </c>
      <c r="D1397" s="10">
        <v>45677</v>
      </c>
      <c r="E1397" s="13" t="str">
        <f>+HYPERLINK("http://trademark.i-assist.jp/data/china/image_1920th/81602242.pdf","81602242")</f>
        <v>81602242</v>
      </c>
      <c r="F1397" s="12" t="s">
        <v>12</v>
      </c>
      <c r="G1397" s="9" t="s">
        <v>3845</v>
      </c>
      <c r="H1397" s="9" t="s">
        <v>3846</v>
      </c>
      <c r="I1397" s="10">
        <v>45591</v>
      </c>
    </row>
    <row r="1398" spans="1:9" x14ac:dyDescent="0.15">
      <c r="A1398" s="9">
        <v>1397</v>
      </c>
      <c r="B1398" s="9" t="s">
        <v>9</v>
      </c>
      <c r="C1398" s="9">
        <v>1920</v>
      </c>
      <c r="D1398" s="10">
        <v>45677</v>
      </c>
      <c r="E1398" s="13" t="str">
        <f>+HYPERLINK("http://trademark.i-assist.jp/data/china/image_1920th/81602676.pdf","81602676")</f>
        <v>81602676</v>
      </c>
      <c r="F1398" s="12" t="s">
        <v>3847</v>
      </c>
      <c r="G1398" s="12" t="s">
        <v>3848</v>
      </c>
      <c r="H1398" s="9" t="s">
        <v>3849</v>
      </c>
      <c r="I1398" s="10">
        <v>45591</v>
      </c>
    </row>
    <row r="1399" spans="1:9" x14ac:dyDescent="0.15">
      <c r="A1399" s="9">
        <v>1398</v>
      </c>
      <c r="B1399" s="9" t="s">
        <v>9</v>
      </c>
      <c r="C1399" s="9">
        <v>1920</v>
      </c>
      <c r="D1399" s="10">
        <v>45677</v>
      </c>
      <c r="E1399" s="13" t="str">
        <f>+HYPERLINK("http://trademark.i-assist.jp/data/china/image_1920th/81602828.pdf","81602828")</f>
        <v>81602828</v>
      </c>
      <c r="F1399" s="9" t="s">
        <v>3850</v>
      </c>
      <c r="G1399" s="9" t="s">
        <v>3851</v>
      </c>
      <c r="H1399" s="9" t="s">
        <v>3852</v>
      </c>
      <c r="I1399" s="10">
        <v>45591</v>
      </c>
    </row>
    <row r="1400" spans="1:9" x14ac:dyDescent="0.15">
      <c r="A1400" s="9">
        <v>1399</v>
      </c>
      <c r="B1400" s="9" t="s">
        <v>9</v>
      </c>
      <c r="C1400" s="9">
        <v>1920</v>
      </c>
      <c r="D1400" s="10">
        <v>45677</v>
      </c>
      <c r="E1400" s="13" t="str">
        <f>+HYPERLINK("http://trademark.i-assist.jp/data/china/image_1920th/81603080.pdf","81603080")</f>
        <v>81603080</v>
      </c>
      <c r="F1400" s="9" t="s">
        <v>3853</v>
      </c>
      <c r="G1400" s="9" t="s">
        <v>3854</v>
      </c>
      <c r="H1400" s="9" t="s">
        <v>3855</v>
      </c>
      <c r="I1400" s="10">
        <v>45591</v>
      </c>
    </row>
    <row r="1401" spans="1:9" x14ac:dyDescent="0.15">
      <c r="A1401" s="9">
        <v>1400</v>
      </c>
      <c r="B1401" s="9" t="s">
        <v>9</v>
      </c>
      <c r="C1401" s="9">
        <v>1920</v>
      </c>
      <c r="D1401" s="10">
        <v>45677</v>
      </c>
      <c r="E1401" s="13" t="str">
        <f>+HYPERLINK("http://trademark.i-assist.jp/data/china/image_1920th/81603463.pdf","81603463")</f>
        <v>81603463</v>
      </c>
      <c r="F1401" s="9" t="s">
        <v>3856</v>
      </c>
      <c r="G1401" s="9" t="s">
        <v>3857</v>
      </c>
      <c r="H1401" s="9" t="s">
        <v>3858</v>
      </c>
      <c r="I1401" s="10">
        <v>45591</v>
      </c>
    </row>
    <row r="1402" spans="1:9" x14ac:dyDescent="0.15">
      <c r="A1402" s="9">
        <v>1401</v>
      </c>
      <c r="B1402" s="9" t="s">
        <v>9</v>
      </c>
      <c r="C1402" s="9">
        <v>1920</v>
      </c>
      <c r="D1402" s="10">
        <v>45677</v>
      </c>
      <c r="E1402" s="13" t="str">
        <f>+HYPERLINK("http://trademark.i-assist.jp/data/china/image_1920th/81603837.pdf","81603837")</f>
        <v>81603837</v>
      </c>
      <c r="F1402" s="9" t="s">
        <v>3859</v>
      </c>
      <c r="G1402" s="9" t="s">
        <v>3860</v>
      </c>
      <c r="H1402" s="9" t="s">
        <v>3861</v>
      </c>
      <c r="I1402" s="10">
        <v>45591</v>
      </c>
    </row>
    <row r="1403" spans="1:9" x14ac:dyDescent="0.15">
      <c r="A1403" s="9">
        <v>1402</v>
      </c>
      <c r="B1403" s="9" t="s">
        <v>9</v>
      </c>
      <c r="C1403" s="9">
        <v>1920</v>
      </c>
      <c r="D1403" s="10">
        <v>45677</v>
      </c>
      <c r="E1403" s="13" t="str">
        <f>+HYPERLINK("http://trademark.i-assist.jp/data/china/image_1920th/81603844.pdf","81603844")</f>
        <v>81603844</v>
      </c>
      <c r="F1403" s="9" t="s">
        <v>3862</v>
      </c>
      <c r="G1403" s="12" t="s">
        <v>3863</v>
      </c>
      <c r="H1403" s="9" t="s">
        <v>3864</v>
      </c>
      <c r="I1403" s="10">
        <v>45591</v>
      </c>
    </row>
    <row r="1404" spans="1:9" x14ac:dyDescent="0.15">
      <c r="A1404" s="9">
        <v>1403</v>
      </c>
      <c r="B1404" s="9" t="s">
        <v>9</v>
      </c>
      <c r="C1404" s="9">
        <v>1920</v>
      </c>
      <c r="D1404" s="10">
        <v>45677</v>
      </c>
      <c r="E1404" s="13" t="str">
        <f>+HYPERLINK("http://trademark.i-assist.jp/data/china/image_1920th/81604369.pdf","81604369")</f>
        <v>81604369</v>
      </c>
      <c r="F1404" s="9" t="s">
        <v>3865</v>
      </c>
      <c r="G1404" s="9" t="s">
        <v>3866</v>
      </c>
      <c r="H1404" s="9" t="s">
        <v>3867</v>
      </c>
      <c r="I1404" s="10">
        <v>45591</v>
      </c>
    </row>
    <row r="1405" spans="1:9" x14ac:dyDescent="0.15">
      <c r="A1405" s="9">
        <v>1404</v>
      </c>
      <c r="B1405" s="9" t="s">
        <v>9</v>
      </c>
      <c r="C1405" s="9">
        <v>1920</v>
      </c>
      <c r="D1405" s="10">
        <v>45677</v>
      </c>
      <c r="E1405" s="13" t="str">
        <f>+HYPERLINK("http://trademark.i-assist.jp/data/china/image_1920th/81604529.pdf","81604529")</f>
        <v>81604529</v>
      </c>
      <c r="F1405" s="9" t="s">
        <v>3868</v>
      </c>
      <c r="G1405" s="9" t="s">
        <v>3869</v>
      </c>
      <c r="H1405" s="9" t="s">
        <v>3870</v>
      </c>
      <c r="I1405" s="10">
        <v>45591</v>
      </c>
    </row>
    <row r="1406" spans="1:9" x14ac:dyDescent="0.15">
      <c r="A1406" s="9">
        <v>1405</v>
      </c>
      <c r="B1406" s="9" t="s">
        <v>9</v>
      </c>
      <c r="C1406" s="9">
        <v>1920</v>
      </c>
      <c r="D1406" s="10">
        <v>45677</v>
      </c>
      <c r="E1406" s="13" t="str">
        <f>+HYPERLINK("http://trademark.i-assist.jp/data/china/image_1920th/81604645.pdf","81604645")</f>
        <v>81604645</v>
      </c>
      <c r="F1406" s="9" t="s">
        <v>3871</v>
      </c>
      <c r="G1406" s="9" t="s">
        <v>3872</v>
      </c>
      <c r="H1406" s="9" t="s">
        <v>3873</v>
      </c>
      <c r="I1406" s="10">
        <v>45591</v>
      </c>
    </row>
    <row r="1407" spans="1:9" x14ac:dyDescent="0.15">
      <c r="A1407" s="9">
        <v>1406</v>
      </c>
      <c r="B1407" s="9" t="s">
        <v>9</v>
      </c>
      <c r="C1407" s="9">
        <v>1920</v>
      </c>
      <c r="D1407" s="10">
        <v>45677</v>
      </c>
      <c r="E1407" s="13" t="str">
        <f>+HYPERLINK("http://trademark.i-assist.jp/data/china/image_1920th/81605402.pdf","81605402")</f>
        <v>81605402</v>
      </c>
      <c r="F1407" s="12" t="s">
        <v>3874</v>
      </c>
      <c r="G1407" s="9" t="s">
        <v>144</v>
      </c>
      <c r="H1407" s="9" t="s">
        <v>3875</v>
      </c>
      <c r="I1407" s="10">
        <v>45591</v>
      </c>
    </row>
    <row r="1408" spans="1:9" x14ac:dyDescent="0.15">
      <c r="A1408" s="9">
        <v>1407</v>
      </c>
      <c r="B1408" s="9" t="s">
        <v>9</v>
      </c>
      <c r="C1408" s="9">
        <v>1920</v>
      </c>
      <c r="D1408" s="10">
        <v>45677</v>
      </c>
      <c r="E1408" s="13" t="str">
        <f>+HYPERLINK("http://trademark.i-assist.jp/data/china/image_1920th/81605532.pdf","81605532")</f>
        <v>81605532</v>
      </c>
      <c r="F1408" s="12" t="s">
        <v>12</v>
      </c>
      <c r="G1408" s="9" t="s">
        <v>3876</v>
      </c>
      <c r="H1408" s="9" t="s">
        <v>3877</v>
      </c>
      <c r="I1408" s="10">
        <v>45591</v>
      </c>
    </row>
    <row r="1409" spans="1:9" x14ac:dyDescent="0.15">
      <c r="A1409" s="9">
        <v>1408</v>
      </c>
      <c r="B1409" s="9" t="s">
        <v>9</v>
      </c>
      <c r="C1409" s="9">
        <v>1920</v>
      </c>
      <c r="D1409" s="10">
        <v>45677</v>
      </c>
      <c r="E1409" s="13" t="str">
        <f>+HYPERLINK("http://trademark.i-assist.jp/data/china/image_1920th/81606377.pdf","81606377")</f>
        <v>81606377</v>
      </c>
      <c r="F1409" s="9" t="s">
        <v>3878</v>
      </c>
      <c r="G1409" s="9" t="s">
        <v>3879</v>
      </c>
      <c r="H1409" s="9" t="s">
        <v>3880</v>
      </c>
      <c r="I1409" s="10">
        <v>45591</v>
      </c>
    </row>
    <row r="1410" spans="1:9" x14ac:dyDescent="0.15">
      <c r="A1410" s="9">
        <v>1409</v>
      </c>
      <c r="B1410" s="9" t="s">
        <v>9</v>
      </c>
      <c r="C1410" s="9">
        <v>1920</v>
      </c>
      <c r="D1410" s="10">
        <v>45677</v>
      </c>
      <c r="E1410" s="13" t="str">
        <f>+HYPERLINK("http://trademark.i-assist.jp/data/china/image_1920th/81607032.pdf","81607032")</f>
        <v>81607032</v>
      </c>
      <c r="F1410" s="9" t="s">
        <v>3881</v>
      </c>
      <c r="G1410" s="12" t="s">
        <v>3882</v>
      </c>
      <c r="H1410" s="9" t="s">
        <v>3883</v>
      </c>
      <c r="I1410" s="10">
        <v>45591</v>
      </c>
    </row>
    <row r="1411" spans="1:9" x14ac:dyDescent="0.15">
      <c r="A1411" s="9">
        <v>1410</v>
      </c>
      <c r="B1411" s="9" t="s">
        <v>9</v>
      </c>
      <c r="C1411" s="9">
        <v>1920</v>
      </c>
      <c r="D1411" s="10">
        <v>45677</v>
      </c>
      <c r="E1411" s="13" t="str">
        <f>+HYPERLINK("http://trademark.i-assist.jp/data/china/image_1920th/81607192.pdf","81607192")</f>
        <v>81607192</v>
      </c>
      <c r="F1411" s="9" t="s">
        <v>3884</v>
      </c>
      <c r="G1411" s="9" t="s">
        <v>3869</v>
      </c>
      <c r="H1411" s="9" t="s">
        <v>3885</v>
      </c>
      <c r="I1411" s="10">
        <v>45591</v>
      </c>
    </row>
    <row r="1412" spans="1:9" x14ac:dyDescent="0.15">
      <c r="A1412" s="9">
        <v>1411</v>
      </c>
      <c r="B1412" s="9" t="s">
        <v>9</v>
      </c>
      <c r="C1412" s="9">
        <v>1920</v>
      </c>
      <c r="D1412" s="10">
        <v>45677</v>
      </c>
      <c r="E1412" s="13" t="str">
        <f>+HYPERLINK("http://trademark.i-assist.jp/data/china/image_1920th/81607488.pdf","81607488")</f>
        <v>81607488</v>
      </c>
      <c r="F1412" s="9" t="s">
        <v>3886</v>
      </c>
      <c r="G1412" s="9" t="s">
        <v>3887</v>
      </c>
      <c r="H1412" s="9" t="s">
        <v>3888</v>
      </c>
      <c r="I1412" s="10">
        <v>45591</v>
      </c>
    </row>
    <row r="1413" spans="1:9" x14ac:dyDescent="0.15">
      <c r="A1413" s="9">
        <v>1412</v>
      </c>
      <c r="B1413" s="9" t="s">
        <v>9</v>
      </c>
      <c r="C1413" s="9">
        <v>1920</v>
      </c>
      <c r="D1413" s="10">
        <v>45677</v>
      </c>
      <c r="E1413" s="13" t="str">
        <f>+HYPERLINK("http://trademark.i-assist.jp/data/china/image_1920th/81607984.pdf","81607984")</f>
        <v>81607984</v>
      </c>
      <c r="F1413" s="9" t="s">
        <v>3889</v>
      </c>
      <c r="G1413" s="9" t="s">
        <v>3890</v>
      </c>
      <c r="H1413" s="9" t="s">
        <v>3891</v>
      </c>
      <c r="I1413" s="10">
        <v>45591</v>
      </c>
    </row>
    <row r="1414" spans="1:9" x14ac:dyDescent="0.15">
      <c r="A1414" s="9">
        <v>1413</v>
      </c>
      <c r="B1414" s="9" t="s">
        <v>9</v>
      </c>
      <c r="C1414" s="9">
        <v>1920</v>
      </c>
      <c r="D1414" s="10">
        <v>45677</v>
      </c>
      <c r="E1414" s="13" t="str">
        <f>+HYPERLINK("http://trademark.i-assist.jp/data/china/image_1920th/81608763.pdf","81608763")</f>
        <v>81608763</v>
      </c>
      <c r="F1414" s="9" t="s">
        <v>3892</v>
      </c>
      <c r="G1414" s="9" t="s">
        <v>3893</v>
      </c>
      <c r="H1414" s="12" t="s">
        <v>3894</v>
      </c>
      <c r="I1414" s="10">
        <v>45591</v>
      </c>
    </row>
    <row r="1415" spans="1:9" x14ac:dyDescent="0.15">
      <c r="A1415" s="9">
        <v>1414</v>
      </c>
      <c r="B1415" s="9" t="s">
        <v>9</v>
      </c>
      <c r="C1415" s="9">
        <v>1920</v>
      </c>
      <c r="D1415" s="10">
        <v>45677</v>
      </c>
      <c r="E1415" s="13" t="str">
        <f>+HYPERLINK("http://trademark.i-assist.jp/data/china/image_1920th/81608887.pdf","81608887")</f>
        <v>81608887</v>
      </c>
      <c r="F1415" s="9" t="s">
        <v>3895</v>
      </c>
      <c r="G1415" s="9" t="s">
        <v>3896</v>
      </c>
      <c r="H1415" s="9" t="s">
        <v>3897</v>
      </c>
      <c r="I1415" s="10">
        <v>45592</v>
      </c>
    </row>
    <row r="1416" spans="1:9" x14ac:dyDescent="0.15">
      <c r="A1416" s="9">
        <v>1415</v>
      </c>
      <c r="B1416" s="9" t="s">
        <v>9</v>
      </c>
      <c r="C1416" s="9">
        <v>1920</v>
      </c>
      <c r="D1416" s="10">
        <v>45677</v>
      </c>
      <c r="E1416" s="13" t="str">
        <f>+HYPERLINK("http://trademark.i-assist.jp/data/china/image_1920th/81609282.pdf","81609282")</f>
        <v>81609282</v>
      </c>
      <c r="F1416" s="12" t="s">
        <v>3898</v>
      </c>
      <c r="G1416" s="12" t="s">
        <v>3899</v>
      </c>
      <c r="H1416" s="12" t="s">
        <v>3900</v>
      </c>
      <c r="I1416" s="10">
        <v>45592</v>
      </c>
    </row>
    <row r="1417" spans="1:9" x14ac:dyDescent="0.15">
      <c r="A1417" s="9">
        <v>1416</v>
      </c>
      <c r="B1417" s="9" t="s">
        <v>9</v>
      </c>
      <c r="C1417" s="9">
        <v>1920</v>
      </c>
      <c r="D1417" s="10">
        <v>45677</v>
      </c>
      <c r="E1417" s="13" t="str">
        <f>+HYPERLINK("http://trademark.i-assist.jp/data/china/image_1920th/81609874.pdf","81609874")</f>
        <v>81609874</v>
      </c>
      <c r="F1417" s="9" t="s">
        <v>3901</v>
      </c>
      <c r="G1417" s="9" t="s">
        <v>3902</v>
      </c>
      <c r="H1417" s="9" t="s">
        <v>3903</v>
      </c>
      <c r="I1417" s="10">
        <v>45592</v>
      </c>
    </row>
    <row r="1418" spans="1:9" x14ac:dyDescent="0.15">
      <c r="A1418" s="9">
        <v>1417</v>
      </c>
      <c r="B1418" s="9" t="s">
        <v>9</v>
      </c>
      <c r="C1418" s="9">
        <v>1920</v>
      </c>
      <c r="D1418" s="10">
        <v>45677</v>
      </c>
      <c r="E1418" s="13" t="str">
        <f>+HYPERLINK("http://trademark.i-assist.jp/data/china/image_1920th/81610160.pdf","81610160")</f>
        <v>81610160</v>
      </c>
      <c r="F1418" s="9" t="s">
        <v>3904</v>
      </c>
      <c r="G1418" s="12" t="s">
        <v>3905</v>
      </c>
      <c r="H1418" s="9" t="s">
        <v>3906</v>
      </c>
      <c r="I1418" s="10">
        <v>45592</v>
      </c>
    </row>
    <row r="1419" spans="1:9" x14ac:dyDescent="0.15">
      <c r="A1419" s="9">
        <v>1418</v>
      </c>
      <c r="B1419" s="9" t="s">
        <v>9</v>
      </c>
      <c r="C1419" s="9">
        <v>1920</v>
      </c>
      <c r="D1419" s="10">
        <v>45677</v>
      </c>
      <c r="E1419" s="13" t="str">
        <f>+HYPERLINK("http://trademark.i-assist.jp/data/china/image_1920th/81610198.pdf","81610198")</f>
        <v>81610198</v>
      </c>
      <c r="F1419" s="9" t="s">
        <v>3907</v>
      </c>
      <c r="G1419" s="9" t="s">
        <v>3908</v>
      </c>
      <c r="H1419" s="9" t="s">
        <v>3909</v>
      </c>
      <c r="I1419" s="10">
        <v>45592</v>
      </c>
    </row>
    <row r="1420" spans="1:9" x14ac:dyDescent="0.15">
      <c r="A1420" s="9">
        <v>1419</v>
      </c>
      <c r="B1420" s="9" t="s">
        <v>9</v>
      </c>
      <c r="C1420" s="9">
        <v>1920</v>
      </c>
      <c r="D1420" s="10">
        <v>45677</v>
      </c>
      <c r="E1420" s="13" t="str">
        <f>+HYPERLINK("http://trademark.i-assist.jp/data/china/image_1920th/81610256.pdf","81610256")</f>
        <v>81610256</v>
      </c>
      <c r="F1420" s="12" t="s">
        <v>12</v>
      </c>
      <c r="G1420" s="9" t="s">
        <v>3910</v>
      </c>
      <c r="H1420" s="9" t="s">
        <v>3911</v>
      </c>
      <c r="I1420" s="10">
        <v>45592</v>
      </c>
    </row>
    <row r="1421" spans="1:9" x14ac:dyDescent="0.15">
      <c r="A1421" s="9">
        <v>1420</v>
      </c>
      <c r="B1421" s="9" t="s">
        <v>9</v>
      </c>
      <c r="C1421" s="9">
        <v>1920</v>
      </c>
      <c r="D1421" s="10">
        <v>45677</v>
      </c>
      <c r="E1421" s="13" t="str">
        <f>+HYPERLINK("http://trademark.i-assist.jp/data/china/image_1920th/81611021.pdf","81611021")</f>
        <v>81611021</v>
      </c>
      <c r="F1421" s="12" t="s">
        <v>3912</v>
      </c>
      <c r="G1421" s="9" t="s">
        <v>3913</v>
      </c>
      <c r="H1421" s="9" t="s">
        <v>3914</v>
      </c>
      <c r="I1421" s="10">
        <v>45592</v>
      </c>
    </row>
    <row r="1422" spans="1:9" x14ac:dyDescent="0.15">
      <c r="A1422" s="9">
        <v>1421</v>
      </c>
      <c r="B1422" s="9" t="s">
        <v>9</v>
      </c>
      <c r="C1422" s="9">
        <v>1920</v>
      </c>
      <c r="D1422" s="10">
        <v>45677</v>
      </c>
      <c r="E1422" s="13" t="str">
        <f>+HYPERLINK("http://trademark.i-assist.jp/data/china/image_1920th/81611070.pdf","81611070")</f>
        <v>81611070</v>
      </c>
      <c r="F1422" s="9" t="s">
        <v>3915</v>
      </c>
      <c r="G1422" s="9" t="s">
        <v>1548</v>
      </c>
      <c r="H1422" s="9" t="s">
        <v>3916</v>
      </c>
      <c r="I1422" s="10">
        <v>45592</v>
      </c>
    </row>
    <row r="1423" spans="1:9" x14ac:dyDescent="0.15">
      <c r="A1423" s="9">
        <v>1422</v>
      </c>
      <c r="B1423" s="9" t="s">
        <v>9</v>
      </c>
      <c r="C1423" s="9">
        <v>1920</v>
      </c>
      <c r="D1423" s="10">
        <v>45677</v>
      </c>
      <c r="E1423" s="13" t="str">
        <f>+HYPERLINK("http://trademark.i-assist.jp/data/china/image_1920th/81611171.pdf","81611171")</f>
        <v>81611171</v>
      </c>
      <c r="F1423" s="9" t="s">
        <v>3917</v>
      </c>
      <c r="G1423" s="12" t="s">
        <v>3918</v>
      </c>
      <c r="H1423" s="9" t="s">
        <v>3919</v>
      </c>
      <c r="I1423" s="10">
        <v>45592</v>
      </c>
    </row>
    <row r="1424" spans="1:9" x14ac:dyDescent="0.15">
      <c r="A1424" s="9">
        <v>1423</v>
      </c>
      <c r="B1424" s="9" t="s">
        <v>9</v>
      </c>
      <c r="C1424" s="9">
        <v>1920</v>
      </c>
      <c r="D1424" s="10">
        <v>45677</v>
      </c>
      <c r="E1424" s="13" t="str">
        <f>+HYPERLINK("http://trademark.i-assist.jp/data/china/image_1920th/81611331.pdf","81611331")</f>
        <v>81611331</v>
      </c>
      <c r="F1424" s="9" t="s">
        <v>3920</v>
      </c>
      <c r="G1424" s="12" t="s">
        <v>3899</v>
      </c>
      <c r="H1424" s="9" t="s">
        <v>3921</v>
      </c>
      <c r="I1424" s="10">
        <v>45592</v>
      </c>
    </row>
    <row r="1425" spans="1:9" x14ac:dyDescent="0.15">
      <c r="A1425" s="9">
        <v>1424</v>
      </c>
      <c r="B1425" s="9" t="s">
        <v>9</v>
      </c>
      <c r="C1425" s="9">
        <v>1920</v>
      </c>
      <c r="D1425" s="10">
        <v>45677</v>
      </c>
      <c r="E1425" s="13" t="str">
        <f>+HYPERLINK("http://trademark.i-assist.jp/data/china/image_1920th/81611610.pdf","81611610")</f>
        <v>81611610</v>
      </c>
      <c r="F1425" s="9" t="s">
        <v>3922</v>
      </c>
      <c r="G1425" s="9" t="s">
        <v>3923</v>
      </c>
      <c r="H1425" s="9" t="s">
        <v>3924</v>
      </c>
      <c r="I1425" s="10">
        <v>45592</v>
      </c>
    </row>
    <row r="1426" spans="1:9" x14ac:dyDescent="0.15">
      <c r="A1426" s="9">
        <v>1425</v>
      </c>
      <c r="B1426" s="9" t="s">
        <v>9</v>
      </c>
      <c r="C1426" s="9">
        <v>1920</v>
      </c>
      <c r="D1426" s="10">
        <v>45677</v>
      </c>
      <c r="E1426" s="13" t="str">
        <f>+HYPERLINK("http://trademark.i-assist.jp/data/china/image_1920th/81612159.pdf","81612159")</f>
        <v>81612159</v>
      </c>
      <c r="F1426" s="9" t="s">
        <v>3925</v>
      </c>
      <c r="G1426" s="9" t="s">
        <v>3926</v>
      </c>
      <c r="H1426" s="9" t="s">
        <v>3927</v>
      </c>
      <c r="I1426" s="10">
        <v>45593</v>
      </c>
    </row>
    <row r="1427" spans="1:9" x14ac:dyDescent="0.15">
      <c r="A1427" s="9">
        <v>1426</v>
      </c>
      <c r="B1427" s="9" t="s">
        <v>9</v>
      </c>
      <c r="C1427" s="9">
        <v>1920</v>
      </c>
      <c r="D1427" s="10">
        <v>45677</v>
      </c>
      <c r="E1427" s="13" t="str">
        <f>+HYPERLINK("http://trademark.i-assist.jp/data/china/image_1920th/81612339.pdf","81612339")</f>
        <v>81612339</v>
      </c>
      <c r="F1427" s="12" t="s">
        <v>3928</v>
      </c>
      <c r="G1427" s="12" t="s">
        <v>129</v>
      </c>
      <c r="H1427" s="9" t="s">
        <v>3929</v>
      </c>
      <c r="I1427" s="10">
        <v>45593</v>
      </c>
    </row>
    <row r="1428" spans="1:9" x14ac:dyDescent="0.15">
      <c r="A1428" s="9">
        <v>1427</v>
      </c>
      <c r="B1428" s="9" t="s">
        <v>9</v>
      </c>
      <c r="C1428" s="9">
        <v>1920</v>
      </c>
      <c r="D1428" s="10">
        <v>45677</v>
      </c>
      <c r="E1428" s="13" t="str">
        <f>+HYPERLINK("http://trademark.i-assist.jp/data/china/image_1920th/81612461.pdf","81612461")</f>
        <v>81612461</v>
      </c>
      <c r="F1428" s="9" t="s">
        <v>3930</v>
      </c>
      <c r="G1428" s="12" t="s">
        <v>2933</v>
      </c>
      <c r="H1428" s="9" t="s">
        <v>3931</v>
      </c>
      <c r="I1428" s="10">
        <v>45593</v>
      </c>
    </row>
    <row r="1429" spans="1:9" x14ac:dyDescent="0.15">
      <c r="A1429" s="9">
        <v>1428</v>
      </c>
      <c r="B1429" s="9" t="s">
        <v>9</v>
      </c>
      <c r="C1429" s="9">
        <v>1920</v>
      </c>
      <c r="D1429" s="10">
        <v>45677</v>
      </c>
      <c r="E1429" s="13" t="str">
        <f>+HYPERLINK("http://trademark.i-assist.jp/data/china/image_1920th/81612543.pdf","81612543")</f>
        <v>81612543</v>
      </c>
      <c r="F1429" s="9" t="s">
        <v>3932</v>
      </c>
      <c r="G1429" s="9" t="s">
        <v>3933</v>
      </c>
      <c r="H1429" s="9" t="s">
        <v>3934</v>
      </c>
      <c r="I1429" s="10">
        <v>45593</v>
      </c>
    </row>
    <row r="1430" spans="1:9" x14ac:dyDescent="0.15">
      <c r="A1430" s="9">
        <v>1429</v>
      </c>
      <c r="B1430" s="9" t="s">
        <v>9</v>
      </c>
      <c r="C1430" s="9">
        <v>1920</v>
      </c>
      <c r="D1430" s="10">
        <v>45677</v>
      </c>
      <c r="E1430" s="13" t="str">
        <f>+HYPERLINK("http://trademark.i-assist.jp/data/china/image_1920th/81612657.pdf","81612657")</f>
        <v>81612657</v>
      </c>
      <c r="F1430" s="12" t="s">
        <v>3935</v>
      </c>
      <c r="G1430" s="9" t="s">
        <v>3936</v>
      </c>
      <c r="H1430" s="9" t="s">
        <v>3937</v>
      </c>
      <c r="I1430" s="10">
        <v>45593</v>
      </c>
    </row>
    <row r="1431" spans="1:9" x14ac:dyDescent="0.15">
      <c r="A1431" s="9">
        <v>1430</v>
      </c>
      <c r="B1431" s="9" t="s">
        <v>9</v>
      </c>
      <c r="C1431" s="9">
        <v>1920</v>
      </c>
      <c r="D1431" s="10">
        <v>45677</v>
      </c>
      <c r="E1431" s="13" t="str">
        <f>+HYPERLINK("http://trademark.i-assist.jp/data/china/image_1920th/81613028.pdf","81613028")</f>
        <v>81613028</v>
      </c>
      <c r="F1431" s="12" t="s">
        <v>3938</v>
      </c>
      <c r="G1431" s="12" t="s">
        <v>3939</v>
      </c>
      <c r="H1431" s="12" t="s">
        <v>3940</v>
      </c>
      <c r="I1431" s="10">
        <v>45593</v>
      </c>
    </row>
    <row r="1432" spans="1:9" x14ac:dyDescent="0.15">
      <c r="A1432" s="9">
        <v>1431</v>
      </c>
      <c r="B1432" s="9" t="s">
        <v>9</v>
      </c>
      <c r="C1432" s="9">
        <v>1920</v>
      </c>
      <c r="D1432" s="10">
        <v>45677</v>
      </c>
      <c r="E1432" s="13" t="str">
        <f>+HYPERLINK("http://trademark.i-assist.jp/data/china/image_1920th/81613549.pdf","81613549")</f>
        <v>81613549</v>
      </c>
      <c r="F1432" s="9" t="s">
        <v>3941</v>
      </c>
      <c r="G1432" s="9" t="s">
        <v>3942</v>
      </c>
      <c r="H1432" s="9" t="s">
        <v>3943</v>
      </c>
      <c r="I1432" s="10">
        <v>45593</v>
      </c>
    </row>
    <row r="1433" spans="1:9" x14ac:dyDescent="0.15">
      <c r="A1433" s="9">
        <v>1432</v>
      </c>
      <c r="B1433" s="9" t="s">
        <v>9</v>
      </c>
      <c r="C1433" s="9">
        <v>1920</v>
      </c>
      <c r="D1433" s="10">
        <v>45677</v>
      </c>
      <c r="E1433" s="13" t="str">
        <f>+HYPERLINK("http://trademark.i-assist.jp/data/china/image_1920th/81613597.pdf","81613597")</f>
        <v>81613597</v>
      </c>
      <c r="F1433" s="9" t="s">
        <v>3944</v>
      </c>
      <c r="G1433" s="12" t="s">
        <v>3945</v>
      </c>
      <c r="H1433" s="9" t="s">
        <v>3946</v>
      </c>
      <c r="I1433" s="10">
        <v>45593</v>
      </c>
    </row>
    <row r="1434" spans="1:9" x14ac:dyDescent="0.15">
      <c r="A1434" s="9">
        <v>1433</v>
      </c>
      <c r="B1434" s="9" t="s">
        <v>9</v>
      </c>
      <c r="C1434" s="9">
        <v>1920</v>
      </c>
      <c r="D1434" s="10">
        <v>45677</v>
      </c>
      <c r="E1434" s="13" t="str">
        <f>+HYPERLINK("http://trademark.i-assist.jp/data/china/image_1920th/81613729.pdf","81613729")</f>
        <v>81613729</v>
      </c>
      <c r="F1434" s="12" t="s">
        <v>3947</v>
      </c>
      <c r="G1434" s="9" t="s">
        <v>3948</v>
      </c>
      <c r="H1434" s="9" t="s">
        <v>3949</v>
      </c>
      <c r="I1434" s="10">
        <v>45593</v>
      </c>
    </row>
    <row r="1435" spans="1:9" x14ac:dyDescent="0.15">
      <c r="A1435" s="9">
        <v>1434</v>
      </c>
      <c r="B1435" s="9" t="s">
        <v>9</v>
      </c>
      <c r="C1435" s="9">
        <v>1920</v>
      </c>
      <c r="D1435" s="10">
        <v>45677</v>
      </c>
      <c r="E1435" s="13" t="str">
        <f>+HYPERLINK("http://trademark.i-assist.jp/data/china/image_1920th/81613859.pdf","81613859")</f>
        <v>81613859</v>
      </c>
      <c r="F1435" s="9" t="s">
        <v>3950</v>
      </c>
      <c r="G1435" s="9" t="s">
        <v>3951</v>
      </c>
      <c r="H1435" s="9" t="s">
        <v>3952</v>
      </c>
      <c r="I1435" s="10">
        <v>45593</v>
      </c>
    </row>
    <row r="1436" spans="1:9" x14ac:dyDescent="0.15">
      <c r="A1436" s="9">
        <v>1435</v>
      </c>
      <c r="B1436" s="9" t="s">
        <v>9</v>
      </c>
      <c r="C1436" s="9">
        <v>1920</v>
      </c>
      <c r="D1436" s="10">
        <v>45677</v>
      </c>
      <c r="E1436" s="13" t="str">
        <f>+HYPERLINK("http://trademark.i-assist.jp/data/china/image_1920th/81614081.pdf","81614081")</f>
        <v>81614081</v>
      </c>
      <c r="F1436" s="9" t="s">
        <v>3953</v>
      </c>
      <c r="G1436" s="12" t="s">
        <v>41</v>
      </c>
      <c r="H1436" s="9" t="s">
        <v>3954</v>
      </c>
      <c r="I1436" s="10">
        <v>45593</v>
      </c>
    </row>
    <row r="1437" spans="1:9" x14ac:dyDescent="0.15">
      <c r="A1437" s="9">
        <v>1436</v>
      </c>
      <c r="B1437" s="9" t="s">
        <v>9</v>
      </c>
      <c r="C1437" s="9">
        <v>1920</v>
      </c>
      <c r="D1437" s="10">
        <v>45677</v>
      </c>
      <c r="E1437" s="13" t="str">
        <f>+HYPERLINK("http://trademark.i-assist.jp/data/china/image_1920th/81614453.pdf","81614453")</f>
        <v>81614453</v>
      </c>
      <c r="F1437" s="9" t="s">
        <v>3955</v>
      </c>
      <c r="G1437" s="9" t="s">
        <v>3956</v>
      </c>
      <c r="H1437" s="9" t="s">
        <v>3957</v>
      </c>
      <c r="I1437" s="10">
        <v>45593</v>
      </c>
    </row>
    <row r="1438" spans="1:9" x14ac:dyDescent="0.15">
      <c r="A1438" s="9">
        <v>1437</v>
      </c>
      <c r="B1438" s="9" t="s">
        <v>9</v>
      </c>
      <c r="C1438" s="9">
        <v>1920</v>
      </c>
      <c r="D1438" s="10">
        <v>45677</v>
      </c>
      <c r="E1438" s="13" t="str">
        <f>+HYPERLINK("http://trademark.i-assist.jp/data/china/image_1920th/81614610.pdf","81614610")</f>
        <v>81614610</v>
      </c>
      <c r="F1438" s="9" t="s">
        <v>3958</v>
      </c>
      <c r="G1438" s="9" t="s">
        <v>3959</v>
      </c>
      <c r="H1438" s="9" t="s">
        <v>3960</v>
      </c>
      <c r="I1438" s="10">
        <v>45593</v>
      </c>
    </row>
    <row r="1439" spans="1:9" x14ac:dyDescent="0.15">
      <c r="A1439" s="9">
        <v>1438</v>
      </c>
      <c r="B1439" s="9" t="s">
        <v>9</v>
      </c>
      <c r="C1439" s="9">
        <v>1920</v>
      </c>
      <c r="D1439" s="10">
        <v>45677</v>
      </c>
      <c r="E1439" s="13" t="str">
        <f>+HYPERLINK("http://trademark.i-assist.jp/data/china/image_1920th/81614657.pdf","81614657")</f>
        <v>81614657</v>
      </c>
      <c r="F1439" s="9" t="s">
        <v>3961</v>
      </c>
      <c r="G1439" s="12" t="s">
        <v>3962</v>
      </c>
      <c r="H1439" s="9" t="s">
        <v>3963</v>
      </c>
      <c r="I1439" s="10">
        <v>45593</v>
      </c>
    </row>
    <row r="1440" spans="1:9" x14ac:dyDescent="0.15">
      <c r="A1440" s="9">
        <v>1439</v>
      </c>
      <c r="B1440" s="9" t="s">
        <v>9</v>
      </c>
      <c r="C1440" s="9">
        <v>1920</v>
      </c>
      <c r="D1440" s="10">
        <v>45677</v>
      </c>
      <c r="E1440" s="13" t="str">
        <f>+HYPERLINK("http://trademark.i-assist.jp/data/china/image_1920th/81614765.pdf","81614765")</f>
        <v>81614765</v>
      </c>
      <c r="F1440" s="9" t="s">
        <v>3964</v>
      </c>
      <c r="G1440" s="9" t="s">
        <v>3965</v>
      </c>
      <c r="H1440" s="9" t="s">
        <v>3966</v>
      </c>
      <c r="I1440" s="10">
        <v>45593</v>
      </c>
    </row>
    <row r="1441" spans="1:9" x14ac:dyDescent="0.15">
      <c r="A1441" s="9">
        <v>1440</v>
      </c>
      <c r="B1441" s="9" t="s">
        <v>9</v>
      </c>
      <c r="C1441" s="9">
        <v>1920</v>
      </c>
      <c r="D1441" s="10">
        <v>45677</v>
      </c>
      <c r="E1441" s="13" t="str">
        <f>+HYPERLINK("http://trademark.i-assist.jp/data/china/image_1920th/81614810.pdf","81614810")</f>
        <v>81614810</v>
      </c>
      <c r="F1441" s="12" t="s">
        <v>3967</v>
      </c>
      <c r="G1441" s="9" t="s">
        <v>3968</v>
      </c>
      <c r="H1441" s="9" t="s">
        <v>3969</v>
      </c>
      <c r="I1441" s="10">
        <v>45593</v>
      </c>
    </row>
    <row r="1442" spans="1:9" x14ac:dyDescent="0.15">
      <c r="A1442" s="9">
        <v>1441</v>
      </c>
      <c r="B1442" s="9" t="s">
        <v>9</v>
      </c>
      <c r="C1442" s="9">
        <v>1920</v>
      </c>
      <c r="D1442" s="10">
        <v>45677</v>
      </c>
      <c r="E1442" s="13" t="str">
        <f>+HYPERLINK("http://trademark.i-assist.jp/data/china/image_1920th/81615385.pdf","81615385")</f>
        <v>81615385</v>
      </c>
      <c r="F1442" s="9" t="s">
        <v>3970</v>
      </c>
      <c r="G1442" s="12" t="s">
        <v>3971</v>
      </c>
      <c r="H1442" s="9" t="s">
        <v>3972</v>
      </c>
      <c r="I1442" s="10">
        <v>45593</v>
      </c>
    </row>
    <row r="1443" spans="1:9" x14ac:dyDescent="0.15">
      <c r="A1443" s="9">
        <v>1442</v>
      </c>
      <c r="B1443" s="9" t="s">
        <v>9</v>
      </c>
      <c r="C1443" s="9">
        <v>1920</v>
      </c>
      <c r="D1443" s="10">
        <v>45677</v>
      </c>
      <c r="E1443" s="13" t="str">
        <f>+HYPERLINK("http://trademark.i-assist.jp/data/china/image_1920th/81615526.pdf","81615526")</f>
        <v>81615526</v>
      </c>
      <c r="F1443" s="12" t="s">
        <v>3973</v>
      </c>
      <c r="G1443" s="12" t="s">
        <v>3974</v>
      </c>
      <c r="H1443" s="9" t="s">
        <v>3975</v>
      </c>
      <c r="I1443" s="10">
        <v>45593</v>
      </c>
    </row>
    <row r="1444" spans="1:9" x14ac:dyDescent="0.15">
      <c r="A1444" s="9">
        <v>1443</v>
      </c>
      <c r="B1444" s="9" t="s">
        <v>9</v>
      </c>
      <c r="C1444" s="9">
        <v>1920</v>
      </c>
      <c r="D1444" s="10">
        <v>45677</v>
      </c>
      <c r="E1444" s="13" t="str">
        <f>+HYPERLINK("http://trademark.i-assist.jp/data/china/image_1920th/81615707.pdf","81615707")</f>
        <v>81615707</v>
      </c>
      <c r="F1444" s="12" t="s">
        <v>12</v>
      </c>
      <c r="G1444" s="9" t="s">
        <v>3976</v>
      </c>
      <c r="H1444" s="9" t="s">
        <v>3977</v>
      </c>
      <c r="I1444" s="10">
        <v>45593</v>
      </c>
    </row>
    <row r="1445" spans="1:9" x14ac:dyDescent="0.15">
      <c r="A1445" s="9">
        <v>1444</v>
      </c>
      <c r="B1445" s="9" t="s">
        <v>9</v>
      </c>
      <c r="C1445" s="9">
        <v>1920</v>
      </c>
      <c r="D1445" s="10">
        <v>45677</v>
      </c>
      <c r="E1445" s="13" t="str">
        <f>+HYPERLINK("http://trademark.i-assist.jp/data/china/image_1920th/81615798.pdf","81615798")</f>
        <v>81615798</v>
      </c>
      <c r="F1445" s="9" t="s">
        <v>3978</v>
      </c>
      <c r="G1445" s="12" t="s">
        <v>3945</v>
      </c>
      <c r="H1445" s="9" t="s">
        <v>3979</v>
      </c>
      <c r="I1445" s="10">
        <v>45593</v>
      </c>
    </row>
    <row r="1446" spans="1:9" x14ac:dyDescent="0.15">
      <c r="A1446" s="9">
        <v>1445</v>
      </c>
      <c r="B1446" s="9" t="s">
        <v>9</v>
      </c>
      <c r="C1446" s="9">
        <v>1920</v>
      </c>
      <c r="D1446" s="10">
        <v>45677</v>
      </c>
      <c r="E1446" s="13" t="str">
        <f>+HYPERLINK("http://trademark.i-assist.jp/data/china/image_1920th/81615902.pdf","81615902")</f>
        <v>81615902</v>
      </c>
      <c r="F1446" s="9" t="s">
        <v>3980</v>
      </c>
      <c r="G1446" s="9" t="s">
        <v>3981</v>
      </c>
      <c r="H1446" s="9" t="s">
        <v>3982</v>
      </c>
      <c r="I1446" s="10">
        <v>45593</v>
      </c>
    </row>
    <row r="1447" spans="1:9" x14ac:dyDescent="0.15">
      <c r="A1447" s="9">
        <v>1446</v>
      </c>
      <c r="B1447" s="9" t="s">
        <v>9</v>
      </c>
      <c r="C1447" s="9">
        <v>1920</v>
      </c>
      <c r="D1447" s="10">
        <v>45677</v>
      </c>
      <c r="E1447" s="13" t="str">
        <f>+HYPERLINK("http://trademark.i-assist.jp/data/china/image_1920th/81616075.pdf","81616075")</f>
        <v>81616075</v>
      </c>
      <c r="F1447" s="9" t="s">
        <v>3983</v>
      </c>
      <c r="G1447" s="9" t="s">
        <v>3984</v>
      </c>
      <c r="H1447" s="12" t="s">
        <v>3985</v>
      </c>
      <c r="I1447" s="10">
        <v>45593</v>
      </c>
    </row>
    <row r="1448" spans="1:9" x14ac:dyDescent="0.15">
      <c r="A1448" s="9">
        <v>1447</v>
      </c>
      <c r="B1448" s="9" t="s">
        <v>9</v>
      </c>
      <c r="C1448" s="9">
        <v>1920</v>
      </c>
      <c r="D1448" s="10">
        <v>45677</v>
      </c>
      <c r="E1448" s="13" t="str">
        <f>+HYPERLINK("http://trademark.i-assist.jp/data/china/image_1920th/81616185.pdf","81616185")</f>
        <v>81616185</v>
      </c>
      <c r="F1448" s="9" t="s">
        <v>3986</v>
      </c>
      <c r="G1448" s="9" t="s">
        <v>3987</v>
      </c>
      <c r="H1448" s="9" t="s">
        <v>3988</v>
      </c>
      <c r="I1448" s="10">
        <v>45593</v>
      </c>
    </row>
    <row r="1449" spans="1:9" x14ac:dyDescent="0.15">
      <c r="A1449" s="9">
        <v>1448</v>
      </c>
      <c r="B1449" s="9" t="s">
        <v>9</v>
      </c>
      <c r="C1449" s="9">
        <v>1920</v>
      </c>
      <c r="D1449" s="10">
        <v>45677</v>
      </c>
      <c r="E1449" s="13" t="str">
        <f>+HYPERLINK("http://trademark.i-assist.jp/data/china/image_1920th/81616380.pdf","81616380")</f>
        <v>81616380</v>
      </c>
      <c r="F1449" s="9" t="s">
        <v>3989</v>
      </c>
      <c r="G1449" s="9" t="s">
        <v>3990</v>
      </c>
      <c r="H1449" s="9" t="s">
        <v>3991</v>
      </c>
      <c r="I1449" s="10">
        <v>45593</v>
      </c>
    </row>
    <row r="1450" spans="1:9" x14ac:dyDescent="0.15">
      <c r="A1450" s="9">
        <v>1449</v>
      </c>
      <c r="B1450" s="9" t="s">
        <v>9</v>
      </c>
      <c r="C1450" s="9">
        <v>1920</v>
      </c>
      <c r="D1450" s="10">
        <v>45677</v>
      </c>
      <c r="E1450" s="13" t="str">
        <f>+HYPERLINK("http://trademark.i-assist.jp/data/china/image_1920th/81616487.pdf","81616487")</f>
        <v>81616487</v>
      </c>
      <c r="F1450" s="9" t="s">
        <v>3992</v>
      </c>
      <c r="G1450" s="12" t="s">
        <v>3993</v>
      </c>
      <c r="H1450" s="9" t="s">
        <v>3994</v>
      </c>
      <c r="I1450" s="10">
        <v>45593</v>
      </c>
    </row>
    <row r="1451" spans="1:9" x14ac:dyDescent="0.15">
      <c r="A1451" s="9">
        <v>1450</v>
      </c>
      <c r="B1451" s="9" t="s">
        <v>9</v>
      </c>
      <c r="C1451" s="9">
        <v>1920</v>
      </c>
      <c r="D1451" s="10">
        <v>45677</v>
      </c>
      <c r="E1451" s="13" t="str">
        <f>+HYPERLINK("http://trademark.i-assist.jp/data/china/image_1920th/81616602.pdf","81616602")</f>
        <v>81616602</v>
      </c>
      <c r="F1451" s="9" t="s">
        <v>3995</v>
      </c>
      <c r="G1451" s="9" t="s">
        <v>3996</v>
      </c>
      <c r="H1451" s="12" t="s">
        <v>3997</v>
      </c>
      <c r="I1451" s="10">
        <v>45593</v>
      </c>
    </row>
    <row r="1452" spans="1:9" x14ac:dyDescent="0.15">
      <c r="A1452" s="9">
        <v>1451</v>
      </c>
      <c r="B1452" s="9" t="s">
        <v>9</v>
      </c>
      <c r="C1452" s="9">
        <v>1920</v>
      </c>
      <c r="D1452" s="10">
        <v>45677</v>
      </c>
      <c r="E1452" s="13" t="str">
        <f>+HYPERLINK("http://trademark.i-assist.jp/data/china/image_1920th/81616751.pdf","81616751")</f>
        <v>81616751</v>
      </c>
      <c r="F1452" s="12" t="s">
        <v>3998</v>
      </c>
      <c r="G1452" s="9" t="s">
        <v>3948</v>
      </c>
      <c r="H1452" s="9" t="s">
        <v>3999</v>
      </c>
      <c r="I1452" s="10">
        <v>45593</v>
      </c>
    </row>
    <row r="1453" spans="1:9" x14ac:dyDescent="0.15">
      <c r="A1453" s="9">
        <v>1452</v>
      </c>
      <c r="B1453" s="9" t="s">
        <v>9</v>
      </c>
      <c r="C1453" s="9">
        <v>1920</v>
      </c>
      <c r="D1453" s="10">
        <v>45677</v>
      </c>
      <c r="E1453" s="13" t="str">
        <f>+HYPERLINK("http://trademark.i-assist.jp/data/china/image_1920th/81616804.pdf","81616804")</f>
        <v>81616804</v>
      </c>
      <c r="F1453" s="9" t="s">
        <v>4000</v>
      </c>
      <c r="G1453" s="9" t="s">
        <v>4001</v>
      </c>
      <c r="H1453" s="9" t="s">
        <v>4002</v>
      </c>
      <c r="I1453" s="10">
        <v>45593</v>
      </c>
    </row>
    <row r="1454" spans="1:9" x14ac:dyDescent="0.15">
      <c r="A1454" s="9">
        <v>1453</v>
      </c>
      <c r="B1454" s="9" t="s">
        <v>9</v>
      </c>
      <c r="C1454" s="9">
        <v>1920</v>
      </c>
      <c r="D1454" s="10">
        <v>45677</v>
      </c>
      <c r="E1454" s="13" t="str">
        <f>+HYPERLINK("http://trademark.i-assist.jp/data/china/image_1920th/81617101.pdf","81617101")</f>
        <v>81617101</v>
      </c>
      <c r="F1454" s="12" t="s">
        <v>4003</v>
      </c>
      <c r="G1454" s="9" t="s">
        <v>4004</v>
      </c>
      <c r="H1454" s="9" t="s">
        <v>4005</v>
      </c>
      <c r="I1454" s="10">
        <v>45593</v>
      </c>
    </row>
    <row r="1455" spans="1:9" x14ac:dyDescent="0.15">
      <c r="A1455" s="9">
        <v>1454</v>
      </c>
      <c r="B1455" s="9" t="s">
        <v>9</v>
      </c>
      <c r="C1455" s="9">
        <v>1920</v>
      </c>
      <c r="D1455" s="10">
        <v>45677</v>
      </c>
      <c r="E1455" s="13" t="str">
        <f>+HYPERLINK("http://trademark.i-assist.jp/data/china/image_1920th/81617108.pdf","81617108")</f>
        <v>81617108</v>
      </c>
      <c r="F1455" s="9" t="s">
        <v>4006</v>
      </c>
      <c r="G1455" s="9" t="s">
        <v>2583</v>
      </c>
      <c r="H1455" s="12" t="s">
        <v>4007</v>
      </c>
      <c r="I1455" s="10">
        <v>45593</v>
      </c>
    </row>
    <row r="1456" spans="1:9" x14ac:dyDescent="0.15">
      <c r="A1456" s="9">
        <v>1455</v>
      </c>
      <c r="B1456" s="9" t="s">
        <v>9</v>
      </c>
      <c r="C1456" s="9">
        <v>1920</v>
      </c>
      <c r="D1456" s="10">
        <v>45677</v>
      </c>
      <c r="E1456" s="13" t="str">
        <f>+HYPERLINK("http://trademark.i-assist.jp/data/china/image_1920th/81617655.pdf","81617655")</f>
        <v>81617655</v>
      </c>
      <c r="F1456" s="9" t="s">
        <v>4008</v>
      </c>
      <c r="G1456" s="9" t="s">
        <v>4009</v>
      </c>
      <c r="H1456" s="12" t="s">
        <v>4010</v>
      </c>
      <c r="I1456" s="10">
        <v>45593</v>
      </c>
    </row>
    <row r="1457" spans="1:9" x14ac:dyDescent="0.15">
      <c r="A1457" s="9">
        <v>1456</v>
      </c>
      <c r="B1457" s="9" t="s">
        <v>9</v>
      </c>
      <c r="C1457" s="9">
        <v>1920</v>
      </c>
      <c r="D1457" s="10">
        <v>45677</v>
      </c>
      <c r="E1457" s="13" t="str">
        <f>+HYPERLINK("http://trademark.i-assist.jp/data/china/image_1920th/81619018.pdf","81619018")</f>
        <v>81619018</v>
      </c>
      <c r="F1457" s="9" t="s">
        <v>4011</v>
      </c>
      <c r="G1457" s="9" t="s">
        <v>4012</v>
      </c>
      <c r="H1457" s="9" t="s">
        <v>4013</v>
      </c>
      <c r="I1457" s="10">
        <v>45593</v>
      </c>
    </row>
    <row r="1458" spans="1:9" x14ac:dyDescent="0.15">
      <c r="A1458" s="9">
        <v>1457</v>
      </c>
      <c r="B1458" s="9" t="s">
        <v>9</v>
      </c>
      <c r="C1458" s="9">
        <v>1920</v>
      </c>
      <c r="D1458" s="10">
        <v>45677</v>
      </c>
      <c r="E1458" s="13" t="str">
        <f>+HYPERLINK("http://trademark.i-assist.jp/data/china/image_1920th/81619465.pdf","81619465")</f>
        <v>81619465</v>
      </c>
      <c r="F1458" s="9" t="s">
        <v>4014</v>
      </c>
      <c r="G1458" s="9" t="s">
        <v>4015</v>
      </c>
      <c r="H1458" s="12" t="s">
        <v>4016</v>
      </c>
      <c r="I1458" s="10">
        <v>45593</v>
      </c>
    </row>
    <row r="1459" spans="1:9" x14ac:dyDescent="0.15">
      <c r="A1459" s="9">
        <v>1458</v>
      </c>
      <c r="B1459" s="9" t="s">
        <v>9</v>
      </c>
      <c r="C1459" s="9">
        <v>1920</v>
      </c>
      <c r="D1459" s="10">
        <v>45677</v>
      </c>
      <c r="E1459" s="13" t="str">
        <f>+HYPERLINK("http://trademark.i-assist.jp/data/china/image_1920th/81619743.pdf","81619743")</f>
        <v>81619743</v>
      </c>
      <c r="F1459" s="9" t="s">
        <v>4017</v>
      </c>
      <c r="G1459" s="9" t="s">
        <v>3981</v>
      </c>
      <c r="H1459" s="9" t="s">
        <v>4018</v>
      </c>
      <c r="I1459" s="10">
        <v>45593</v>
      </c>
    </row>
    <row r="1460" spans="1:9" x14ac:dyDescent="0.15">
      <c r="A1460" s="9">
        <v>1459</v>
      </c>
      <c r="B1460" s="9" t="s">
        <v>9</v>
      </c>
      <c r="C1460" s="9">
        <v>1920</v>
      </c>
      <c r="D1460" s="10">
        <v>45677</v>
      </c>
      <c r="E1460" s="13" t="str">
        <f>+HYPERLINK("http://trademark.i-assist.jp/data/china/image_1920th/81619943.pdf","81619943")</f>
        <v>81619943</v>
      </c>
      <c r="F1460" s="9" t="s">
        <v>4019</v>
      </c>
      <c r="G1460" s="9" t="s">
        <v>4004</v>
      </c>
      <c r="H1460" s="9" t="s">
        <v>4020</v>
      </c>
      <c r="I1460" s="10">
        <v>45593</v>
      </c>
    </row>
    <row r="1461" spans="1:9" x14ac:dyDescent="0.15">
      <c r="A1461" s="9">
        <v>1460</v>
      </c>
      <c r="B1461" s="9" t="s">
        <v>9</v>
      </c>
      <c r="C1461" s="9">
        <v>1920</v>
      </c>
      <c r="D1461" s="10">
        <v>45677</v>
      </c>
      <c r="E1461" s="13" t="str">
        <f>+HYPERLINK("http://trademark.i-assist.jp/data/china/image_1920th/81620202.pdf","81620202")</f>
        <v>81620202</v>
      </c>
      <c r="F1461" s="12" t="s">
        <v>4021</v>
      </c>
      <c r="G1461" s="9" t="s">
        <v>4022</v>
      </c>
      <c r="H1461" s="9" t="s">
        <v>4023</v>
      </c>
      <c r="I1461" s="10">
        <v>45593</v>
      </c>
    </row>
    <row r="1462" spans="1:9" x14ac:dyDescent="0.15">
      <c r="A1462" s="9">
        <v>1461</v>
      </c>
      <c r="B1462" s="9" t="s">
        <v>9</v>
      </c>
      <c r="C1462" s="9">
        <v>1920</v>
      </c>
      <c r="D1462" s="10">
        <v>45677</v>
      </c>
      <c r="E1462" s="13" t="str">
        <f>+HYPERLINK("http://trademark.i-assist.jp/data/china/image_1920th/81620466.pdf","81620466")</f>
        <v>81620466</v>
      </c>
      <c r="F1462" s="9" t="s">
        <v>4024</v>
      </c>
      <c r="G1462" s="9" t="s">
        <v>4025</v>
      </c>
      <c r="H1462" s="9" t="s">
        <v>4026</v>
      </c>
      <c r="I1462" s="10">
        <v>45593</v>
      </c>
    </row>
    <row r="1463" spans="1:9" x14ac:dyDescent="0.15">
      <c r="A1463" s="9">
        <v>1462</v>
      </c>
      <c r="B1463" s="9" t="s">
        <v>9</v>
      </c>
      <c r="C1463" s="9">
        <v>1920</v>
      </c>
      <c r="D1463" s="10">
        <v>45677</v>
      </c>
      <c r="E1463" s="13" t="str">
        <f>+HYPERLINK("http://trademark.i-assist.jp/data/china/image_1920th/81620560.pdf","81620560")</f>
        <v>81620560</v>
      </c>
      <c r="F1463" s="9" t="s">
        <v>4027</v>
      </c>
      <c r="G1463" s="9" t="s">
        <v>130</v>
      </c>
      <c r="H1463" s="12" t="s">
        <v>4028</v>
      </c>
      <c r="I1463" s="10">
        <v>45593</v>
      </c>
    </row>
    <row r="1464" spans="1:9" x14ac:dyDescent="0.15">
      <c r="A1464" s="9">
        <v>1463</v>
      </c>
      <c r="B1464" s="9" t="s">
        <v>9</v>
      </c>
      <c r="C1464" s="9">
        <v>1920</v>
      </c>
      <c r="D1464" s="10">
        <v>45677</v>
      </c>
      <c r="E1464" s="13" t="str">
        <f>+HYPERLINK("http://trademark.i-assist.jp/data/china/image_1920th/81621441.pdf","81621441")</f>
        <v>81621441</v>
      </c>
      <c r="F1464" s="9" t="s">
        <v>4029</v>
      </c>
      <c r="G1464" s="9" t="s">
        <v>4030</v>
      </c>
      <c r="H1464" s="9" t="s">
        <v>4031</v>
      </c>
      <c r="I1464" s="10">
        <v>45593</v>
      </c>
    </row>
    <row r="1465" spans="1:9" x14ac:dyDescent="0.15">
      <c r="A1465" s="9">
        <v>1464</v>
      </c>
      <c r="B1465" s="9" t="s">
        <v>9</v>
      </c>
      <c r="C1465" s="9">
        <v>1920</v>
      </c>
      <c r="D1465" s="10">
        <v>45677</v>
      </c>
      <c r="E1465" s="13" t="str">
        <f>+HYPERLINK("http://trademark.i-assist.jp/data/china/image_1920th/81621675.pdf","81621675")</f>
        <v>81621675</v>
      </c>
      <c r="F1465" s="9" t="s">
        <v>4032</v>
      </c>
      <c r="G1465" s="9" t="s">
        <v>4033</v>
      </c>
      <c r="H1465" s="9" t="s">
        <v>4034</v>
      </c>
      <c r="I1465" s="10">
        <v>45593</v>
      </c>
    </row>
    <row r="1466" spans="1:9" x14ac:dyDescent="0.15">
      <c r="A1466" s="9">
        <v>1465</v>
      </c>
      <c r="B1466" s="9" t="s">
        <v>9</v>
      </c>
      <c r="C1466" s="9">
        <v>1920</v>
      </c>
      <c r="D1466" s="10">
        <v>45677</v>
      </c>
      <c r="E1466" s="13" t="str">
        <f>+HYPERLINK("http://trademark.i-assist.jp/data/china/image_1920th/81621847.pdf","81621847")</f>
        <v>81621847</v>
      </c>
      <c r="F1466" s="9" t="s">
        <v>4035</v>
      </c>
      <c r="G1466" s="9" t="s">
        <v>4036</v>
      </c>
      <c r="H1466" s="9" t="s">
        <v>4037</v>
      </c>
      <c r="I1466" s="10">
        <v>45593</v>
      </c>
    </row>
    <row r="1467" spans="1:9" x14ac:dyDescent="0.15">
      <c r="A1467" s="9">
        <v>1466</v>
      </c>
      <c r="B1467" s="9" t="s">
        <v>9</v>
      </c>
      <c r="C1467" s="9">
        <v>1920</v>
      </c>
      <c r="D1467" s="10">
        <v>45677</v>
      </c>
      <c r="E1467" s="13" t="str">
        <f>+HYPERLINK("http://trademark.i-assist.jp/data/china/image_1920th/81621870.pdf","81621870")</f>
        <v>81621870</v>
      </c>
      <c r="F1467" s="9" t="s">
        <v>4038</v>
      </c>
      <c r="G1467" s="9" t="s">
        <v>3923</v>
      </c>
      <c r="H1467" s="9" t="s">
        <v>4039</v>
      </c>
      <c r="I1467" s="10">
        <v>45593</v>
      </c>
    </row>
    <row r="1468" spans="1:9" x14ac:dyDescent="0.15">
      <c r="A1468" s="9">
        <v>1467</v>
      </c>
      <c r="B1468" s="9" t="s">
        <v>9</v>
      </c>
      <c r="C1468" s="9">
        <v>1920</v>
      </c>
      <c r="D1468" s="10">
        <v>45677</v>
      </c>
      <c r="E1468" s="13" t="str">
        <f>+HYPERLINK("http://trademark.i-assist.jp/data/china/image_1920th/81621896.pdf","81621896")</f>
        <v>81621896</v>
      </c>
      <c r="F1468" s="9" t="s">
        <v>4040</v>
      </c>
      <c r="G1468" s="9" t="s">
        <v>3981</v>
      </c>
      <c r="H1468" s="9" t="s">
        <v>4041</v>
      </c>
      <c r="I1468" s="10">
        <v>45593</v>
      </c>
    </row>
    <row r="1469" spans="1:9" x14ac:dyDescent="0.15">
      <c r="A1469" s="9">
        <v>1468</v>
      </c>
      <c r="B1469" s="9" t="s">
        <v>9</v>
      </c>
      <c r="C1469" s="9">
        <v>1920</v>
      </c>
      <c r="D1469" s="10">
        <v>45677</v>
      </c>
      <c r="E1469" s="13" t="str">
        <f>+HYPERLINK("http://trademark.i-assist.jp/data/china/image_1920th/81621904.pdf","81621904")</f>
        <v>81621904</v>
      </c>
      <c r="F1469" s="9" t="s">
        <v>4042</v>
      </c>
      <c r="G1469" s="9" t="s">
        <v>3981</v>
      </c>
      <c r="H1469" s="9" t="s">
        <v>4043</v>
      </c>
      <c r="I1469" s="10">
        <v>45593</v>
      </c>
    </row>
    <row r="1470" spans="1:9" x14ac:dyDescent="0.15">
      <c r="A1470" s="9">
        <v>1469</v>
      </c>
      <c r="B1470" s="9" t="s">
        <v>9</v>
      </c>
      <c r="C1470" s="9">
        <v>1920</v>
      </c>
      <c r="D1470" s="10">
        <v>45677</v>
      </c>
      <c r="E1470" s="13" t="str">
        <f>+HYPERLINK("http://trademark.i-assist.jp/data/china/image_1920th/81622143.pdf","81622143")</f>
        <v>81622143</v>
      </c>
      <c r="F1470" s="9" t="s">
        <v>4044</v>
      </c>
      <c r="G1470" s="12" t="s">
        <v>4045</v>
      </c>
      <c r="H1470" s="9" t="s">
        <v>4046</v>
      </c>
      <c r="I1470" s="10">
        <v>45593</v>
      </c>
    </row>
    <row r="1471" spans="1:9" x14ac:dyDescent="0.15">
      <c r="A1471" s="9">
        <v>1470</v>
      </c>
      <c r="B1471" s="9" t="s">
        <v>9</v>
      </c>
      <c r="C1471" s="9">
        <v>1920</v>
      </c>
      <c r="D1471" s="10">
        <v>45677</v>
      </c>
      <c r="E1471" s="13" t="str">
        <f>+HYPERLINK("http://trademark.i-assist.jp/data/china/image_1920th/81622318.pdf","81622318")</f>
        <v>81622318</v>
      </c>
      <c r="F1471" s="12" t="s">
        <v>4047</v>
      </c>
      <c r="G1471" s="9" t="s">
        <v>99</v>
      </c>
      <c r="H1471" s="9" t="s">
        <v>4048</v>
      </c>
      <c r="I1471" s="10">
        <v>45593</v>
      </c>
    </row>
    <row r="1472" spans="1:9" x14ac:dyDescent="0.15">
      <c r="A1472" s="9">
        <v>1471</v>
      </c>
      <c r="B1472" s="9" t="s">
        <v>9</v>
      </c>
      <c r="C1472" s="9">
        <v>1920</v>
      </c>
      <c r="D1472" s="10">
        <v>45677</v>
      </c>
      <c r="E1472" s="13" t="str">
        <f>+HYPERLINK("http://trademark.i-assist.jp/data/china/image_1920th/81622331.pdf","81622331")</f>
        <v>81622331</v>
      </c>
      <c r="F1472" s="12" t="s">
        <v>4049</v>
      </c>
      <c r="G1472" s="9" t="s">
        <v>4050</v>
      </c>
      <c r="H1472" s="9" t="s">
        <v>4051</v>
      </c>
      <c r="I1472" s="10">
        <v>45593</v>
      </c>
    </row>
    <row r="1473" spans="1:9" x14ac:dyDescent="0.15">
      <c r="A1473" s="9">
        <v>1472</v>
      </c>
      <c r="B1473" s="9" t="s">
        <v>9</v>
      </c>
      <c r="C1473" s="9">
        <v>1920</v>
      </c>
      <c r="D1473" s="10">
        <v>45677</v>
      </c>
      <c r="E1473" s="13" t="str">
        <f>+HYPERLINK("http://trademark.i-assist.jp/data/china/image_1920th/81622470.pdf","81622470")</f>
        <v>81622470</v>
      </c>
      <c r="F1473" s="9" t="s">
        <v>4052</v>
      </c>
      <c r="G1473" s="9" t="s">
        <v>4053</v>
      </c>
      <c r="H1473" s="9" t="s">
        <v>4054</v>
      </c>
      <c r="I1473" s="10">
        <v>45593</v>
      </c>
    </row>
    <row r="1474" spans="1:9" x14ac:dyDescent="0.15">
      <c r="A1474" s="9">
        <v>1473</v>
      </c>
      <c r="B1474" s="9" t="s">
        <v>9</v>
      </c>
      <c r="C1474" s="9">
        <v>1920</v>
      </c>
      <c r="D1474" s="10">
        <v>45677</v>
      </c>
      <c r="E1474" s="13" t="str">
        <f>+HYPERLINK("http://trademark.i-assist.jp/data/china/image_1920th/81622611.pdf","81622611")</f>
        <v>81622611</v>
      </c>
      <c r="F1474" s="9" t="s">
        <v>4055</v>
      </c>
      <c r="G1474" s="9" t="s">
        <v>2583</v>
      </c>
      <c r="H1474" s="9" t="s">
        <v>4056</v>
      </c>
      <c r="I1474" s="10">
        <v>45593</v>
      </c>
    </row>
    <row r="1475" spans="1:9" x14ac:dyDescent="0.15">
      <c r="A1475" s="9">
        <v>1474</v>
      </c>
      <c r="B1475" s="9" t="s">
        <v>9</v>
      </c>
      <c r="C1475" s="9">
        <v>1920</v>
      </c>
      <c r="D1475" s="10">
        <v>45677</v>
      </c>
      <c r="E1475" s="13" t="str">
        <f>+HYPERLINK("http://trademark.i-assist.jp/data/china/image_1920th/81622627.pdf","81622627")</f>
        <v>81622627</v>
      </c>
      <c r="F1475" s="9" t="s">
        <v>4057</v>
      </c>
      <c r="G1475" s="9" t="s">
        <v>4058</v>
      </c>
      <c r="H1475" s="12" t="s">
        <v>4059</v>
      </c>
      <c r="I1475" s="10">
        <v>45593</v>
      </c>
    </row>
    <row r="1476" spans="1:9" x14ac:dyDescent="0.15">
      <c r="A1476" s="9">
        <v>1475</v>
      </c>
      <c r="B1476" s="9" t="s">
        <v>9</v>
      </c>
      <c r="C1476" s="9">
        <v>1920</v>
      </c>
      <c r="D1476" s="10">
        <v>45677</v>
      </c>
      <c r="E1476" s="13" t="str">
        <f>+HYPERLINK("http://trademark.i-assist.jp/data/china/image_1920th/81622703.pdf","81622703")</f>
        <v>81622703</v>
      </c>
      <c r="F1476" s="9" t="s">
        <v>4060</v>
      </c>
      <c r="G1476" s="9" t="s">
        <v>4061</v>
      </c>
      <c r="H1476" s="9" t="s">
        <v>4062</v>
      </c>
      <c r="I1476" s="10">
        <v>45593</v>
      </c>
    </row>
    <row r="1477" spans="1:9" x14ac:dyDescent="0.15">
      <c r="A1477" s="9">
        <v>1476</v>
      </c>
      <c r="B1477" s="9" t="s">
        <v>9</v>
      </c>
      <c r="C1477" s="9">
        <v>1920</v>
      </c>
      <c r="D1477" s="10">
        <v>45677</v>
      </c>
      <c r="E1477" s="13" t="str">
        <f>+HYPERLINK("http://trademark.i-assist.jp/data/china/image_1920th/81622831.pdf","81622831")</f>
        <v>81622831</v>
      </c>
      <c r="F1477" s="12" t="s">
        <v>4063</v>
      </c>
      <c r="G1477" s="9" t="s">
        <v>4064</v>
      </c>
      <c r="H1477" s="9" t="s">
        <v>4065</v>
      </c>
      <c r="I1477" s="10">
        <v>45593</v>
      </c>
    </row>
    <row r="1478" spans="1:9" x14ac:dyDescent="0.15">
      <c r="A1478" s="9">
        <v>1477</v>
      </c>
      <c r="B1478" s="9" t="s">
        <v>9</v>
      </c>
      <c r="C1478" s="9">
        <v>1920</v>
      </c>
      <c r="D1478" s="10">
        <v>45677</v>
      </c>
      <c r="E1478" s="13" t="str">
        <f>+HYPERLINK("http://trademark.i-assist.jp/data/china/image_1920th/81623355.pdf","81623355")</f>
        <v>81623355</v>
      </c>
      <c r="F1478" s="9" t="s">
        <v>4066</v>
      </c>
      <c r="G1478" s="9" t="s">
        <v>4067</v>
      </c>
      <c r="H1478" s="9" t="s">
        <v>4068</v>
      </c>
      <c r="I1478" s="10">
        <v>45593</v>
      </c>
    </row>
    <row r="1479" spans="1:9" x14ac:dyDescent="0.15">
      <c r="A1479" s="9">
        <v>1478</v>
      </c>
      <c r="B1479" s="9" t="s">
        <v>9</v>
      </c>
      <c r="C1479" s="9">
        <v>1920</v>
      </c>
      <c r="D1479" s="10">
        <v>45677</v>
      </c>
      <c r="E1479" s="13" t="str">
        <f>+HYPERLINK("http://trademark.i-assist.jp/data/china/image_1920th/81623718.pdf","81623718")</f>
        <v>81623718</v>
      </c>
      <c r="F1479" s="12" t="s">
        <v>12</v>
      </c>
      <c r="G1479" s="12" t="s">
        <v>142</v>
      </c>
      <c r="H1479" s="9" t="s">
        <v>4069</v>
      </c>
      <c r="I1479" s="10">
        <v>45593</v>
      </c>
    </row>
    <row r="1480" spans="1:9" x14ac:dyDescent="0.15">
      <c r="A1480" s="9">
        <v>1479</v>
      </c>
      <c r="B1480" s="9" t="s">
        <v>9</v>
      </c>
      <c r="C1480" s="9">
        <v>1920</v>
      </c>
      <c r="D1480" s="10">
        <v>45677</v>
      </c>
      <c r="E1480" s="13" t="str">
        <f>+HYPERLINK("http://trademark.i-assist.jp/data/china/image_1920th/81624075.pdf","81624075")</f>
        <v>81624075</v>
      </c>
      <c r="F1480" s="12" t="s">
        <v>12</v>
      </c>
      <c r="G1480" s="9" t="s">
        <v>3175</v>
      </c>
      <c r="H1480" s="9" t="s">
        <v>4070</v>
      </c>
      <c r="I1480" s="10">
        <v>45593</v>
      </c>
    </row>
    <row r="1481" spans="1:9" x14ac:dyDescent="0.15">
      <c r="A1481" s="9">
        <v>1480</v>
      </c>
      <c r="B1481" s="9" t="s">
        <v>9</v>
      </c>
      <c r="C1481" s="9">
        <v>1920</v>
      </c>
      <c r="D1481" s="10">
        <v>45677</v>
      </c>
      <c r="E1481" s="13" t="str">
        <f>+HYPERLINK("http://trademark.i-assist.jp/data/china/image_1920th/81624434.pdf","81624434")</f>
        <v>81624434</v>
      </c>
      <c r="F1481" s="9" t="s">
        <v>4071</v>
      </c>
      <c r="G1481" s="12" t="s">
        <v>4072</v>
      </c>
      <c r="H1481" s="9" t="s">
        <v>4073</v>
      </c>
      <c r="I1481" s="10">
        <v>45593</v>
      </c>
    </row>
    <row r="1482" spans="1:9" x14ac:dyDescent="0.15">
      <c r="A1482" s="9">
        <v>1481</v>
      </c>
      <c r="B1482" s="9" t="s">
        <v>9</v>
      </c>
      <c r="C1482" s="9">
        <v>1920</v>
      </c>
      <c r="D1482" s="10">
        <v>45677</v>
      </c>
      <c r="E1482" s="13" t="str">
        <f>+HYPERLINK("http://trademark.i-assist.jp/data/china/image_1920th/81624553.pdf","81624553")</f>
        <v>81624553</v>
      </c>
      <c r="F1482" s="9" t="s">
        <v>4074</v>
      </c>
      <c r="G1482" s="12" t="s">
        <v>4075</v>
      </c>
      <c r="H1482" s="9" t="s">
        <v>4076</v>
      </c>
      <c r="I1482" s="10">
        <v>45593</v>
      </c>
    </row>
    <row r="1483" spans="1:9" x14ac:dyDescent="0.15">
      <c r="A1483" s="9">
        <v>1482</v>
      </c>
      <c r="B1483" s="9" t="s">
        <v>9</v>
      </c>
      <c r="C1483" s="9">
        <v>1920</v>
      </c>
      <c r="D1483" s="10">
        <v>45677</v>
      </c>
      <c r="E1483" s="13" t="str">
        <f>+HYPERLINK("http://trademark.i-assist.jp/data/china/image_1920th/81624783.pdf","81624783")</f>
        <v>81624783</v>
      </c>
      <c r="F1483" s="12" t="s">
        <v>4077</v>
      </c>
      <c r="G1483" s="12" t="s">
        <v>4078</v>
      </c>
      <c r="H1483" s="9" t="s">
        <v>4079</v>
      </c>
      <c r="I1483" s="10">
        <v>45593</v>
      </c>
    </row>
    <row r="1484" spans="1:9" x14ac:dyDescent="0.15">
      <c r="A1484" s="9">
        <v>1483</v>
      </c>
      <c r="B1484" s="9" t="s">
        <v>9</v>
      </c>
      <c r="C1484" s="9">
        <v>1920</v>
      </c>
      <c r="D1484" s="10">
        <v>45677</v>
      </c>
      <c r="E1484" s="13" t="str">
        <f>+HYPERLINK("http://trademark.i-assist.jp/data/china/image_1920th/81624960.pdf","81624960")</f>
        <v>81624960</v>
      </c>
      <c r="F1484" s="9" t="s">
        <v>4080</v>
      </c>
      <c r="G1484" s="9" t="s">
        <v>3175</v>
      </c>
      <c r="H1484" s="9" t="s">
        <v>4081</v>
      </c>
      <c r="I1484" s="10">
        <v>45593</v>
      </c>
    </row>
    <row r="1485" spans="1:9" x14ac:dyDescent="0.15">
      <c r="A1485" s="9">
        <v>1484</v>
      </c>
      <c r="B1485" s="9" t="s">
        <v>9</v>
      </c>
      <c r="C1485" s="9">
        <v>1920</v>
      </c>
      <c r="D1485" s="10">
        <v>45677</v>
      </c>
      <c r="E1485" s="13" t="str">
        <f>+HYPERLINK("http://trademark.i-assist.jp/data/china/image_1920th/81625026.pdf","81625026")</f>
        <v>81625026</v>
      </c>
      <c r="F1485" s="12" t="s">
        <v>4082</v>
      </c>
      <c r="G1485" s="12" t="s">
        <v>4083</v>
      </c>
      <c r="H1485" s="12" t="s">
        <v>4084</v>
      </c>
      <c r="I1485" s="10">
        <v>45593</v>
      </c>
    </row>
    <row r="1486" spans="1:9" x14ac:dyDescent="0.15">
      <c r="A1486" s="9">
        <v>1485</v>
      </c>
      <c r="B1486" s="9" t="s">
        <v>9</v>
      </c>
      <c r="C1486" s="9">
        <v>1920</v>
      </c>
      <c r="D1486" s="10">
        <v>45677</v>
      </c>
      <c r="E1486" s="13" t="str">
        <f>+HYPERLINK("http://trademark.i-assist.jp/data/china/image_1920th/81625040.pdf","81625040")</f>
        <v>81625040</v>
      </c>
      <c r="F1486" s="9" t="s">
        <v>4085</v>
      </c>
      <c r="G1486" s="9" t="s">
        <v>4086</v>
      </c>
      <c r="H1486" s="9" t="s">
        <v>4087</v>
      </c>
      <c r="I1486" s="10">
        <v>45593</v>
      </c>
    </row>
    <row r="1487" spans="1:9" x14ac:dyDescent="0.15">
      <c r="A1487" s="9">
        <v>1486</v>
      </c>
      <c r="B1487" s="9" t="s">
        <v>9</v>
      </c>
      <c r="C1487" s="9">
        <v>1920</v>
      </c>
      <c r="D1487" s="10">
        <v>45677</v>
      </c>
      <c r="E1487" s="13" t="str">
        <f>+HYPERLINK("http://trademark.i-assist.jp/data/china/image_1920th/81625212.pdf","81625212")</f>
        <v>81625212</v>
      </c>
      <c r="F1487" s="9" t="s">
        <v>4088</v>
      </c>
      <c r="G1487" s="9" t="s">
        <v>4089</v>
      </c>
      <c r="H1487" s="9" t="s">
        <v>4090</v>
      </c>
      <c r="I1487" s="10">
        <v>45593</v>
      </c>
    </row>
    <row r="1488" spans="1:9" x14ac:dyDescent="0.15">
      <c r="A1488" s="9">
        <v>1487</v>
      </c>
      <c r="B1488" s="9" t="s">
        <v>9</v>
      </c>
      <c r="C1488" s="9">
        <v>1920</v>
      </c>
      <c r="D1488" s="10">
        <v>45677</v>
      </c>
      <c r="E1488" s="13" t="str">
        <f>+HYPERLINK("http://trademark.i-assist.jp/data/china/image_1920th/81625927.pdf","81625927")</f>
        <v>81625927</v>
      </c>
      <c r="F1488" s="9" t="s">
        <v>4091</v>
      </c>
      <c r="G1488" s="9" t="s">
        <v>4092</v>
      </c>
      <c r="H1488" s="9" t="s">
        <v>4093</v>
      </c>
      <c r="I1488" s="10">
        <v>45593</v>
      </c>
    </row>
    <row r="1489" spans="1:9" x14ac:dyDescent="0.15">
      <c r="A1489" s="9">
        <v>1488</v>
      </c>
      <c r="B1489" s="9" t="s">
        <v>9</v>
      </c>
      <c r="C1489" s="9">
        <v>1920</v>
      </c>
      <c r="D1489" s="10">
        <v>45677</v>
      </c>
      <c r="E1489" s="13" t="str">
        <f>+HYPERLINK("http://trademark.i-assist.jp/data/china/image_1920th/81625936.pdf","81625936")</f>
        <v>81625936</v>
      </c>
      <c r="F1489" s="9" t="s">
        <v>4094</v>
      </c>
      <c r="G1489" s="9" t="s">
        <v>4095</v>
      </c>
      <c r="H1489" s="12" t="s">
        <v>4096</v>
      </c>
      <c r="I1489" s="10">
        <v>45593</v>
      </c>
    </row>
    <row r="1490" spans="1:9" x14ac:dyDescent="0.15">
      <c r="A1490" s="9">
        <v>1489</v>
      </c>
      <c r="B1490" s="9" t="s">
        <v>9</v>
      </c>
      <c r="C1490" s="9">
        <v>1920</v>
      </c>
      <c r="D1490" s="10">
        <v>45677</v>
      </c>
      <c r="E1490" s="13" t="str">
        <f>+HYPERLINK("http://trademark.i-assist.jp/data/china/image_1920th/81626189.pdf","81626189")</f>
        <v>81626189</v>
      </c>
      <c r="F1490" s="9" t="s">
        <v>4097</v>
      </c>
      <c r="G1490" s="9" t="s">
        <v>4098</v>
      </c>
      <c r="H1490" s="9" t="s">
        <v>4099</v>
      </c>
      <c r="I1490" s="10">
        <v>45593</v>
      </c>
    </row>
    <row r="1491" spans="1:9" x14ac:dyDescent="0.15">
      <c r="A1491" s="9">
        <v>1490</v>
      </c>
      <c r="B1491" s="9" t="s">
        <v>9</v>
      </c>
      <c r="C1491" s="9">
        <v>1920</v>
      </c>
      <c r="D1491" s="10">
        <v>45677</v>
      </c>
      <c r="E1491" s="13" t="str">
        <f>+HYPERLINK("http://trademark.i-assist.jp/data/china/image_1920th/81626816.pdf","81626816")</f>
        <v>81626816</v>
      </c>
      <c r="F1491" s="9" t="s">
        <v>4100</v>
      </c>
      <c r="G1491" s="12" t="s">
        <v>4101</v>
      </c>
      <c r="H1491" s="9" t="s">
        <v>4102</v>
      </c>
      <c r="I1491" s="10">
        <v>45593</v>
      </c>
    </row>
    <row r="1492" spans="1:9" x14ac:dyDescent="0.15">
      <c r="A1492" s="9">
        <v>1491</v>
      </c>
      <c r="B1492" s="9" t="s">
        <v>9</v>
      </c>
      <c r="C1492" s="9">
        <v>1920</v>
      </c>
      <c r="D1492" s="10">
        <v>45677</v>
      </c>
      <c r="E1492" s="13" t="str">
        <f>+HYPERLINK("http://trademark.i-assist.jp/data/china/image_1920th/81626838.pdf","81626838")</f>
        <v>81626838</v>
      </c>
      <c r="F1492" s="9" t="s">
        <v>3955</v>
      </c>
      <c r="G1492" s="9" t="s">
        <v>3956</v>
      </c>
      <c r="H1492" s="9" t="s">
        <v>4103</v>
      </c>
      <c r="I1492" s="10">
        <v>45593</v>
      </c>
    </row>
    <row r="1493" spans="1:9" x14ac:dyDescent="0.15">
      <c r="A1493" s="9">
        <v>1492</v>
      </c>
      <c r="B1493" s="9" t="s">
        <v>9</v>
      </c>
      <c r="C1493" s="9">
        <v>1920</v>
      </c>
      <c r="D1493" s="10">
        <v>45677</v>
      </c>
      <c r="E1493" s="13" t="str">
        <f>+HYPERLINK("http://trademark.i-assist.jp/data/china/image_1920th/81627238.pdf","81627238")</f>
        <v>81627238</v>
      </c>
      <c r="F1493" s="9" t="s">
        <v>4104</v>
      </c>
      <c r="G1493" s="9" t="s">
        <v>4105</v>
      </c>
      <c r="H1493" s="9" t="s">
        <v>4106</v>
      </c>
      <c r="I1493" s="10">
        <v>45593</v>
      </c>
    </row>
    <row r="1494" spans="1:9" x14ac:dyDescent="0.15">
      <c r="A1494" s="9">
        <v>1493</v>
      </c>
      <c r="B1494" s="9" t="s">
        <v>9</v>
      </c>
      <c r="C1494" s="9">
        <v>1920</v>
      </c>
      <c r="D1494" s="10">
        <v>45677</v>
      </c>
      <c r="E1494" s="13" t="str">
        <f>+HYPERLINK("http://trademark.i-assist.jp/data/china/image_1920th/81627367.pdf","81627367")</f>
        <v>81627367</v>
      </c>
      <c r="F1494" s="9" t="s">
        <v>4107</v>
      </c>
      <c r="G1494" s="9" t="s">
        <v>4108</v>
      </c>
      <c r="H1494" s="9" t="s">
        <v>4109</v>
      </c>
      <c r="I1494" s="10">
        <v>45593</v>
      </c>
    </row>
    <row r="1495" spans="1:9" x14ac:dyDescent="0.15">
      <c r="A1495" s="9">
        <v>1494</v>
      </c>
      <c r="B1495" s="9" t="s">
        <v>9</v>
      </c>
      <c r="C1495" s="9">
        <v>1920</v>
      </c>
      <c r="D1495" s="10">
        <v>45677</v>
      </c>
      <c r="E1495" s="13" t="str">
        <f>+HYPERLINK("http://trademark.i-assist.jp/data/china/image_1920th/81627453.pdf","81627453")</f>
        <v>81627453</v>
      </c>
      <c r="F1495" s="12" t="s">
        <v>4110</v>
      </c>
      <c r="G1495" s="12" t="s">
        <v>4111</v>
      </c>
      <c r="H1495" s="9" t="s">
        <v>4112</v>
      </c>
      <c r="I1495" s="10">
        <v>45593</v>
      </c>
    </row>
    <row r="1496" spans="1:9" x14ac:dyDescent="0.15">
      <c r="A1496" s="9">
        <v>1495</v>
      </c>
      <c r="B1496" s="9" t="s">
        <v>9</v>
      </c>
      <c r="C1496" s="9">
        <v>1920</v>
      </c>
      <c r="D1496" s="10">
        <v>45677</v>
      </c>
      <c r="E1496" s="13" t="str">
        <f>+HYPERLINK("http://trademark.i-assist.jp/data/china/image_1920th/81628008.pdf","81628008")</f>
        <v>81628008</v>
      </c>
      <c r="F1496" s="12" t="s">
        <v>4113</v>
      </c>
      <c r="G1496" s="9" t="s">
        <v>3923</v>
      </c>
      <c r="H1496" s="9" t="s">
        <v>4114</v>
      </c>
      <c r="I1496" s="10">
        <v>45593</v>
      </c>
    </row>
    <row r="1497" spans="1:9" x14ac:dyDescent="0.15">
      <c r="A1497" s="9">
        <v>1496</v>
      </c>
      <c r="B1497" s="9" t="s">
        <v>9</v>
      </c>
      <c r="C1497" s="9">
        <v>1920</v>
      </c>
      <c r="D1497" s="10">
        <v>45677</v>
      </c>
      <c r="E1497" s="13" t="str">
        <f>+HYPERLINK("http://trademark.i-assist.jp/data/china/image_1920th/81628232.pdf","81628232")</f>
        <v>81628232</v>
      </c>
      <c r="F1497" s="9" t="s">
        <v>4115</v>
      </c>
      <c r="G1497" s="12" t="s">
        <v>4083</v>
      </c>
      <c r="H1497" s="9" t="s">
        <v>4116</v>
      </c>
      <c r="I1497" s="10">
        <v>45593</v>
      </c>
    </row>
    <row r="1498" spans="1:9" x14ac:dyDescent="0.15">
      <c r="A1498" s="9">
        <v>1497</v>
      </c>
      <c r="B1498" s="9" t="s">
        <v>9</v>
      </c>
      <c r="C1498" s="9">
        <v>1920</v>
      </c>
      <c r="D1498" s="10">
        <v>45677</v>
      </c>
      <c r="E1498" s="13" t="str">
        <f>+HYPERLINK("http://trademark.i-assist.jp/data/china/image_1920th/81628299.pdf","81628299")</f>
        <v>81628299</v>
      </c>
      <c r="F1498" s="12" t="s">
        <v>4117</v>
      </c>
      <c r="G1498" s="9" t="s">
        <v>4118</v>
      </c>
      <c r="H1498" s="9" t="s">
        <v>4119</v>
      </c>
      <c r="I1498" s="10">
        <v>45593</v>
      </c>
    </row>
    <row r="1499" spans="1:9" x14ac:dyDescent="0.15">
      <c r="A1499" s="9">
        <v>1498</v>
      </c>
      <c r="B1499" s="9" t="s">
        <v>9</v>
      </c>
      <c r="C1499" s="9">
        <v>1920</v>
      </c>
      <c r="D1499" s="10">
        <v>45677</v>
      </c>
      <c r="E1499" s="13" t="str">
        <f>+HYPERLINK("http://trademark.i-assist.jp/data/china/image_1920th/81628569.pdf","81628569")</f>
        <v>81628569</v>
      </c>
      <c r="F1499" s="12" t="s">
        <v>4120</v>
      </c>
      <c r="G1499" s="12" t="s">
        <v>3974</v>
      </c>
      <c r="H1499" s="9" t="s">
        <v>4121</v>
      </c>
      <c r="I1499" s="10">
        <v>45593</v>
      </c>
    </row>
    <row r="1500" spans="1:9" x14ac:dyDescent="0.15">
      <c r="A1500" s="9">
        <v>1499</v>
      </c>
      <c r="B1500" s="9" t="s">
        <v>9</v>
      </c>
      <c r="C1500" s="9">
        <v>1920</v>
      </c>
      <c r="D1500" s="10">
        <v>45677</v>
      </c>
      <c r="E1500" s="13" t="str">
        <f>+HYPERLINK("http://trademark.i-assist.jp/data/china/image_1920th/81628570.pdf","81628570")</f>
        <v>81628570</v>
      </c>
      <c r="F1500" s="9" t="s">
        <v>4122</v>
      </c>
      <c r="G1500" s="9" t="s">
        <v>4123</v>
      </c>
      <c r="H1500" s="9" t="s">
        <v>4124</v>
      </c>
      <c r="I1500" s="10">
        <v>45593</v>
      </c>
    </row>
    <row r="1501" spans="1:9" x14ac:dyDescent="0.15">
      <c r="A1501" s="9">
        <v>1500</v>
      </c>
      <c r="B1501" s="9" t="s">
        <v>9</v>
      </c>
      <c r="C1501" s="9">
        <v>1920</v>
      </c>
      <c r="D1501" s="10">
        <v>45677</v>
      </c>
      <c r="E1501" s="13" t="str">
        <f>+HYPERLINK("http://trademark.i-assist.jp/data/china/image_1920th/81628648.pdf","81628648")</f>
        <v>81628648</v>
      </c>
      <c r="F1501" s="9" t="s">
        <v>4125</v>
      </c>
      <c r="G1501" s="9" t="s">
        <v>4126</v>
      </c>
      <c r="H1501" s="9" t="s">
        <v>4127</v>
      </c>
      <c r="I1501" s="10">
        <v>45593</v>
      </c>
    </row>
    <row r="1502" spans="1:9" x14ac:dyDescent="0.15">
      <c r="A1502" s="9">
        <v>1501</v>
      </c>
      <c r="B1502" s="9" t="s">
        <v>9</v>
      </c>
      <c r="C1502" s="9">
        <v>1920</v>
      </c>
      <c r="D1502" s="10">
        <v>45677</v>
      </c>
      <c r="E1502" s="13" t="str">
        <f>+HYPERLINK("http://trademark.i-assist.jp/data/china/image_1920th/81628902.pdf","81628902")</f>
        <v>81628902</v>
      </c>
      <c r="F1502" s="11" t="s">
        <v>4128</v>
      </c>
      <c r="G1502" s="9" t="s">
        <v>4129</v>
      </c>
      <c r="H1502" s="9" t="s">
        <v>4130</v>
      </c>
      <c r="I1502" s="10">
        <v>45593</v>
      </c>
    </row>
    <row r="1503" spans="1:9" x14ac:dyDescent="0.15">
      <c r="A1503" s="9">
        <v>1502</v>
      </c>
      <c r="B1503" s="9" t="s">
        <v>9</v>
      </c>
      <c r="C1503" s="9">
        <v>1920</v>
      </c>
      <c r="D1503" s="10">
        <v>45677</v>
      </c>
      <c r="E1503" s="13" t="str">
        <f>+HYPERLINK("http://trademark.i-assist.jp/data/china/image_1920th/81629113.pdf","81629113")</f>
        <v>81629113</v>
      </c>
      <c r="F1503" s="9" t="s">
        <v>4131</v>
      </c>
      <c r="G1503" s="9" t="s">
        <v>4132</v>
      </c>
      <c r="H1503" s="9" t="s">
        <v>4133</v>
      </c>
      <c r="I1503" s="10">
        <v>45593</v>
      </c>
    </row>
    <row r="1504" spans="1:9" x14ac:dyDescent="0.15">
      <c r="A1504" s="9">
        <v>1503</v>
      </c>
      <c r="B1504" s="9" t="s">
        <v>9</v>
      </c>
      <c r="C1504" s="9">
        <v>1920</v>
      </c>
      <c r="D1504" s="10">
        <v>45677</v>
      </c>
      <c r="E1504" s="13" t="str">
        <f>+HYPERLINK("http://trademark.i-assist.jp/data/china/image_1920th/81629502.pdf","81629502")</f>
        <v>81629502</v>
      </c>
      <c r="F1504" s="12" t="s">
        <v>4134</v>
      </c>
      <c r="G1504" s="9" t="s">
        <v>156</v>
      </c>
      <c r="H1504" s="9" t="s">
        <v>4135</v>
      </c>
      <c r="I1504" s="10">
        <v>45593</v>
      </c>
    </row>
    <row r="1505" spans="1:9" x14ac:dyDescent="0.15">
      <c r="A1505" s="9">
        <v>1504</v>
      </c>
      <c r="B1505" s="9" t="s">
        <v>9</v>
      </c>
      <c r="C1505" s="9">
        <v>1920</v>
      </c>
      <c r="D1505" s="10">
        <v>45677</v>
      </c>
      <c r="E1505" s="13" t="str">
        <f>+HYPERLINK("http://trademark.i-assist.jp/data/china/image_1920th/81629577.pdf","81629577")</f>
        <v>81629577</v>
      </c>
      <c r="F1505" s="9" t="s">
        <v>4136</v>
      </c>
      <c r="G1505" s="9" t="s">
        <v>4137</v>
      </c>
      <c r="H1505" s="9" t="s">
        <v>4138</v>
      </c>
      <c r="I1505" s="10">
        <v>45593</v>
      </c>
    </row>
    <row r="1506" spans="1:9" x14ac:dyDescent="0.15">
      <c r="A1506" s="9">
        <v>1505</v>
      </c>
      <c r="B1506" s="9" t="s">
        <v>9</v>
      </c>
      <c r="C1506" s="9">
        <v>1920</v>
      </c>
      <c r="D1506" s="10">
        <v>45677</v>
      </c>
      <c r="E1506" s="13" t="str">
        <f>+HYPERLINK("http://trademark.i-assist.jp/data/china/image_1920th/81629687.pdf","81629687")</f>
        <v>81629687</v>
      </c>
      <c r="F1506" s="9" t="s">
        <v>4139</v>
      </c>
      <c r="G1506" s="9" t="s">
        <v>4140</v>
      </c>
      <c r="H1506" s="9" t="s">
        <v>4141</v>
      </c>
      <c r="I1506" s="10">
        <v>45593</v>
      </c>
    </row>
    <row r="1507" spans="1:9" x14ac:dyDescent="0.15">
      <c r="A1507" s="9">
        <v>1506</v>
      </c>
      <c r="B1507" s="9" t="s">
        <v>9</v>
      </c>
      <c r="C1507" s="9">
        <v>1920</v>
      </c>
      <c r="D1507" s="10">
        <v>45677</v>
      </c>
      <c r="E1507" s="13" t="str">
        <f>+HYPERLINK("http://trademark.i-assist.jp/data/china/image_1920th/81629733.pdf","81629733")</f>
        <v>81629733</v>
      </c>
      <c r="F1507" s="9" t="s">
        <v>4142</v>
      </c>
      <c r="G1507" s="12" t="s">
        <v>129</v>
      </c>
      <c r="H1507" s="9" t="s">
        <v>4143</v>
      </c>
      <c r="I1507" s="10">
        <v>45593</v>
      </c>
    </row>
    <row r="1508" spans="1:9" x14ac:dyDescent="0.15">
      <c r="A1508" s="9">
        <v>1507</v>
      </c>
      <c r="B1508" s="9" t="s">
        <v>9</v>
      </c>
      <c r="C1508" s="9">
        <v>1920</v>
      </c>
      <c r="D1508" s="10">
        <v>45677</v>
      </c>
      <c r="E1508" s="13" t="str">
        <f>+HYPERLINK("http://trademark.i-assist.jp/data/china/image_1920th/81629750.pdf","81629750")</f>
        <v>81629750</v>
      </c>
      <c r="F1508" s="12" t="s">
        <v>12</v>
      </c>
      <c r="G1508" s="9" t="s">
        <v>4144</v>
      </c>
      <c r="H1508" s="9" t="s">
        <v>4145</v>
      </c>
      <c r="I1508" s="10">
        <v>45593</v>
      </c>
    </row>
    <row r="1509" spans="1:9" x14ac:dyDescent="0.15">
      <c r="A1509" s="9">
        <v>1508</v>
      </c>
      <c r="B1509" s="9" t="s">
        <v>9</v>
      </c>
      <c r="C1509" s="9">
        <v>1920</v>
      </c>
      <c r="D1509" s="10">
        <v>45677</v>
      </c>
      <c r="E1509" s="13" t="str">
        <f>+HYPERLINK("http://trademark.i-assist.jp/data/china/image_1920th/81629809.pdf","81629809")</f>
        <v>81629809</v>
      </c>
      <c r="F1509" s="9" t="s">
        <v>4146</v>
      </c>
      <c r="G1509" s="9" t="s">
        <v>4086</v>
      </c>
      <c r="H1509" s="12" t="s">
        <v>4147</v>
      </c>
      <c r="I1509" s="10">
        <v>45593</v>
      </c>
    </row>
    <row r="1510" spans="1:9" x14ac:dyDescent="0.15">
      <c r="A1510" s="9">
        <v>1509</v>
      </c>
      <c r="B1510" s="9" t="s">
        <v>9</v>
      </c>
      <c r="C1510" s="9">
        <v>1920</v>
      </c>
      <c r="D1510" s="10">
        <v>45677</v>
      </c>
      <c r="E1510" s="13" t="str">
        <f>+HYPERLINK("http://trademark.i-assist.jp/data/china/image_1920th/81629957.pdf","81629957")</f>
        <v>81629957</v>
      </c>
      <c r="F1510" s="9" t="s">
        <v>4148</v>
      </c>
      <c r="G1510" s="12" t="s">
        <v>4149</v>
      </c>
      <c r="H1510" s="9" t="s">
        <v>4150</v>
      </c>
      <c r="I1510" s="10">
        <v>45593</v>
      </c>
    </row>
    <row r="1511" spans="1:9" x14ac:dyDescent="0.15">
      <c r="A1511" s="9">
        <v>1510</v>
      </c>
      <c r="B1511" s="9" t="s">
        <v>9</v>
      </c>
      <c r="C1511" s="9">
        <v>1920</v>
      </c>
      <c r="D1511" s="10">
        <v>45677</v>
      </c>
      <c r="E1511" s="13" t="str">
        <f>+HYPERLINK("http://trademark.i-assist.jp/data/china/image_1920th/81630302.pdf","81630302")</f>
        <v>81630302</v>
      </c>
      <c r="F1511" s="9" t="s">
        <v>4151</v>
      </c>
      <c r="G1511" s="9" t="s">
        <v>4152</v>
      </c>
      <c r="H1511" s="9" t="s">
        <v>4153</v>
      </c>
      <c r="I1511" s="10">
        <v>45593</v>
      </c>
    </row>
    <row r="1512" spans="1:9" x14ac:dyDescent="0.15">
      <c r="A1512" s="9">
        <v>1511</v>
      </c>
      <c r="B1512" s="9" t="s">
        <v>9</v>
      </c>
      <c r="C1512" s="9">
        <v>1920</v>
      </c>
      <c r="D1512" s="10">
        <v>45677</v>
      </c>
      <c r="E1512" s="13" t="str">
        <f>+HYPERLINK("http://trademark.i-assist.jp/data/china/image_1920th/81630733.pdf","81630733")</f>
        <v>81630733</v>
      </c>
      <c r="F1512" s="9" t="s">
        <v>4154</v>
      </c>
      <c r="G1512" s="9" t="s">
        <v>4098</v>
      </c>
      <c r="H1512" s="9" t="s">
        <v>4155</v>
      </c>
      <c r="I1512" s="10">
        <v>45593</v>
      </c>
    </row>
    <row r="1513" spans="1:9" x14ac:dyDescent="0.15">
      <c r="A1513" s="9">
        <v>1512</v>
      </c>
      <c r="B1513" s="9" t="s">
        <v>9</v>
      </c>
      <c r="C1513" s="9">
        <v>1920</v>
      </c>
      <c r="D1513" s="10">
        <v>45677</v>
      </c>
      <c r="E1513" s="13" t="str">
        <f>+HYPERLINK("http://trademark.i-assist.jp/data/china/image_1920th/81630772.pdf","81630772")</f>
        <v>81630772</v>
      </c>
      <c r="F1513" s="9" t="s">
        <v>4156</v>
      </c>
      <c r="G1513" s="12" t="s">
        <v>16</v>
      </c>
      <c r="H1513" s="9" t="s">
        <v>4157</v>
      </c>
      <c r="I1513" s="10">
        <v>45593</v>
      </c>
    </row>
    <row r="1514" spans="1:9" x14ac:dyDescent="0.15">
      <c r="A1514" s="9">
        <v>1513</v>
      </c>
      <c r="B1514" s="9" t="s">
        <v>9</v>
      </c>
      <c r="C1514" s="9">
        <v>1920</v>
      </c>
      <c r="D1514" s="10">
        <v>45677</v>
      </c>
      <c r="E1514" s="13" t="str">
        <f>+HYPERLINK("http://trademark.i-assist.jp/data/china/image_1920th/81631365.pdf","81631365")</f>
        <v>81631365</v>
      </c>
      <c r="F1514" s="12" t="s">
        <v>12</v>
      </c>
      <c r="G1514" s="9" t="s">
        <v>4158</v>
      </c>
      <c r="H1514" s="9" t="s">
        <v>4159</v>
      </c>
      <c r="I1514" s="10">
        <v>45593</v>
      </c>
    </row>
    <row r="1515" spans="1:9" x14ac:dyDescent="0.15">
      <c r="A1515" s="9">
        <v>1514</v>
      </c>
      <c r="B1515" s="9" t="s">
        <v>9</v>
      </c>
      <c r="C1515" s="9">
        <v>1920</v>
      </c>
      <c r="D1515" s="10">
        <v>45677</v>
      </c>
      <c r="E1515" s="13" t="str">
        <f>+HYPERLINK("http://trademark.i-assist.jp/data/china/image_1920th/81631452.pdf","81631452")</f>
        <v>81631452</v>
      </c>
      <c r="F1515" s="12" t="s">
        <v>4160</v>
      </c>
      <c r="G1515" s="9" t="s">
        <v>4161</v>
      </c>
      <c r="H1515" s="9" t="s">
        <v>4162</v>
      </c>
      <c r="I1515" s="10">
        <v>45593</v>
      </c>
    </row>
    <row r="1516" spans="1:9" x14ac:dyDescent="0.15">
      <c r="A1516" s="9">
        <v>1515</v>
      </c>
      <c r="B1516" s="9" t="s">
        <v>9</v>
      </c>
      <c r="C1516" s="9">
        <v>1920</v>
      </c>
      <c r="D1516" s="10">
        <v>45677</v>
      </c>
      <c r="E1516" s="13" t="str">
        <f>+HYPERLINK("http://trademark.i-assist.jp/data/china/image_1920th/81631748.pdf","81631748")</f>
        <v>81631748</v>
      </c>
      <c r="F1516" s="9" t="s">
        <v>4163</v>
      </c>
      <c r="G1516" s="9" t="s">
        <v>91</v>
      </c>
      <c r="H1516" s="9" t="s">
        <v>4164</v>
      </c>
      <c r="I1516" s="10">
        <v>45593</v>
      </c>
    </row>
    <row r="1517" spans="1:9" x14ac:dyDescent="0.15">
      <c r="A1517" s="9">
        <v>1516</v>
      </c>
      <c r="B1517" s="9" t="s">
        <v>9</v>
      </c>
      <c r="C1517" s="9">
        <v>1920</v>
      </c>
      <c r="D1517" s="10">
        <v>45677</v>
      </c>
      <c r="E1517" s="13" t="str">
        <f>+HYPERLINK("http://trademark.i-assist.jp/data/china/image_1920th/81631859.pdf","81631859")</f>
        <v>81631859</v>
      </c>
      <c r="F1517" s="9" t="s">
        <v>4165</v>
      </c>
      <c r="G1517" s="12" t="s">
        <v>4045</v>
      </c>
      <c r="H1517" s="9" t="s">
        <v>4166</v>
      </c>
      <c r="I1517" s="10">
        <v>45593</v>
      </c>
    </row>
    <row r="1518" spans="1:9" x14ac:dyDescent="0.15">
      <c r="A1518" s="9">
        <v>1517</v>
      </c>
      <c r="B1518" s="9" t="s">
        <v>9</v>
      </c>
      <c r="C1518" s="9">
        <v>1920</v>
      </c>
      <c r="D1518" s="10">
        <v>45677</v>
      </c>
      <c r="E1518" s="13" t="str">
        <f>+HYPERLINK("http://trademark.i-assist.jp/data/china/image_1920th/81632020.pdf","81632020")</f>
        <v>81632020</v>
      </c>
      <c r="F1518" s="9" t="s">
        <v>4167</v>
      </c>
      <c r="G1518" s="9" t="s">
        <v>4168</v>
      </c>
      <c r="H1518" s="9" t="s">
        <v>4169</v>
      </c>
      <c r="I1518" s="10">
        <v>45593</v>
      </c>
    </row>
    <row r="1519" spans="1:9" x14ac:dyDescent="0.15">
      <c r="A1519" s="9">
        <v>1518</v>
      </c>
      <c r="B1519" s="9" t="s">
        <v>9</v>
      </c>
      <c r="C1519" s="9">
        <v>1920</v>
      </c>
      <c r="D1519" s="10">
        <v>45677</v>
      </c>
      <c r="E1519" s="13" t="str">
        <f>+HYPERLINK("http://trademark.i-assist.jp/data/china/image_1920th/81632147.pdf","81632147")</f>
        <v>81632147</v>
      </c>
      <c r="F1519" s="9" t="s">
        <v>4170</v>
      </c>
      <c r="G1519" s="9" t="s">
        <v>4171</v>
      </c>
      <c r="H1519" s="12" t="s">
        <v>4172</v>
      </c>
      <c r="I1519" s="10">
        <v>45593</v>
      </c>
    </row>
    <row r="1520" spans="1:9" x14ac:dyDescent="0.15">
      <c r="A1520" s="9">
        <v>1519</v>
      </c>
      <c r="B1520" s="9" t="s">
        <v>9</v>
      </c>
      <c r="C1520" s="9">
        <v>1920</v>
      </c>
      <c r="D1520" s="10">
        <v>45677</v>
      </c>
      <c r="E1520" s="13" t="str">
        <f>+HYPERLINK("http://trademark.i-assist.jp/data/china/image_1920th/81632383.pdf","81632383")</f>
        <v>81632383</v>
      </c>
      <c r="F1520" s="9" t="s">
        <v>4173</v>
      </c>
      <c r="G1520" s="12" t="s">
        <v>4174</v>
      </c>
      <c r="H1520" s="9" t="s">
        <v>4175</v>
      </c>
      <c r="I1520" s="10">
        <v>45593</v>
      </c>
    </row>
    <row r="1521" spans="1:9" x14ac:dyDescent="0.15">
      <c r="A1521" s="9">
        <v>1520</v>
      </c>
      <c r="B1521" s="9" t="s">
        <v>9</v>
      </c>
      <c r="C1521" s="9">
        <v>1920</v>
      </c>
      <c r="D1521" s="10">
        <v>45677</v>
      </c>
      <c r="E1521" s="13" t="str">
        <f>+HYPERLINK("http://trademark.i-assist.jp/data/china/image_1920th/81632655.pdf","81632655")</f>
        <v>81632655</v>
      </c>
      <c r="F1521" s="9" t="s">
        <v>4176</v>
      </c>
      <c r="G1521" s="9" t="s">
        <v>4177</v>
      </c>
      <c r="H1521" s="12" t="s">
        <v>4178</v>
      </c>
      <c r="I1521" s="10">
        <v>45593</v>
      </c>
    </row>
    <row r="1522" spans="1:9" x14ac:dyDescent="0.15">
      <c r="A1522" s="9">
        <v>1521</v>
      </c>
      <c r="B1522" s="9" t="s">
        <v>9</v>
      </c>
      <c r="C1522" s="9">
        <v>1920</v>
      </c>
      <c r="D1522" s="10">
        <v>45677</v>
      </c>
      <c r="E1522" s="13" t="str">
        <f>+HYPERLINK("http://trademark.i-assist.jp/data/china/image_1920th/81632861.pdf","81632861")</f>
        <v>81632861</v>
      </c>
      <c r="F1522" s="12" t="s">
        <v>12</v>
      </c>
      <c r="G1522" s="9" t="s">
        <v>4179</v>
      </c>
      <c r="H1522" s="9" t="s">
        <v>4180</v>
      </c>
      <c r="I1522" s="10">
        <v>45593</v>
      </c>
    </row>
    <row r="1523" spans="1:9" x14ac:dyDescent="0.15">
      <c r="A1523" s="9">
        <v>1522</v>
      </c>
      <c r="B1523" s="9" t="s">
        <v>9</v>
      </c>
      <c r="C1523" s="9">
        <v>1920</v>
      </c>
      <c r="D1523" s="10">
        <v>45677</v>
      </c>
      <c r="E1523" s="13" t="str">
        <f>+HYPERLINK("http://trademark.i-assist.jp/data/china/image_1920th/81632955.pdf","81632955")</f>
        <v>81632955</v>
      </c>
      <c r="F1523" s="9" t="s">
        <v>4181</v>
      </c>
      <c r="G1523" s="9" t="s">
        <v>2583</v>
      </c>
      <c r="H1523" s="9" t="s">
        <v>4182</v>
      </c>
      <c r="I1523" s="10">
        <v>45593</v>
      </c>
    </row>
    <row r="1524" spans="1:9" x14ac:dyDescent="0.15">
      <c r="A1524" s="9">
        <v>1523</v>
      </c>
      <c r="B1524" s="9" t="s">
        <v>9</v>
      </c>
      <c r="C1524" s="9">
        <v>1920</v>
      </c>
      <c r="D1524" s="10">
        <v>45677</v>
      </c>
      <c r="E1524" s="13" t="str">
        <f>+HYPERLINK("http://trademark.i-assist.jp/data/china/image_1920th/81633145.pdf","81633145")</f>
        <v>81633145</v>
      </c>
      <c r="F1524" s="12" t="s">
        <v>4183</v>
      </c>
      <c r="G1524" s="9" t="s">
        <v>156</v>
      </c>
      <c r="H1524" s="9" t="s">
        <v>4184</v>
      </c>
      <c r="I1524" s="10">
        <v>45593</v>
      </c>
    </row>
    <row r="1525" spans="1:9" x14ac:dyDescent="0.15">
      <c r="A1525" s="9">
        <v>1524</v>
      </c>
      <c r="B1525" s="9" t="s">
        <v>9</v>
      </c>
      <c r="C1525" s="9">
        <v>1920</v>
      </c>
      <c r="D1525" s="10">
        <v>45677</v>
      </c>
      <c r="E1525" s="13" t="str">
        <f>+HYPERLINK("http://trademark.i-assist.jp/data/china/image_1920th/81633214.pdf","81633214")</f>
        <v>81633214</v>
      </c>
      <c r="F1525" s="12" t="s">
        <v>4185</v>
      </c>
      <c r="G1525" s="9" t="s">
        <v>43</v>
      </c>
      <c r="H1525" s="9" t="s">
        <v>4186</v>
      </c>
      <c r="I1525" s="10">
        <v>45593</v>
      </c>
    </row>
    <row r="1526" spans="1:9" x14ac:dyDescent="0.15">
      <c r="A1526" s="9">
        <v>1525</v>
      </c>
      <c r="B1526" s="9" t="s">
        <v>9</v>
      </c>
      <c r="C1526" s="9">
        <v>1920</v>
      </c>
      <c r="D1526" s="10">
        <v>45677</v>
      </c>
      <c r="E1526" s="13" t="str">
        <f>+HYPERLINK("http://trademark.i-assist.jp/data/china/image_1920th/81633240.pdf","81633240")</f>
        <v>81633240</v>
      </c>
      <c r="F1526" s="9" t="s">
        <v>4187</v>
      </c>
      <c r="G1526" s="9" t="s">
        <v>43</v>
      </c>
      <c r="H1526" s="9" t="s">
        <v>4188</v>
      </c>
      <c r="I1526" s="10">
        <v>45593</v>
      </c>
    </row>
    <row r="1527" spans="1:9" x14ac:dyDescent="0.15">
      <c r="A1527" s="9">
        <v>1526</v>
      </c>
      <c r="B1527" s="9" t="s">
        <v>9</v>
      </c>
      <c r="C1527" s="9">
        <v>1920</v>
      </c>
      <c r="D1527" s="10">
        <v>45677</v>
      </c>
      <c r="E1527" s="13" t="str">
        <f>+HYPERLINK("http://trademark.i-assist.jp/data/china/image_1920th/81633241.pdf","81633241")</f>
        <v>81633241</v>
      </c>
      <c r="F1527" s="9" t="s">
        <v>4189</v>
      </c>
      <c r="G1527" s="12" t="s">
        <v>4190</v>
      </c>
      <c r="H1527" s="9" t="s">
        <v>4191</v>
      </c>
      <c r="I1527" s="10">
        <v>45593</v>
      </c>
    </row>
    <row r="1528" spans="1:9" x14ac:dyDescent="0.15">
      <c r="A1528" s="9">
        <v>1527</v>
      </c>
      <c r="B1528" s="9" t="s">
        <v>9</v>
      </c>
      <c r="C1528" s="9">
        <v>1920</v>
      </c>
      <c r="D1528" s="10">
        <v>45677</v>
      </c>
      <c r="E1528" s="13" t="str">
        <f>+HYPERLINK("http://trademark.i-assist.jp/data/china/image_1920th/81633248.pdf","81633248")</f>
        <v>81633248</v>
      </c>
      <c r="F1528" s="9" t="s">
        <v>4192</v>
      </c>
      <c r="G1528" s="12" t="s">
        <v>4193</v>
      </c>
      <c r="H1528" s="9" t="s">
        <v>4194</v>
      </c>
      <c r="I1528" s="10">
        <v>45593</v>
      </c>
    </row>
    <row r="1529" spans="1:9" x14ac:dyDescent="0.15">
      <c r="A1529" s="9">
        <v>1528</v>
      </c>
      <c r="B1529" s="9" t="s">
        <v>9</v>
      </c>
      <c r="C1529" s="9">
        <v>1920</v>
      </c>
      <c r="D1529" s="10">
        <v>45677</v>
      </c>
      <c r="E1529" s="13" t="str">
        <f>+HYPERLINK("http://trademark.i-assist.jp/data/china/image_1920th/81633303.pdf","81633303")</f>
        <v>81633303</v>
      </c>
      <c r="F1529" s="12" t="s">
        <v>4195</v>
      </c>
      <c r="G1529" s="9" t="s">
        <v>2583</v>
      </c>
      <c r="H1529" s="12" t="s">
        <v>4196</v>
      </c>
      <c r="I1529" s="10">
        <v>45593</v>
      </c>
    </row>
    <row r="1530" spans="1:9" x14ac:dyDescent="0.15">
      <c r="A1530" s="9">
        <v>1529</v>
      </c>
      <c r="B1530" s="9" t="s">
        <v>9</v>
      </c>
      <c r="C1530" s="9">
        <v>1920</v>
      </c>
      <c r="D1530" s="10">
        <v>45677</v>
      </c>
      <c r="E1530" s="13" t="str">
        <f>+HYPERLINK("http://trademark.i-assist.jp/data/china/image_1920th/81633324.pdf","81633324")</f>
        <v>81633324</v>
      </c>
      <c r="F1530" s="9" t="s">
        <v>4197</v>
      </c>
      <c r="G1530" s="9" t="s">
        <v>4001</v>
      </c>
      <c r="H1530" s="9" t="s">
        <v>4198</v>
      </c>
      <c r="I1530" s="10">
        <v>45593</v>
      </c>
    </row>
    <row r="1531" spans="1:9" x14ac:dyDescent="0.15">
      <c r="A1531" s="9">
        <v>1530</v>
      </c>
      <c r="B1531" s="9" t="s">
        <v>9</v>
      </c>
      <c r="C1531" s="9">
        <v>1920</v>
      </c>
      <c r="D1531" s="10">
        <v>45677</v>
      </c>
      <c r="E1531" s="13" t="str">
        <f>+HYPERLINK("http://trademark.i-assist.jp/data/china/image_1920th/81633391.pdf","81633391")</f>
        <v>81633391</v>
      </c>
      <c r="F1531" s="12" t="s">
        <v>4199</v>
      </c>
      <c r="G1531" s="9" t="s">
        <v>4200</v>
      </c>
      <c r="H1531" s="9" t="s">
        <v>4201</v>
      </c>
      <c r="I1531" s="10">
        <v>45593</v>
      </c>
    </row>
    <row r="1532" spans="1:9" x14ac:dyDescent="0.15">
      <c r="A1532" s="9">
        <v>1531</v>
      </c>
      <c r="B1532" s="9" t="s">
        <v>9</v>
      </c>
      <c r="C1532" s="9">
        <v>1920</v>
      </c>
      <c r="D1532" s="10">
        <v>45677</v>
      </c>
      <c r="E1532" s="13" t="str">
        <f>+HYPERLINK("http://trademark.i-assist.jp/data/china/image_1920th/81633711.pdf","81633711")</f>
        <v>81633711</v>
      </c>
      <c r="F1532" s="12" t="s">
        <v>12</v>
      </c>
      <c r="G1532" s="9" t="s">
        <v>4202</v>
      </c>
      <c r="H1532" s="9" t="s">
        <v>4203</v>
      </c>
      <c r="I1532" s="10">
        <v>45593</v>
      </c>
    </row>
    <row r="1533" spans="1:9" x14ac:dyDescent="0.15">
      <c r="A1533" s="9">
        <v>1532</v>
      </c>
      <c r="B1533" s="9" t="s">
        <v>9</v>
      </c>
      <c r="C1533" s="9">
        <v>1920</v>
      </c>
      <c r="D1533" s="10">
        <v>45677</v>
      </c>
      <c r="E1533" s="13" t="str">
        <f>+HYPERLINK("http://trademark.i-assist.jp/data/china/image_1920th/81633931.pdf","81633931")</f>
        <v>81633931</v>
      </c>
      <c r="F1533" s="9" t="s">
        <v>4204</v>
      </c>
      <c r="G1533" s="9" t="s">
        <v>4205</v>
      </c>
      <c r="H1533" s="9" t="s">
        <v>4206</v>
      </c>
      <c r="I1533" s="10">
        <v>45593</v>
      </c>
    </row>
    <row r="1534" spans="1:9" x14ac:dyDescent="0.15">
      <c r="A1534" s="9">
        <v>1533</v>
      </c>
      <c r="B1534" s="9" t="s">
        <v>9</v>
      </c>
      <c r="C1534" s="9">
        <v>1920</v>
      </c>
      <c r="D1534" s="10">
        <v>45677</v>
      </c>
      <c r="E1534" s="13" t="str">
        <f>+HYPERLINK("http://trademark.i-assist.jp/data/china/image_1920th/81634010.pdf","81634010")</f>
        <v>81634010</v>
      </c>
      <c r="F1534" s="9" t="s">
        <v>4207</v>
      </c>
      <c r="G1534" s="9" t="s">
        <v>4208</v>
      </c>
      <c r="H1534" s="9" t="s">
        <v>4209</v>
      </c>
      <c r="I1534" s="10">
        <v>45593</v>
      </c>
    </row>
    <row r="1535" spans="1:9" x14ac:dyDescent="0.15">
      <c r="A1535" s="9">
        <v>1534</v>
      </c>
      <c r="B1535" s="9" t="s">
        <v>9</v>
      </c>
      <c r="C1535" s="9">
        <v>1920</v>
      </c>
      <c r="D1535" s="10">
        <v>45677</v>
      </c>
      <c r="E1535" s="13" t="str">
        <f>+HYPERLINK("http://trademark.i-assist.jp/data/china/image_1920th/81634808.pdf","81634808")</f>
        <v>81634808</v>
      </c>
      <c r="F1535" s="9" t="s">
        <v>4210</v>
      </c>
      <c r="G1535" s="9" t="s">
        <v>4211</v>
      </c>
      <c r="H1535" s="9" t="s">
        <v>4212</v>
      </c>
      <c r="I1535" s="10">
        <v>45593</v>
      </c>
    </row>
    <row r="1536" spans="1:9" x14ac:dyDescent="0.15">
      <c r="A1536" s="9">
        <v>1535</v>
      </c>
      <c r="B1536" s="9" t="s">
        <v>9</v>
      </c>
      <c r="C1536" s="9">
        <v>1920</v>
      </c>
      <c r="D1536" s="10">
        <v>45677</v>
      </c>
      <c r="E1536" s="13" t="str">
        <f>+HYPERLINK("http://trademark.i-assist.jp/data/china/image_1920th/81635055.pdf","81635055")</f>
        <v>81635055</v>
      </c>
      <c r="F1536" s="9" t="s">
        <v>4213</v>
      </c>
      <c r="G1536" s="9" t="s">
        <v>4214</v>
      </c>
      <c r="H1536" s="9" t="s">
        <v>4215</v>
      </c>
      <c r="I1536" s="10">
        <v>45593</v>
      </c>
    </row>
    <row r="1537" spans="1:9" x14ac:dyDescent="0.15">
      <c r="A1537" s="9">
        <v>1536</v>
      </c>
      <c r="B1537" s="9" t="s">
        <v>9</v>
      </c>
      <c r="C1537" s="9">
        <v>1920</v>
      </c>
      <c r="D1537" s="10">
        <v>45677</v>
      </c>
      <c r="E1537" s="13" t="str">
        <f>+HYPERLINK("http://trademark.i-assist.jp/data/china/image_1920th/81635174.pdf","81635174")</f>
        <v>81635174</v>
      </c>
      <c r="F1537" s="9" t="s">
        <v>4216</v>
      </c>
      <c r="G1537" s="12" t="s">
        <v>4045</v>
      </c>
      <c r="H1537" s="9" t="s">
        <v>4217</v>
      </c>
      <c r="I1537" s="10">
        <v>45593</v>
      </c>
    </row>
    <row r="1538" spans="1:9" x14ac:dyDescent="0.15">
      <c r="A1538" s="9">
        <v>1537</v>
      </c>
      <c r="B1538" s="9" t="s">
        <v>9</v>
      </c>
      <c r="C1538" s="9">
        <v>1920</v>
      </c>
      <c r="D1538" s="10">
        <v>45677</v>
      </c>
      <c r="E1538" s="13" t="str">
        <f>+HYPERLINK("http://trademark.i-assist.jp/data/china/image_1920th/81635341.pdf","81635341")</f>
        <v>81635341</v>
      </c>
      <c r="F1538" s="9" t="s">
        <v>4218</v>
      </c>
      <c r="G1538" s="9" t="s">
        <v>4219</v>
      </c>
      <c r="H1538" s="9" t="s">
        <v>4220</v>
      </c>
      <c r="I1538" s="10">
        <v>45593</v>
      </c>
    </row>
    <row r="1539" spans="1:9" x14ac:dyDescent="0.15">
      <c r="A1539" s="9">
        <v>1538</v>
      </c>
      <c r="B1539" s="9" t="s">
        <v>9</v>
      </c>
      <c r="C1539" s="9">
        <v>1920</v>
      </c>
      <c r="D1539" s="10">
        <v>45677</v>
      </c>
      <c r="E1539" s="13" t="str">
        <f>+HYPERLINK("http://trademark.i-assist.jp/data/china/image_1920th/81635434.pdf","81635434")</f>
        <v>81635434</v>
      </c>
      <c r="F1539" s="12" t="s">
        <v>4221</v>
      </c>
      <c r="G1539" s="9" t="s">
        <v>4208</v>
      </c>
      <c r="H1539" s="9" t="s">
        <v>4222</v>
      </c>
      <c r="I1539" s="10">
        <v>45593</v>
      </c>
    </row>
    <row r="1540" spans="1:9" x14ac:dyDescent="0.15">
      <c r="A1540" s="9">
        <v>1539</v>
      </c>
      <c r="B1540" s="9" t="s">
        <v>9</v>
      </c>
      <c r="C1540" s="9">
        <v>1920</v>
      </c>
      <c r="D1540" s="10">
        <v>45677</v>
      </c>
      <c r="E1540" s="13" t="str">
        <f>+HYPERLINK("http://trademark.i-assist.jp/data/china/image_1920th/81635756.pdf","81635756")</f>
        <v>81635756</v>
      </c>
      <c r="F1540" s="9" t="s">
        <v>4223</v>
      </c>
      <c r="G1540" s="12" t="s">
        <v>4224</v>
      </c>
      <c r="H1540" s="9" t="s">
        <v>4225</v>
      </c>
      <c r="I1540" s="10">
        <v>45593</v>
      </c>
    </row>
    <row r="1541" spans="1:9" x14ac:dyDescent="0.15">
      <c r="A1541" s="9">
        <v>1540</v>
      </c>
      <c r="B1541" s="9" t="s">
        <v>9</v>
      </c>
      <c r="C1541" s="9">
        <v>1920</v>
      </c>
      <c r="D1541" s="10">
        <v>45677</v>
      </c>
      <c r="E1541" s="13" t="str">
        <f>+HYPERLINK("http://trademark.i-assist.jp/data/china/image_1920th/81636108.pdf","81636108")</f>
        <v>81636108</v>
      </c>
      <c r="F1541" s="9" t="s">
        <v>4226</v>
      </c>
      <c r="G1541" s="9" t="s">
        <v>4227</v>
      </c>
      <c r="H1541" s="9" t="s">
        <v>4228</v>
      </c>
      <c r="I1541" s="10">
        <v>45593</v>
      </c>
    </row>
    <row r="1542" spans="1:9" x14ac:dyDescent="0.15">
      <c r="A1542" s="9">
        <v>1541</v>
      </c>
      <c r="B1542" s="9" t="s">
        <v>9</v>
      </c>
      <c r="C1542" s="9">
        <v>1920</v>
      </c>
      <c r="D1542" s="10">
        <v>45677</v>
      </c>
      <c r="E1542" s="13" t="str">
        <f>+HYPERLINK("http://trademark.i-assist.jp/data/china/image_1920th/81636249.pdf","81636249")</f>
        <v>81636249</v>
      </c>
      <c r="F1542" s="12" t="s">
        <v>4229</v>
      </c>
      <c r="G1542" s="9" t="s">
        <v>4230</v>
      </c>
      <c r="H1542" s="9" t="s">
        <v>4231</v>
      </c>
      <c r="I1542" s="10">
        <v>45593</v>
      </c>
    </row>
    <row r="1543" spans="1:9" x14ac:dyDescent="0.15">
      <c r="A1543" s="9">
        <v>1542</v>
      </c>
      <c r="B1543" s="9" t="s">
        <v>9</v>
      </c>
      <c r="C1543" s="9">
        <v>1920</v>
      </c>
      <c r="D1543" s="10">
        <v>45677</v>
      </c>
      <c r="E1543" s="13" t="str">
        <f>+HYPERLINK("http://trademark.i-assist.jp/data/china/image_1920th/81636256.pdf","81636256")</f>
        <v>81636256</v>
      </c>
      <c r="F1543" s="9" t="s">
        <v>4232</v>
      </c>
      <c r="G1543" s="9" t="s">
        <v>4233</v>
      </c>
      <c r="H1543" s="9" t="s">
        <v>4234</v>
      </c>
      <c r="I1543" s="10">
        <v>45593</v>
      </c>
    </row>
    <row r="1544" spans="1:9" x14ac:dyDescent="0.15">
      <c r="A1544" s="9">
        <v>1543</v>
      </c>
      <c r="B1544" s="9" t="s">
        <v>9</v>
      </c>
      <c r="C1544" s="9">
        <v>1920</v>
      </c>
      <c r="D1544" s="10">
        <v>45677</v>
      </c>
      <c r="E1544" s="13" t="str">
        <f>+HYPERLINK("http://trademark.i-assist.jp/data/china/image_1920th/81636756.pdf","81636756")</f>
        <v>81636756</v>
      </c>
      <c r="F1544" s="9" t="s">
        <v>4235</v>
      </c>
      <c r="G1544" s="12" t="s">
        <v>4236</v>
      </c>
      <c r="H1544" s="9" t="s">
        <v>4237</v>
      </c>
      <c r="I1544" s="10">
        <v>45593</v>
      </c>
    </row>
    <row r="1545" spans="1:9" x14ac:dyDescent="0.15">
      <c r="A1545" s="9">
        <v>1544</v>
      </c>
      <c r="B1545" s="9" t="s">
        <v>9</v>
      </c>
      <c r="C1545" s="9">
        <v>1920</v>
      </c>
      <c r="D1545" s="10">
        <v>45677</v>
      </c>
      <c r="E1545" s="13" t="str">
        <f>+HYPERLINK("http://trademark.i-assist.jp/data/china/image_1920th/81636861.pdf","81636861")</f>
        <v>81636861</v>
      </c>
      <c r="F1545" s="12" t="s">
        <v>12</v>
      </c>
      <c r="G1545" s="9" t="s">
        <v>4238</v>
      </c>
      <c r="H1545" s="9" t="s">
        <v>4239</v>
      </c>
      <c r="I1545" s="10">
        <v>45593</v>
      </c>
    </row>
    <row r="1546" spans="1:9" x14ac:dyDescent="0.15">
      <c r="A1546" s="9">
        <v>1545</v>
      </c>
      <c r="B1546" s="9" t="s">
        <v>9</v>
      </c>
      <c r="C1546" s="9">
        <v>1920</v>
      </c>
      <c r="D1546" s="10">
        <v>45677</v>
      </c>
      <c r="E1546" s="13" t="str">
        <f>+HYPERLINK("http://trademark.i-assist.jp/data/china/image_1920th/81637138.pdf","81637138")</f>
        <v>81637138</v>
      </c>
      <c r="F1546" s="9" t="s">
        <v>4240</v>
      </c>
      <c r="G1546" s="12" t="s">
        <v>4241</v>
      </c>
      <c r="H1546" s="9" t="s">
        <v>4242</v>
      </c>
      <c r="I1546" s="10">
        <v>45594</v>
      </c>
    </row>
    <row r="1547" spans="1:9" x14ac:dyDescent="0.15">
      <c r="A1547" s="9">
        <v>1546</v>
      </c>
      <c r="B1547" s="9" t="s">
        <v>9</v>
      </c>
      <c r="C1547" s="9">
        <v>1920</v>
      </c>
      <c r="D1547" s="10">
        <v>45677</v>
      </c>
      <c r="E1547" s="13" t="str">
        <f>+HYPERLINK("http://trademark.i-assist.jp/data/china/image_1920th/81637450.pdf","81637450")</f>
        <v>81637450</v>
      </c>
      <c r="F1547" s="12" t="s">
        <v>4243</v>
      </c>
      <c r="G1547" s="9" t="s">
        <v>4244</v>
      </c>
      <c r="H1547" s="9" t="s">
        <v>4245</v>
      </c>
      <c r="I1547" s="10">
        <v>45594</v>
      </c>
    </row>
    <row r="1548" spans="1:9" x14ac:dyDescent="0.15">
      <c r="A1548" s="9">
        <v>1547</v>
      </c>
      <c r="B1548" s="9" t="s">
        <v>9</v>
      </c>
      <c r="C1548" s="9">
        <v>1920</v>
      </c>
      <c r="D1548" s="10">
        <v>45677</v>
      </c>
      <c r="E1548" s="13" t="str">
        <f>+HYPERLINK("http://trademark.i-assist.jp/data/china/image_1920th/81638067.pdf","81638067")</f>
        <v>81638067</v>
      </c>
      <c r="F1548" s="9" t="s">
        <v>4246</v>
      </c>
      <c r="G1548" s="9" t="s">
        <v>4247</v>
      </c>
      <c r="H1548" s="9" t="s">
        <v>4248</v>
      </c>
      <c r="I1548" s="10">
        <v>45594</v>
      </c>
    </row>
    <row r="1549" spans="1:9" x14ac:dyDescent="0.15">
      <c r="A1549" s="9">
        <v>1548</v>
      </c>
      <c r="B1549" s="9" t="s">
        <v>9</v>
      </c>
      <c r="C1549" s="9">
        <v>1920</v>
      </c>
      <c r="D1549" s="10">
        <v>45677</v>
      </c>
      <c r="E1549" s="13" t="str">
        <f>+HYPERLINK("http://trademark.i-assist.jp/data/china/image_1920th/81638070.pdf","81638070")</f>
        <v>81638070</v>
      </c>
      <c r="F1549" s="9" t="s">
        <v>4249</v>
      </c>
      <c r="G1549" s="9" t="s">
        <v>4250</v>
      </c>
      <c r="H1549" s="12" t="s">
        <v>4251</v>
      </c>
      <c r="I1549" s="10">
        <v>45594</v>
      </c>
    </row>
    <row r="1550" spans="1:9" x14ac:dyDescent="0.15">
      <c r="A1550" s="9">
        <v>1549</v>
      </c>
      <c r="B1550" s="9" t="s">
        <v>9</v>
      </c>
      <c r="C1550" s="9">
        <v>1920</v>
      </c>
      <c r="D1550" s="10">
        <v>45677</v>
      </c>
      <c r="E1550" s="13" t="str">
        <f>+HYPERLINK("http://trademark.i-assist.jp/data/china/image_1920th/81638708.pdf","81638708")</f>
        <v>81638708</v>
      </c>
      <c r="F1550" s="9" t="s">
        <v>4252</v>
      </c>
      <c r="G1550" s="9" t="s">
        <v>4253</v>
      </c>
      <c r="H1550" s="9" t="s">
        <v>4254</v>
      </c>
      <c r="I1550" s="10">
        <v>45594</v>
      </c>
    </row>
    <row r="1551" spans="1:9" x14ac:dyDescent="0.15">
      <c r="A1551" s="9">
        <v>1550</v>
      </c>
      <c r="B1551" s="9" t="s">
        <v>9</v>
      </c>
      <c r="C1551" s="9">
        <v>1920</v>
      </c>
      <c r="D1551" s="10">
        <v>45677</v>
      </c>
      <c r="E1551" s="13" t="str">
        <f>+HYPERLINK("http://trademark.i-assist.jp/data/china/image_1920th/81638855.pdf","81638855")</f>
        <v>81638855</v>
      </c>
      <c r="F1551" s="12" t="s">
        <v>12</v>
      </c>
      <c r="G1551" s="9" t="s">
        <v>4255</v>
      </c>
      <c r="H1551" s="9" t="s">
        <v>4256</v>
      </c>
      <c r="I1551" s="10">
        <v>45594</v>
      </c>
    </row>
    <row r="1552" spans="1:9" x14ac:dyDescent="0.15">
      <c r="A1552" s="9">
        <v>1551</v>
      </c>
      <c r="B1552" s="9" t="s">
        <v>9</v>
      </c>
      <c r="C1552" s="9">
        <v>1920</v>
      </c>
      <c r="D1552" s="10">
        <v>45677</v>
      </c>
      <c r="E1552" s="13" t="str">
        <f>+HYPERLINK("http://trademark.i-assist.jp/data/china/image_1920th/81638938.pdf","81638938")</f>
        <v>81638938</v>
      </c>
      <c r="F1552" s="12" t="s">
        <v>12</v>
      </c>
      <c r="G1552" s="9" t="s">
        <v>4257</v>
      </c>
      <c r="H1552" s="9" t="s">
        <v>4258</v>
      </c>
      <c r="I1552" s="10">
        <v>45594</v>
      </c>
    </row>
    <row r="1553" spans="1:9" x14ac:dyDescent="0.15">
      <c r="A1553" s="9">
        <v>1552</v>
      </c>
      <c r="B1553" s="9" t="s">
        <v>9</v>
      </c>
      <c r="C1553" s="9">
        <v>1920</v>
      </c>
      <c r="D1553" s="10">
        <v>45677</v>
      </c>
      <c r="E1553" s="13" t="str">
        <f>+HYPERLINK("http://trademark.i-assist.jp/data/china/image_1920th/81639058.pdf","81639058")</f>
        <v>81639058</v>
      </c>
      <c r="F1553" s="9" t="s">
        <v>4259</v>
      </c>
      <c r="G1553" s="12" t="s">
        <v>4260</v>
      </c>
      <c r="H1553" s="9" t="s">
        <v>4261</v>
      </c>
      <c r="I1553" s="10">
        <v>45594</v>
      </c>
    </row>
    <row r="1554" spans="1:9" x14ac:dyDescent="0.15">
      <c r="A1554" s="9">
        <v>1553</v>
      </c>
      <c r="B1554" s="9" t="s">
        <v>9</v>
      </c>
      <c r="C1554" s="9">
        <v>1920</v>
      </c>
      <c r="D1554" s="10">
        <v>45677</v>
      </c>
      <c r="E1554" s="13" t="str">
        <f>+HYPERLINK("http://trademark.i-assist.jp/data/china/image_1920th/81639213.pdf","81639213")</f>
        <v>81639213</v>
      </c>
      <c r="F1554" s="9" t="s">
        <v>4262</v>
      </c>
      <c r="G1554" s="9" t="s">
        <v>91</v>
      </c>
      <c r="H1554" s="9" t="s">
        <v>4263</v>
      </c>
      <c r="I1554" s="10">
        <v>45594</v>
      </c>
    </row>
    <row r="1555" spans="1:9" x14ac:dyDescent="0.15">
      <c r="A1555" s="9">
        <v>1554</v>
      </c>
      <c r="B1555" s="9" t="s">
        <v>9</v>
      </c>
      <c r="C1555" s="9">
        <v>1920</v>
      </c>
      <c r="D1555" s="10">
        <v>45677</v>
      </c>
      <c r="E1555" s="13" t="str">
        <f>+HYPERLINK("http://trademark.i-assist.jp/data/china/image_1920th/81639270.pdf","81639270")</f>
        <v>81639270</v>
      </c>
      <c r="F1555" s="9" t="s">
        <v>4264</v>
      </c>
      <c r="G1555" s="12" t="s">
        <v>4265</v>
      </c>
      <c r="H1555" s="9" t="s">
        <v>4266</v>
      </c>
      <c r="I1555" s="10">
        <v>45594</v>
      </c>
    </row>
    <row r="1556" spans="1:9" x14ac:dyDescent="0.15">
      <c r="A1556" s="9">
        <v>1555</v>
      </c>
      <c r="B1556" s="9" t="s">
        <v>9</v>
      </c>
      <c r="C1556" s="9">
        <v>1920</v>
      </c>
      <c r="D1556" s="10">
        <v>45677</v>
      </c>
      <c r="E1556" s="13" t="str">
        <f>+HYPERLINK("http://trademark.i-assist.jp/data/china/image_1920th/81639362.pdf","81639362")</f>
        <v>81639362</v>
      </c>
      <c r="F1556" s="9" t="s">
        <v>4267</v>
      </c>
      <c r="G1556" s="9" t="s">
        <v>4268</v>
      </c>
      <c r="H1556" s="9" t="s">
        <v>4269</v>
      </c>
      <c r="I1556" s="10">
        <v>45594</v>
      </c>
    </row>
    <row r="1557" spans="1:9" x14ac:dyDescent="0.15">
      <c r="A1557" s="9">
        <v>1556</v>
      </c>
      <c r="B1557" s="9" t="s">
        <v>9</v>
      </c>
      <c r="C1557" s="9">
        <v>1920</v>
      </c>
      <c r="D1557" s="10">
        <v>45677</v>
      </c>
      <c r="E1557" s="13" t="str">
        <f>+HYPERLINK("http://trademark.i-assist.jp/data/china/image_1920th/81639400.pdf","81639400")</f>
        <v>81639400</v>
      </c>
      <c r="F1557" s="9" t="s">
        <v>4270</v>
      </c>
      <c r="G1557" s="9" t="s">
        <v>4271</v>
      </c>
      <c r="H1557" s="9" t="s">
        <v>4272</v>
      </c>
      <c r="I1557" s="10">
        <v>45594</v>
      </c>
    </row>
    <row r="1558" spans="1:9" x14ac:dyDescent="0.15">
      <c r="A1558" s="9">
        <v>1557</v>
      </c>
      <c r="B1558" s="9" t="s">
        <v>9</v>
      </c>
      <c r="C1558" s="9">
        <v>1920</v>
      </c>
      <c r="D1558" s="10">
        <v>45677</v>
      </c>
      <c r="E1558" s="13" t="str">
        <f>+HYPERLINK("http://trademark.i-assist.jp/data/china/image_1920th/81639534.pdf","81639534")</f>
        <v>81639534</v>
      </c>
      <c r="F1558" s="9" t="s">
        <v>4273</v>
      </c>
      <c r="G1558" s="12" t="s">
        <v>4274</v>
      </c>
      <c r="H1558" s="12" t="s">
        <v>4275</v>
      </c>
      <c r="I1558" s="10">
        <v>45594</v>
      </c>
    </row>
    <row r="1559" spans="1:9" x14ac:dyDescent="0.15">
      <c r="A1559" s="9">
        <v>1558</v>
      </c>
      <c r="B1559" s="9" t="s">
        <v>9</v>
      </c>
      <c r="C1559" s="9">
        <v>1920</v>
      </c>
      <c r="D1559" s="10">
        <v>45677</v>
      </c>
      <c r="E1559" s="13" t="str">
        <f>+HYPERLINK("http://trademark.i-assist.jp/data/china/image_1920th/81639554.pdf","81639554")</f>
        <v>81639554</v>
      </c>
      <c r="F1559" s="9" t="s">
        <v>4276</v>
      </c>
      <c r="G1559" s="9" t="s">
        <v>4277</v>
      </c>
      <c r="H1559" s="9" t="s">
        <v>4278</v>
      </c>
      <c r="I1559" s="10">
        <v>45594</v>
      </c>
    </row>
    <row r="1560" spans="1:9" x14ac:dyDescent="0.15">
      <c r="A1560" s="9">
        <v>1559</v>
      </c>
      <c r="B1560" s="9" t="s">
        <v>9</v>
      </c>
      <c r="C1560" s="9">
        <v>1920</v>
      </c>
      <c r="D1560" s="10">
        <v>45677</v>
      </c>
      <c r="E1560" s="13" t="str">
        <f>+HYPERLINK("http://trademark.i-assist.jp/data/china/image_1920th/81639782.pdf","81639782")</f>
        <v>81639782</v>
      </c>
      <c r="F1560" s="9" t="s">
        <v>4279</v>
      </c>
      <c r="G1560" s="12" t="s">
        <v>4280</v>
      </c>
      <c r="H1560" s="9" t="s">
        <v>4281</v>
      </c>
      <c r="I1560" s="10">
        <v>45594</v>
      </c>
    </row>
    <row r="1561" spans="1:9" x14ac:dyDescent="0.15">
      <c r="A1561" s="9">
        <v>1560</v>
      </c>
      <c r="B1561" s="9" t="s">
        <v>9</v>
      </c>
      <c r="C1561" s="9">
        <v>1920</v>
      </c>
      <c r="D1561" s="10">
        <v>45677</v>
      </c>
      <c r="E1561" s="13" t="str">
        <f>+HYPERLINK("http://trademark.i-assist.jp/data/china/image_1920th/81639987.pdf","81639987")</f>
        <v>81639987</v>
      </c>
      <c r="F1561" s="12" t="s">
        <v>4282</v>
      </c>
      <c r="G1561" s="9" t="s">
        <v>4283</v>
      </c>
      <c r="H1561" s="9" t="s">
        <v>4284</v>
      </c>
      <c r="I1561" s="10">
        <v>45594</v>
      </c>
    </row>
    <row r="1562" spans="1:9" x14ac:dyDescent="0.15">
      <c r="A1562" s="9">
        <v>1561</v>
      </c>
      <c r="B1562" s="9" t="s">
        <v>9</v>
      </c>
      <c r="C1562" s="9">
        <v>1920</v>
      </c>
      <c r="D1562" s="10">
        <v>45677</v>
      </c>
      <c r="E1562" s="13" t="str">
        <f>+HYPERLINK("http://trademark.i-assist.jp/data/china/image_1920th/81640038.pdf","81640038")</f>
        <v>81640038</v>
      </c>
      <c r="F1562" s="12" t="s">
        <v>12</v>
      </c>
      <c r="G1562" s="12" t="s">
        <v>4280</v>
      </c>
      <c r="H1562" s="9" t="s">
        <v>4285</v>
      </c>
      <c r="I1562" s="10">
        <v>45594</v>
      </c>
    </row>
    <row r="1563" spans="1:9" x14ac:dyDescent="0.15">
      <c r="A1563" s="9">
        <v>1562</v>
      </c>
      <c r="B1563" s="9" t="s">
        <v>9</v>
      </c>
      <c r="C1563" s="9">
        <v>1920</v>
      </c>
      <c r="D1563" s="10">
        <v>45677</v>
      </c>
      <c r="E1563" s="13" t="str">
        <f>+HYPERLINK("http://trademark.i-assist.jp/data/china/image_1920th/81640064.pdf","81640064")</f>
        <v>81640064</v>
      </c>
      <c r="F1563" s="12" t="s">
        <v>4286</v>
      </c>
      <c r="G1563" s="12" t="s">
        <v>4287</v>
      </c>
      <c r="H1563" s="9" t="s">
        <v>4288</v>
      </c>
      <c r="I1563" s="10">
        <v>45594</v>
      </c>
    </row>
    <row r="1564" spans="1:9" x14ac:dyDescent="0.15">
      <c r="A1564" s="9">
        <v>1563</v>
      </c>
      <c r="B1564" s="9" t="s">
        <v>9</v>
      </c>
      <c r="C1564" s="9">
        <v>1920</v>
      </c>
      <c r="D1564" s="10">
        <v>45677</v>
      </c>
      <c r="E1564" s="13" t="str">
        <f>+HYPERLINK("http://trademark.i-assist.jp/data/china/image_1920th/81640476.pdf","81640476")</f>
        <v>81640476</v>
      </c>
      <c r="F1564" s="9" t="s">
        <v>4289</v>
      </c>
      <c r="G1564" s="9" t="s">
        <v>4290</v>
      </c>
      <c r="H1564" s="9" t="s">
        <v>4291</v>
      </c>
      <c r="I1564" s="10">
        <v>45594</v>
      </c>
    </row>
    <row r="1565" spans="1:9" x14ac:dyDescent="0.15">
      <c r="A1565" s="9">
        <v>1564</v>
      </c>
      <c r="B1565" s="9" t="s">
        <v>9</v>
      </c>
      <c r="C1565" s="9">
        <v>1920</v>
      </c>
      <c r="D1565" s="10">
        <v>45677</v>
      </c>
      <c r="E1565" s="13" t="str">
        <f>+HYPERLINK("http://trademark.i-assist.jp/data/china/image_1920th/81640559.pdf","81640559")</f>
        <v>81640559</v>
      </c>
      <c r="F1565" s="9" t="s">
        <v>4292</v>
      </c>
      <c r="G1565" s="9" t="s">
        <v>4293</v>
      </c>
      <c r="H1565" s="9" t="s">
        <v>4294</v>
      </c>
      <c r="I1565" s="10">
        <v>45594</v>
      </c>
    </row>
    <row r="1566" spans="1:9" x14ac:dyDescent="0.15">
      <c r="A1566" s="9">
        <v>1565</v>
      </c>
      <c r="B1566" s="9" t="s">
        <v>9</v>
      </c>
      <c r="C1566" s="9">
        <v>1920</v>
      </c>
      <c r="D1566" s="10">
        <v>45677</v>
      </c>
      <c r="E1566" s="13" t="str">
        <f>+HYPERLINK("http://trademark.i-assist.jp/data/china/image_1920th/81640609.pdf","81640609")</f>
        <v>81640609</v>
      </c>
      <c r="F1566" s="12" t="s">
        <v>4295</v>
      </c>
      <c r="G1566" s="12" t="s">
        <v>3974</v>
      </c>
      <c r="H1566" s="9" t="s">
        <v>4296</v>
      </c>
      <c r="I1566" s="10">
        <v>45594</v>
      </c>
    </row>
    <row r="1567" spans="1:9" x14ac:dyDescent="0.15">
      <c r="A1567" s="9">
        <v>1566</v>
      </c>
      <c r="B1567" s="9" t="s">
        <v>9</v>
      </c>
      <c r="C1567" s="9">
        <v>1920</v>
      </c>
      <c r="D1567" s="10">
        <v>45677</v>
      </c>
      <c r="E1567" s="13" t="str">
        <f>+HYPERLINK("http://trademark.i-assist.jp/data/china/image_1920th/81641049.pdf","81641049")</f>
        <v>81641049</v>
      </c>
      <c r="F1567" s="9" t="s">
        <v>4297</v>
      </c>
      <c r="G1567" s="12" t="s">
        <v>159</v>
      </c>
      <c r="H1567" s="9" t="s">
        <v>4298</v>
      </c>
      <c r="I1567" s="10">
        <v>45594</v>
      </c>
    </row>
    <row r="1568" spans="1:9" x14ac:dyDescent="0.15">
      <c r="A1568" s="9">
        <v>1567</v>
      </c>
      <c r="B1568" s="9" t="s">
        <v>9</v>
      </c>
      <c r="C1568" s="9">
        <v>1920</v>
      </c>
      <c r="D1568" s="10">
        <v>45677</v>
      </c>
      <c r="E1568" s="13" t="str">
        <f>+HYPERLINK("http://trademark.i-assist.jp/data/china/image_1920th/81641489.pdf","81641489")</f>
        <v>81641489</v>
      </c>
      <c r="F1568" s="9" t="s">
        <v>4299</v>
      </c>
      <c r="G1568" s="9" t="s">
        <v>4300</v>
      </c>
      <c r="H1568" s="9" t="s">
        <v>4301</v>
      </c>
      <c r="I1568" s="10">
        <v>45594</v>
      </c>
    </row>
    <row r="1569" spans="1:9" x14ac:dyDescent="0.15">
      <c r="A1569" s="9">
        <v>1568</v>
      </c>
      <c r="B1569" s="9" t="s">
        <v>9</v>
      </c>
      <c r="C1569" s="9">
        <v>1920</v>
      </c>
      <c r="D1569" s="10">
        <v>45677</v>
      </c>
      <c r="E1569" s="13" t="str">
        <f>+HYPERLINK("http://trademark.i-assist.jp/data/china/image_1920th/81642557.pdf","81642557")</f>
        <v>81642557</v>
      </c>
      <c r="F1569" s="9" t="s">
        <v>4302</v>
      </c>
      <c r="G1569" s="9" t="s">
        <v>4303</v>
      </c>
      <c r="H1569" s="9" t="s">
        <v>4304</v>
      </c>
      <c r="I1569" s="10">
        <v>45594</v>
      </c>
    </row>
    <row r="1570" spans="1:9" x14ac:dyDescent="0.15">
      <c r="A1570" s="9">
        <v>1569</v>
      </c>
      <c r="B1570" s="9" t="s">
        <v>9</v>
      </c>
      <c r="C1570" s="9">
        <v>1920</v>
      </c>
      <c r="D1570" s="10">
        <v>45677</v>
      </c>
      <c r="E1570" s="13" t="str">
        <f>+HYPERLINK("http://trademark.i-assist.jp/data/china/image_1920th/81642670.pdf","81642670")</f>
        <v>81642670</v>
      </c>
      <c r="F1570" s="9" t="s">
        <v>4305</v>
      </c>
      <c r="G1570" s="9" t="s">
        <v>4290</v>
      </c>
      <c r="H1570" s="9" t="s">
        <v>4306</v>
      </c>
      <c r="I1570" s="10">
        <v>45594</v>
      </c>
    </row>
    <row r="1571" spans="1:9" x14ac:dyDescent="0.15">
      <c r="A1571" s="9">
        <v>1570</v>
      </c>
      <c r="B1571" s="9" t="s">
        <v>9</v>
      </c>
      <c r="C1571" s="9">
        <v>1920</v>
      </c>
      <c r="D1571" s="10">
        <v>45677</v>
      </c>
      <c r="E1571" s="13" t="str">
        <f>+HYPERLINK("http://trademark.i-assist.jp/data/china/image_1920th/81642986.pdf","81642986")</f>
        <v>81642986</v>
      </c>
      <c r="F1571" s="9" t="s">
        <v>4307</v>
      </c>
      <c r="G1571" s="9" t="s">
        <v>4308</v>
      </c>
      <c r="H1571" s="9" t="s">
        <v>4309</v>
      </c>
      <c r="I1571" s="10">
        <v>45594</v>
      </c>
    </row>
    <row r="1572" spans="1:9" x14ac:dyDescent="0.15">
      <c r="A1572" s="9">
        <v>1571</v>
      </c>
      <c r="B1572" s="9" t="s">
        <v>9</v>
      </c>
      <c r="C1572" s="9">
        <v>1920</v>
      </c>
      <c r="D1572" s="10">
        <v>45677</v>
      </c>
      <c r="E1572" s="13" t="str">
        <f>+HYPERLINK("http://trademark.i-assist.jp/data/china/image_1920th/81643450.pdf","81643450")</f>
        <v>81643450</v>
      </c>
      <c r="F1572" s="9" t="s">
        <v>4310</v>
      </c>
      <c r="G1572" s="12" t="s">
        <v>4311</v>
      </c>
      <c r="H1572" s="9" t="s">
        <v>4312</v>
      </c>
      <c r="I1572" s="10">
        <v>45594</v>
      </c>
    </row>
    <row r="1573" spans="1:9" x14ac:dyDescent="0.15">
      <c r="A1573" s="9">
        <v>1572</v>
      </c>
      <c r="B1573" s="9" t="s">
        <v>9</v>
      </c>
      <c r="C1573" s="9">
        <v>1920</v>
      </c>
      <c r="D1573" s="10">
        <v>45677</v>
      </c>
      <c r="E1573" s="13" t="str">
        <f>+HYPERLINK("http://trademark.i-assist.jp/data/china/image_1920th/81643891.pdf","81643891")</f>
        <v>81643891</v>
      </c>
      <c r="F1573" s="9" t="s">
        <v>4313</v>
      </c>
      <c r="G1573" s="9" t="s">
        <v>158</v>
      </c>
      <c r="H1573" s="9" t="s">
        <v>4314</v>
      </c>
      <c r="I1573" s="10">
        <v>45594</v>
      </c>
    </row>
    <row r="1574" spans="1:9" x14ac:dyDescent="0.15">
      <c r="A1574" s="9">
        <v>1573</v>
      </c>
      <c r="B1574" s="9" t="s">
        <v>9</v>
      </c>
      <c r="C1574" s="9">
        <v>1920</v>
      </c>
      <c r="D1574" s="10">
        <v>45677</v>
      </c>
      <c r="E1574" s="13" t="str">
        <f>+HYPERLINK("http://trademark.i-assist.jp/data/china/image_1920th/81643914.pdf","81643914")</f>
        <v>81643914</v>
      </c>
      <c r="F1574" s="9" t="s">
        <v>4315</v>
      </c>
      <c r="G1574" s="9" t="s">
        <v>4316</v>
      </c>
      <c r="H1574" s="9" t="s">
        <v>4317</v>
      </c>
      <c r="I1574" s="10">
        <v>45594</v>
      </c>
    </row>
    <row r="1575" spans="1:9" x14ac:dyDescent="0.15">
      <c r="A1575" s="9">
        <v>1574</v>
      </c>
      <c r="B1575" s="9" t="s">
        <v>9</v>
      </c>
      <c r="C1575" s="9">
        <v>1920</v>
      </c>
      <c r="D1575" s="10">
        <v>45677</v>
      </c>
      <c r="E1575" s="13" t="str">
        <f>+HYPERLINK("http://trademark.i-assist.jp/data/china/image_1920th/81644331.pdf","81644331")</f>
        <v>81644331</v>
      </c>
      <c r="F1575" s="12" t="s">
        <v>4318</v>
      </c>
      <c r="G1575" s="12" t="s">
        <v>4274</v>
      </c>
      <c r="H1575" s="9" t="s">
        <v>4319</v>
      </c>
      <c r="I1575" s="10">
        <v>45594</v>
      </c>
    </row>
    <row r="1576" spans="1:9" x14ac:dyDescent="0.15">
      <c r="A1576" s="9">
        <v>1575</v>
      </c>
      <c r="B1576" s="9" t="s">
        <v>9</v>
      </c>
      <c r="C1576" s="9">
        <v>1920</v>
      </c>
      <c r="D1576" s="10">
        <v>45677</v>
      </c>
      <c r="E1576" s="13" t="str">
        <f>+HYPERLINK("http://trademark.i-assist.jp/data/china/image_1920th/81644840.pdf","81644840")</f>
        <v>81644840</v>
      </c>
      <c r="F1576" s="9" t="s">
        <v>4320</v>
      </c>
      <c r="G1576" s="9" t="s">
        <v>4321</v>
      </c>
      <c r="H1576" s="9" t="s">
        <v>4322</v>
      </c>
      <c r="I1576" s="10">
        <v>45594</v>
      </c>
    </row>
    <row r="1577" spans="1:9" x14ac:dyDescent="0.15">
      <c r="A1577" s="9">
        <v>1576</v>
      </c>
      <c r="B1577" s="9" t="s">
        <v>9</v>
      </c>
      <c r="C1577" s="9">
        <v>1920</v>
      </c>
      <c r="D1577" s="10">
        <v>45677</v>
      </c>
      <c r="E1577" s="13" t="str">
        <f>+HYPERLINK("http://trademark.i-assist.jp/data/china/image_1920th/81644971.pdf","81644971")</f>
        <v>81644971</v>
      </c>
      <c r="F1577" s="9" t="s">
        <v>4323</v>
      </c>
      <c r="G1577" s="9" t="s">
        <v>4324</v>
      </c>
      <c r="H1577" s="12" t="s">
        <v>4325</v>
      </c>
      <c r="I1577" s="10">
        <v>45594</v>
      </c>
    </row>
    <row r="1578" spans="1:9" x14ac:dyDescent="0.15">
      <c r="A1578" s="9">
        <v>1577</v>
      </c>
      <c r="B1578" s="9" t="s">
        <v>9</v>
      </c>
      <c r="C1578" s="9">
        <v>1920</v>
      </c>
      <c r="D1578" s="10">
        <v>45677</v>
      </c>
      <c r="E1578" s="13" t="str">
        <f>+HYPERLINK("http://trademark.i-assist.jp/data/china/image_1920th/81645199.pdf","81645199")</f>
        <v>81645199</v>
      </c>
      <c r="F1578" s="9" t="s">
        <v>4326</v>
      </c>
      <c r="G1578" s="9" t="s">
        <v>4327</v>
      </c>
      <c r="H1578" s="9" t="s">
        <v>4328</v>
      </c>
      <c r="I1578" s="10">
        <v>45594</v>
      </c>
    </row>
    <row r="1579" spans="1:9" x14ac:dyDescent="0.15">
      <c r="A1579" s="9">
        <v>1578</v>
      </c>
      <c r="B1579" s="9" t="s">
        <v>9</v>
      </c>
      <c r="C1579" s="9">
        <v>1920</v>
      </c>
      <c r="D1579" s="10">
        <v>45677</v>
      </c>
      <c r="E1579" s="13" t="str">
        <f>+HYPERLINK("http://trademark.i-assist.jp/data/china/image_1920th/81645243.pdf","81645243")</f>
        <v>81645243</v>
      </c>
      <c r="F1579" s="12" t="s">
        <v>4329</v>
      </c>
      <c r="G1579" s="9" t="s">
        <v>163</v>
      </c>
      <c r="H1579" s="9" t="s">
        <v>4330</v>
      </c>
      <c r="I1579" s="10">
        <v>45594</v>
      </c>
    </row>
    <row r="1580" spans="1:9" x14ac:dyDescent="0.15">
      <c r="A1580" s="9">
        <v>1579</v>
      </c>
      <c r="B1580" s="9" t="s">
        <v>9</v>
      </c>
      <c r="C1580" s="9">
        <v>1920</v>
      </c>
      <c r="D1580" s="10">
        <v>45677</v>
      </c>
      <c r="E1580" s="13" t="str">
        <f>+HYPERLINK("http://trademark.i-assist.jp/data/china/image_1920th/81645826.pdf","81645826")</f>
        <v>81645826</v>
      </c>
      <c r="F1580" s="12" t="s">
        <v>4331</v>
      </c>
      <c r="G1580" s="9" t="s">
        <v>4332</v>
      </c>
      <c r="H1580" s="9" t="s">
        <v>4333</v>
      </c>
      <c r="I1580" s="10">
        <v>45594</v>
      </c>
    </row>
    <row r="1581" spans="1:9" x14ac:dyDescent="0.15">
      <c r="A1581" s="9">
        <v>1580</v>
      </c>
      <c r="B1581" s="9" t="s">
        <v>9</v>
      </c>
      <c r="C1581" s="9">
        <v>1920</v>
      </c>
      <c r="D1581" s="10">
        <v>45677</v>
      </c>
      <c r="E1581" s="13" t="str">
        <f>+HYPERLINK("http://trademark.i-assist.jp/data/china/image_1920th/81645848.pdf","81645848")</f>
        <v>81645848</v>
      </c>
      <c r="F1581" s="9" t="s">
        <v>4334</v>
      </c>
      <c r="G1581" s="12" t="s">
        <v>4335</v>
      </c>
      <c r="H1581" s="9" t="s">
        <v>4336</v>
      </c>
      <c r="I1581" s="10">
        <v>45594</v>
      </c>
    </row>
    <row r="1582" spans="1:9" x14ac:dyDescent="0.15">
      <c r="A1582" s="9">
        <v>1581</v>
      </c>
      <c r="B1582" s="9" t="s">
        <v>9</v>
      </c>
      <c r="C1582" s="9">
        <v>1920</v>
      </c>
      <c r="D1582" s="10">
        <v>45677</v>
      </c>
      <c r="E1582" s="13" t="str">
        <f>+HYPERLINK("http://trademark.i-assist.jp/data/china/image_1920th/81647137.pdf","81647137")</f>
        <v>81647137</v>
      </c>
      <c r="F1582" s="9" t="s">
        <v>4337</v>
      </c>
      <c r="G1582" s="9" t="s">
        <v>4338</v>
      </c>
      <c r="H1582" s="9" t="s">
        <v>4339</v>
      </c>
      <c r="I1582" s="10">
        <v>45594</v>
      </c>
    </row>
    <row r="1583" spans="1:9" x14ac:dyDescent="0.15">
      <c r="A1583" s="9">
        <v>1582</v>
      </c>
      <c r="B1583" s="9" t="s">
        <v>9</v>
      </c>
      <c r="C1583" s="9">
        <v>1920</v>
      </c>
      <c r="D1583" s="10">
        <v>45677</v>
      </c>
      <c r="E1583" s="13" t="str">
        <f>+HYPERLINK("http://trademark.i-assist.jp/data/china/image_1920th/81647148.pdf","81647148")</f>
        <v>81647148</v>
      </c>
      <c r="F1583" s="9" t="s">
        <v>4340</v>
      </c>
      <c r="G1583" s="9" t="s">
        <v>4341</v>
      </c>
      <c r="H1583" s="9" t="s">
        <v>4342</v>
      </c>
      <c r="I1583" s="10">
        <v>45594</v>
      </c>
    </row>
    <row r="1584" spans="1:9" x14ac:dyDescent="0.15">
      <c r="A1584" s="9">
        <v>1583</v>
      </c>
      <c r="B1584" s="9" t="s">
        <v>9</v>
      </c>
      <c r="C1584" s="9">
        <v>1920</v>
      </c>
      <c r="D1584" s="10">
        <v>45677</v>
      </c>
      <c r="E1584" s="13" t="str">
        <f>+HYPERLINK("http://trademark.i-assist.jp/data/china/image_1920th/81647310.pdf","81647310")</f>
        <v>81647310</v>
      </c>
      <c r="F1584" s="9" t="s">
        <v>4343</v>
      </c>
      <c r="G1584" s="9" t="s">
        <v>4290</v>
      </c>
      <c r="H1584" s="9" t="s">
        <v>4344</v>
      </c>
      <c r="I1584" s="10">
        <v>45594</v>
      </c>
    </row>
    <row r="1585" spans="1:9" x14ac:dyDescent="0.15">
      <c r="A1585" s="9">
        <v>1584</v>
      </c>
      <c r="B1585" s="9" t="s">
        <v>9</v>
      </c>
      <c r="C1585" s="9">
        <v>1920</v>
      </c>
      <c r="D1585" s="10">
        <v>45677</v>
      </c>
      <c r="E1585" s="13" t="str">
        <f>+HYPERLINK("http://trademark.i-assist.jp/data/china/image_1920th/81647620.pdf","81647620")</f>
        <v>81647620</v>
      </c>
      <c r="F1585" s="9" t="s">
        <v>4345</v>
      </c>
      <c r="G1585" s="9" t="s">
        <v>4346</v>
      </c>
      <c r="H1585" s="9" t="s">
        <v>4347</v>
      </c>
      <c r="I1585" s="10">
        <v>45594</v>
      </c>
    </row>
    <row r="1586" spans="1:9" x14ac:dyDescent="0.15">
      <c r="A1586" s="9">
        <v>1585</v>
      </c>
      <c r="B1586" s="9" t="s">
        <v>9</v>
      </c>
      <c r="C1586" s="9">
        <v>1920</v>
      </c>
      <c r="D1586" s="10">
        <v>45677</v>
      </c>
      <c r="E1586" s="13" t="str">
        <f>+HYPERLINK("http://trademark.i-assist.jp/data/china/image_1920th/81648200.pdf","81648200")</f>
        <v>81648200</v>
      </c>
      <c r="F1586" s="9" t="s">
        <v>4348</v>
      </c>
      <c r="G1586" s="12" t="s">
        <v>4349</v>
      </c>
      <c r="H1586" s="9" t="s">
        <v>4350</v>
      </c>
      <c r="I1586" s="10">
        <v>45594</v>
      </c>
    </row>
    <row r="1587" spans="1:9" x14ac:dyDescent="0.15">
      <c r="A1587" s="9">
        <v>1586</v>
      </c>
      <c r="B1587" s="9" t="s">
        <v>9</v>
      </c>
      <c r="C1587" s="9">
        <v>1920</v>
      </c>
      <c r="D1587" s="10">
        <v>45677</v>
      </c>
      <c r="E1587" s="13" t="str">
        <f>+HYPERLINK("http://trademark.i-assist.jp/data/china/image_1920th/81648360.pdf","81648360")</f>
        <v>81648360</v>
      </c>
      <c r="F1587" s="9" t="s">
        <v>4351</v>
      </c>
      <c r="G1587" s="9" t="s">
        <v>4300</v>
      </c>
      <c r="H1587" s="12" t="s">
        <v>4352</v>
      </c>
      <c r="I1587" s="10">
        <v>45594</v>
      </c>
    </row>
    <row r="1588" spans="1:9" x14ac:dyDescent="0.15">
      <c r="A1588" s="9">
        <v>1587</v>
      </c>
      <c r="B1588" s="9" t="s">
        <v>9</v>
      </c>
      <c r="C1588" s="9">
        <v>1920</v>
      </c>
      <c r="D1588" s="10">
        <v>45677</v>
      </c>
      <c r="E1588" s="13" t="str">
        <f>+HYPERLINK("http://trademark.i-assist.jp/data/china/image_1920th/81648443.pdf","81648443")</f>
        <v>81648443</v>
      </c>
      <c r="F1588" s="12" t="s">
        <v>4353</v>
      </c>
      <c r="G1588" s="9" t="s">
        <v>4354</v>
      </c>
      <c r="H1588" s="9" t="s">
        <v>4355</v>
      </c>
      <c r="I1588" s="10">
        <v>45594</v>
      </c>
    </row>
    <row r="1589" spans="1:9" x14ac:dyDescent="0.15">
      <c r="A1589" s="9">
        <v>1588</v>
      </c>
      <c r="B1589" s="9" t="s">
        <v>9</v>
      </c>
      <c r="C1589" s="9">
        <v>1920</v>
      </c>
      <c r="D1589" s="10">
        <v>45677</v>
      </c>
      <c r="E1589" s="13" t="str">
        <f>+HYPERLINK("http://trademark.i-assist.jp/data/china/image_1920th/81649278.pdf","81649278")</f>
        <v>81649278</v>
      </c>
      <c r="F1589" s="9" t="s">
        <v>4356</v>
      </c>
      <c r="G1589" s="9" t="s">
        <v>4357</v>
      </c>
      <c r="H1589" s="9" t="s">
        <v>4358</v>
      </c>
      <c r="I1589" s="10">
        <v>45594</v>
      </c>
    </row>
    <row r="1590" spans="1:9" x14ac:dyDescent="0.15">
      <c r="A1590" s="9">
        <v>1589</v>
      </c>
      <c r="B1590" s="9" t="s">
        <v>9</v>
      </c>
      <c r="C1590" s="9">
        <v>1920</v>
      </c>
      <c r="D1590" s="10">
        <v>45677</v>
      </c>
      <c r="E1590" s="13" t="str">
        <f>+HYPERLINK("http://trademark.i-assist.jp/data/china/image_1920th/81649472.pdf","81649472")</f>
        <v>81649472</v>
      </c>
      <c r="F1590" s="9" t="s">
        <v>4359</v>
      </c>
      <c r="G1590" s="9" t="s">
        <v>4360</v>
      </c>
      <c r="H1590" s="9" t="s">
        <v>4361</v>
      </c>
      <c r="I1590" s="10">
        <v>45594</v>
      </c>
    </row>
    <row r="1591" spans="1:9" x14ac:dyDescent="0.15">
      <c r="A1591" s="9">
        <v>1590</v>
      </c>
      <c r="B1591" s="9" t="s">
        <v>9</v>
      </c>
      <c r="C1591" s="9">
        <v>1920</v>
      </c>
      <c r="D1591" s="10">
        <v>45677</v>
      </c>
      <c r="E1591" s="13" t="str">
        <f>+HYPERLINK("http://trademark.i-assist.jp/data/china/image_1920th/81649752.pdf","81649752")</f>
        <v>81649752</v>
      </c>
      <c r="F1591" s="9" t="s">
        <v>4362</v>
      </c>
      <c r="G1591" s="9" t="s">
        <v>4363</v>
      </c>
      <c r="H1591" s="9" t="s">
        <v>4364</v>
      </c>
      <c r="I1591" s="10">
        <v>45594</v>
      </c>
    </row>
    <row r="1592" spans="1:9" x14ac:dyDescent="0.15">
      <c r="A1592" s="9">
        <v>1591</v>
      </c>
      <c r="B1592" s="9" t="s">
        <v>9</v>
      </c>
      <c r="C1592" s="9">
        <v>1920</v>
      </c>
      <c r="D1592" s="10">
        <v>45677</v>
      </c>
      <c r="E1592" s="13" t="str">
        <f>+HYPERLINK("http://trademark.i-assist.jp/data/china/image_1920th/81649763.pdf","81649763")</f>
        <v>81649763</v>
      </c>
      <c r="F1592" s="9" t="s">
        <v>4365</v>
      </c>
      <c r="G1592" s="9" t="s">
        <v>124</v>
      </c>
      <c r="H1592" s="9" t="s">
        <v>4366</v>
      </c>
      <c r="I1592" s="10">
        <v>45594</v>
      </c>
    </row>
    <row r="1593" spans="1:9" x14ac:dyDescent="0.15">
      <c r="A1593" s="9">
        <v>1592</v>
      </c>
      <c r="B1593" s="9" t="s">
        <v>9</v>
      </c>
      <c r="C1593" s="9">
        <v>1920</v>
      </c>
      <c r="D1593" s="10">
        <v>45677</v>
      </c>
      <c r="E1593" s="13" t="str">
        <f>+HYPERLINK("http://trademark.i-assist.jp/data/china/image_1920th/81649968.pdf","81649968")</f>
        <v>81649968</v>
      </c>
      <c r="F1593" s="12" t="s">
        <v>4367</v>
      </c>
      <c r="G1593" s="9" t="s">
        <v>4368</v>
      </c>
      <c r="H1593" s="9" t="s">
        <v>4369</v>
      </c>
      <c r="I1593" s="10">
        <v>45594</v>
      </c>
    </row>
    <row r="1594" spans="1:9" x14ac:dyDescent="0.15">
      <c r="A1594" s="9">
        <v>1593</v>
      </c>
      <c r="B1594" s="9" t="s">
        <v>9</v>
      </c>
      <c r="C1594" s="9">
        <v>1920</v>
      </c>
      <c r="D1594" s="10">
        <v>45677</v>
      </c>
      <c r="E1594" s="13" t="str">
        <f>+HYPERLINK("http://trademark.i-assist.jp/data/china/image_1920th/81649991.pdf","81649991")</f>
        <v>81649991</v>
      </c>
      <c r="F1594" s="9" t="s">
        <v>4370</v>
      </c>
      <c r="G1594" s="12" t="s">
        <v>4241</v>
      </c>
      <c r="H1594" s="9" t="s">
        <v>4371</v>
      </c>
      <c r="I1594" s="10">
        <v>45594</v>
      </c>
    </row>
    <row r="1595" spans="1:9" x14ac:dyDescent="0.15">
      <c r="A1595" s="9">
        <v>1594</v>
      </c>
      <c r="B1595" s="9" t="s">
        <v>9</v>
      </c>
      <c r="C1595" s="9">
        <v>1920</v>
      </c>
      <c r="D1595" s="10">
        <v>45677</v>
      </c>
      <c r="E1595" s="13" t="str">
        <f>+HYPERLINK("http://trademark.i-assist.jp/data/china/image_1920th/81650763.pdf","81650763")</f>
        <v>81650763</v>
      </c>
      <c r="F1595" s="9" t="s">
        <v>4372</v>
      </c>
      <c r="G1595" s="12" t="s">
        <v>4373</v>
      </c>
      <c r="H1595" s="9" t="s">
        <v>4374</v>
      </c>
      <c r="I1595" s="10">
        <v>45594</v>
      </c>
    </row>
    <row r="1596" spans="1:9" x14ac:dyDescent="0.15">
      <c r="A1596" s="9">
        <v>1595</v>
      </c>
      <c r="B1596" s="9" t="s">
        <v>9</v>
      </c>
      <c r="C1596" s="9">
        <v>1920</v>
      </c>
      <c r="D1596" s="10">
        <v>45677</v>
      </c>
      <c r="E1596" s="13" t="str">
        <f>+HYPERLINK("http://trademark.i-assist.jp/data/china/image_1920th/81651172.pdf","81651172")</f>
        <v>81651172</v>
      </c>
      <c r="F1596" s="12" t="s">
        <v>4375</v>
      </c>
      <c r="G1596" s="12" t="s">
        <v>4376</v>
      </c>
      <c r="H1596" s="9" t="s">
        <v>4377</v>
      </c>
      <c r="I1596" s="10">
        <v>45594</v>
      </c>
    </row>
    <row r="1597" spans="1:9" x14ac:dyDescent="0.15">
      <c r="A1597" s="9">
        <v>1596</v>
      </c>
      <c r="B1597" s="9" t="s">
        <v>9</v>
      </c>
      <c r="C1597" s="9">
        <v>1920</v>
      </c>
      <c r="D1597" s="10">
        <v>45677</v>
      </c>
      <c r="E1597" s="13" t="str">
        <f>+HYPERLINK("http://trademark.i-assist.jp/data/china/image_1920th/81651189.pdf","81651189")</f>
        <v>81651189</v>
      </c>
      <c r="F1597" s="9" t="s">
        <v>4378</v>
      </c>
      <c r="G1597" s="9" t="s">
        <v>4379</v>
      </c>
      <c r="H1597" s="12" t="s">
        <v>4380</v>
      </c>
      <c r="I1597" s="10">
        <v>45594</v>
      </c>
    </row>
    <row r="1598" spans="1:9" x14ac:dyDescent="0.15">
      <c r="A1598" s="9">
        <v>1597</v>
      </c>
      <c r="B1598" s="9" t="s">
        <v>9</v>
      </c>
      <c r="C1598" s="9">
        <v>1920</v>
      </c>
      <c r="D1598" s="10">
        <v>45677</v>
      </c>
      <c r="E1598" s="13" t="str">
        <f>+HYPERLINK("http://trademark.i-assist.jp/data/china/image_1920th/81651432.pdf","81651432")</f>
        <v>81651432</v>
      </c>
      <c r="F1598" s="12" t="s">
        <v>4381</v>
      </c>
      <c r="G1598" s="9" t="s">
        <v>4382</v>
      </c>
      <c r="H1598" s="9" t="s">
        <v>4383</v>
      </c>
      <c r="I1598" s="10">
        <v>45594</v>
      </c>
    </row>
    <row r="1599" spans="1:9" x14ac:dyDescent="0.15">
      <c r="A1599" s="9">
        <v>1598</v>
      </c>
      <c r="B1599" s="9" t="s">
        <v>9</v>
      </c>
      <c r="C1599" s="9">
        <v>1920</v>
      </c>
      <c r="D1599" s="10">
        <v>45677</v>
      </c>
      <c r="E1599" s="13" t="str">
        <f>+HYPERLINK("http://trademark.i-assist.jp/data/china/image_1920th/81651712.pdf","81651712")</f>
        <v>81651712</v>
      </c>
      <c r="F1599" s="9" t="s">
        <v>4384</v>
      </c>
      <c r="G1599" s="12" t="s">
        <v>160</v>
      </c>
      <c r="H1599" s="9" t="s">
        <v>4385</v>
      </c>
      <c r="I1599" s="10">
        <v>45594</v>
      </c>
    </row>
    <row r="1600" spans="1:9" x14ac:dyDescent="0.15">
      <c r="A1600" s="9">
        <v>1599</v>
      </c>
      <c r="B1600" s="9" t="s">
        <v>9</v>
      </c>
      <c r="C1600" s="9">
        <v>1920</v>
      </c>
      <c r="D1600" s="10">
        <v>45677</v>
      </c>
      <c r="E1600" s="13" t="str">
        <f>+HYPERLINK("http://trademark.i-assist.jp/data/china/image_1920th/81651762.pdf","81651762")</f>
        <v>81651762</v>
      </c>
      <c r="F1600" s="9" t="s">
        <v>4386</v>
      </c>
      <c r="G1600" s="9" t="s">
        <v>4387</v>
      </c>
      <c r="H1600" s="9" t="s">
        <v>4388</v>
      </c>
      <c r="I1600" s="10">
        <v>45594</v>
      </c>
    </row>
    <row r="1601" spans="1:9" x14ac:dyDescent="0.15">
      <c r="A1601" s="9">
        <v>1600</v>
      </c>
      <c r="B1601" s="9" t="s">
        <v>9</v>
      </c>
      <c r="C1601" s="9">
        <v>1920</v>
      </c>
      <c r="D1601" s="10">
        <v>45677</v>
      </c>
      <c r="E1601" s="13" t="str">
        <f>+HYPERLINK("http://trademark.i-assist.jp/data/china/image_1920th/81651969.pdf","81651969")</f>
        <v>81651969</v>
      </c>
      <c r="F1601" s="9" t="s">
        <v>4389</v>
      </c>
      <c r="G1601" s="9" t="s">
        <v>4360</v>
      </c>
      <c r="H1601" s="9" t="s">
        <v>4390</v>
      </c>
      <c r="I1601" s="10">
        <v>45594</v>
      </c>
    </row>
    <row r="1602" spans="1:9" x14ac:dyDescent="0.15">
      <c r="A1602" s="9">
        <v>1601</v>
      </c>
      <c r="B1602" s="9" t="s">
        <v>9</v>
      </c>
      <c r="C1602" s="9">
        <v>1920</v>
      </c>
      <c r="D1602" s="10">
        <v>45677</v>
      </c>
      <c r="E1602" s="13" t="str">
        <f>+HYPERLINK("http://trademark.i-assist.jp/data/china/image_1920th/81652051.pdf","81652051")</f>
        <v>81652051</v>
      </c>
      <c r="F1602" s="9" t="s">
        <v>4391</v>
      </c>
      <c r="G1602" s="9" t="s">
        <v>4392</v>
      </c>
      <c r="H1602" s="12" t="s">
        <v>4393</v>
      </c>
      <c r="I1602" s="10">
        <v>45594</v>
      </c>
    </row>
    <row r="1603" spans="1:9" x14ac:dyDescent="0.15">
      <c r="A1603" s="9">
        <v>1602</v>
      </c>
      <c r="B1603" s="9" t="s">
        <v>9</v>
      </c>
      <c r="C1603" s="9">
        <v>1920</v>
      </c>
      <c r="D1603" s="10">
        <v>45677</v>
      </c>
      <c r="E1603" s="13" t="str">
        <f>+HYPERLINK("http://trademark.i-assist.jp/data/china/image_1920th/81652343.pdf","81652343")</f>
        <v>81652343</v>
      </c>
      <c r="F1603" s="9" t="s">
        <v>4394</v>
      </c>
      <c r="G1603" s="9" t="s">
        <v>4395</v>
      </c>
      <c r="H1603" s="12" t="s">
        <v>4396</v>
      </c>
      <c r="I1603" s="10">
        <v>45594</v>
      </c>
    </row>
    <row r="1604" spans="1:9" x14ac:dyDescent="0.15">
      <c r="A1604" s="9">
        <v>1603</v>
      </c>
      <c r="B1604" s="9" t="s">
        <v>9</v>
      </c>
      <c r="C1604" s="9">
        <v>1920</v>
      </c>
      <c r="D1604" s="10">
        <v>45677</v>
      </c>
      <c r="E1604" s="13" t="str">
        <f>+HYPERLINK("http://trademark.i-assist.jp/data/china/image_1920th/81652563.pdf","81652563")</f>
        <v>81652563</v>
      </c>
      <c r="F1604" s="9" t="s">
        <v>4397</v>
      </c>
      <c r="G1604" s="9" t="s">
        <v>4398</v>
      </c>
      <c r="H1604" s="9" t="s">
        <v>4399</v>
      </c>
      <c r="I1604" s="10">
        <v>45594</v>
      </c>
    </row>
    <row r="1605" spans="1:9" x14ac:dyDescent="0.15">
      <c r="A1605" s="9">
        <v>1604</v>
      </c>
      <c r="B1605" s="9" t="s">
        <v>9</v>
      </c>
      <c r="C1605" s="9">
        <v>1920</v>
      </c>
      <c r="D1605" s="10">
        <v>45677</v>
      </c>
      <c r="E1605" s="13" t="str">
        <f>+HYPERLINK("http://trademark.i-assist.jp/data/china/image_1920th/81652604.pdf","81652604")</f>
        <v>81652604</v>
      </c>
      <c r="F1605" s="9" t="s">
        <v>4400</v>
      </c>
      <c r="G1605" s="9" t="s">
        <v>124</v>
      </c>
      <c r="H1605" s="9" t="s">
        <v>4401</v>
      </c>
      <c r="I1605" s="10">
        <v>45594</v>
      </c>
    </row>
    <row r="1606" spans="1:9" x14ac:dyDescent="0.15">
      <c r="A1606" s="9">
        <v>1605</v>
      </c>
      <c r="B1606" s="9" t="s">
        <v>9</v>
      </c>
      <c r="C1606" s="9">
        <v>1920</v>
      </c>
      <c r="D1606" s="10">
        <v>45677</v>
      </c>
      <c r="E1606" s="13" t="str">
        <f>+HYPERLINK("http://trademark.i-assist.jp/data/china/image_1920th/81652741.pdf","81652741")</f>
        <v>81652741</v>
      </c>
      <c r="F1606" s="9" t="s">
        <v>4402</v>
      </c>
      <c r="G1606" s="9" t="s">
        <v>4403</v>
      </c>
      <c r="H1606" s="9" t="s">
        <v>4404</v>
      </c>
      <c r="I1606" s="10">
        <v>45594</v>
      </c>
    </row>
    <row r="1607" spans="1:9" x14ac:dyDescent="0.15">
      <c r="A1607" s="9">
        <v>1606</v>
      </c>
      <c r="B1607" s="9" t="s">
        <v>9</v>
      </c>
      <c r="C1607" s="9">
        <v>1920</v>
      </c>
      <c r="D1607" s="10">
        <v>45677</v>
      </c>
      <c r="E1607" s="13" t="str">
        <f>+HYPERLINK("http://trademark.i-assist.jp/data/china/image_1920th/81652878.pdf","81652878")</f>
        <v>81652878</v>
      </c>
      <c r="F1607" s="9" t="s">
        <v>4405</v>
      </c>
      <c r="G1607" s="9" t="s">
        <v>4406</v>
      </c>
      <c r="H1607" s="9" t="s">
        <v>4407</v>
      </c>
      <c r="I1607" s="10">
        <v>45594</v>
      </c>
    </row>
    <row r="1608" spans="1:9" x14ac:dyDescent="0.15">
      <c r="A1608" s="9">
        <v>1607</v>
      </c>
      <c r="B1608" s="9" t="s">
        <v>9</v>
      </c>
      <c r="C1608" s="9">
        <v>1920</v>
      </c>
      <c r="D1608" s="10">
        <v>45677</v>
      </c>
      <c r="E1608" s="13" t="str">
        <f>+HYPERLINK("http://trademark.i-assist.jp/data/china/image_1920th/81652936.pdf","81652936")</f>
        <v>81652936</v>
      </c>
      <c r="F1608" s="12" t="s">
        <v>4408</v>
      </c>
      <c r="G1608" s="12" t="s">
        <v>4409</v>
      </c>
      <c r="H1608" s="9" t="s">
        <v>4410</v>
      </c>
      <c r="I1608" s="10">
        <v>45594</v>
      </c>
    </row>
    <row r="1609" spans="1:9" x14ac:dyDescent="0.15">
      <c r="A1609" s="9">
        <v>1608</v>
      </c>
      <c r="B1609" s="9" t="s">
        <v>9</v>
      </c>
      <c r="C1609" s="9">
        <v>1920</v>
      </c>
      <c r="D1609" s="10">
        <v>45677</v>
      </c>
      <c r="E1609" s="13" t="str">
        <f>+HYPERLINK("http://trademark.i-assist.jp/data/china/image_1920th/81653458.pdf","81653458")</f>
        <v>81653458</v>
      </c>
      <c r="F1609" s="9" t="s">
        <v>4411</v>
      </c>
      <c r="G1609" s="9" t="s">
        <v>4412</v>
      </c>
      <c r="H1609" s="9" t="s">
        <v>4413</v>
      </c>
      <c r="I1609" s="10">
        <v>45594</v>
      </c>
    </row>
    <row r="1610" spans="1:9" x14ac:dyDescent="0.15">
      <c r="A1610" s="9">
        <v>1609</v>
      </c>
      <c r="B1610" s="9" t="s">
        <v>9</v>
      </c>
      <c r="C1610" s="9">
        <v>1920</v>
      </c>
      <c r="D1610" s="10">
        <v>45677</v>
      </c>
      <c r="E1610" s="13" t="str">
        <f>+HYPERLINK("http://trademark.i-assist.jp/data/china/image_1920th/81653505.pdf","81653505")</f>
        <v>81653505</v>
      </c>
      <c r="F1610" s="9" t="s">
        <v>4414</v>
      </c>
      <c r="G1610" s="9" t="s">
        <v>4415</v>
      </c>
      <c r="H1610" s="9" t="s">
        <v>4416</v>
      </c>
      <c r="I1610" s="10">
        <v>45594</v>
      </c>
    </row>
    <row r="1611" spans="1:9" x14ac:dyDescent="0.15">
      <c r="A1611" s="9">
        <v>1610</v>
      </c>
      <c r="B1611" s="9" t="s">
        <v>9</v>
      </c>
      <c r="C1611" s="9">
        <v>1920</v>
      </c>
      <c r="D1611" s="10">
        <v>45677</v>
      </c>
      <c r="E1611" s="13" t="str">
        <f>+HYPERLINK("http://trademark.i-assist.jp/data/china/image_1920th/81653727.pdf","81653727")</f>
        <v>81653727</v>
      </c>
      <c r="F1611" s="12" t="s">
        <v>12</v>
      </c>
      <c r="G1611" s="9" t="s">
        <v>4417</v>
      </c>
      <c r="H1611" s="9" t="s">
        <v>4418</v>
      </c>
      <c r="I1611" s="10">
        <v>45594</v>
      </c>
    </row>
    <row r="1612" spans="1:9" x14ac:dyDescent="0.15">
      <c r="A1612" s="9">
        <v>1611</v>
      </c>
      <c r="B1612" s="9" t="s">
        <v>9</v>
      </c>
      <c r="C1612" s="9">
        <v>1920</v>
      </c>
      <c r="D1612" s="10">
        <v>45677</v>
      </c>
      <c r="E1612" s="13" t="str">
        <f>+HYPERLINK("http://trademark.i-assist.jp/data/china/image_1920th/81653753.pdf","81653753")</f>
        <v>81653753</v>
      </c>
      <c r="F1612" s="9" t="s">
        <v>4419</v>
      </c>
      <c r="G1612" s="9" t="s">
        <v>4420</v>
      </c>
      <c r="H1612" s="9" t="s">
        <v>4421</v>
      </c>
      <c r="I1612" s="10">
        <v>45594</v>
      </c>
    </row>
    <row r="1613" spans="1:9" x14ac:dyDescent="0.15">
      <c r="A1613" s="9">
        <v>1612</v>
      </c>
      <c r="B1613" s="9" t="s">
        <v>9</v>
      </c>
      <c r="C1613" s="9">
        <v>1920</v>
      </c>
      <c r="D1613" s="10">
        <v>45677</v>
      </c>
      <c r="E1613" s="13" t="str">
        <f>+HYPERLINK("http://trademark.i-assist.jp/data/china/image_1920th/81653756.pdf","81653756")</f>
        <v>81653756</v>
      </c>
      <c r="F1613" s="9" t="s">
        <v>4422</v>
      </c>
      <c r="G1613" s="9" t="s">
        <v>4423</v>
      </c>
      <c r="H1613" s="12" t="s">
        <v>4424</v>
      </c>
      <c r="I1613" s="10">
        <v>45594</v>
      </c>
    </row>
    <row r="1614" spans="1:9" x14ac:dyDescent="0.15">
      <c r="A1614" s="9">
        <v>1613</v>
      </c>
      <c r="B1614" s="9" t="s">
        <v>9</v>
      </c>
      <c r="C1614" s="9">
        <v>1920</v>
      </c>
      <c r="D1614" s="10">
        <v>45677</v>
      </c>
      <c r="E1614" s="13" t="str">
        <f>+HYPERLINK("http://trademark.i-assist.jp/data/china/image_1920th/81653781.pdf","81653781")</f>
        <v>81653781</v>
      </c>
      <c r="F1614" s="9" t="s">
        <v>4425</v>
      </c>
      <c r="G1614" s="9" t="s">
        <v>4426</v>
      </c>
      <c r="H1614" s="9" t="s">
        <v>4427</v>
      </c>
      <c r="I1614" s="10">
        <v>45594</v>
      </c>
    </row>
    <row r="1615" spans="1:9" x14ac:dyDescent="0.15">
      <c r="A1615" s="9">
        <v>1614</v>
      </c>
      <c r="B1615" s="9" t="s">
        <v>9</v>
      </c>
      <c r="C1615" s="9">
        <v>1920</v>
      </c>
      <c r="D1615" s="10">
        <v>45677</v>
      </c>
      <c r="E1615" s="13" t="str">
        <f>+HYPERLINK("http://trademark.i-assist.jp/data/china/image_1920th/81654219.pdf","81654219")</f>
        <v>81654219</v>
      </c>
      <c r="F1615" s="12" t="s">
        <v>12</v>
      </c>
      <c r="G1615" s="12" t="s">
        <v>4428</v>
      </c>
      <c r="H1615" s="9" t="s">
        <v>4429</v>
      </c>
      <c r="I1615" s="10">
        <v>45594</v>
      </c>
    </row>
    <row r="1616" spans="1:9" x14ac:dyDescent="0.15">
      <c r="A1616" s="9">
        <v>1615</v>
      </c>
      <c r="B1616" s="9" t="s">
        <v>9</v>
      </c>
      <c r="C1616" s="9">
        <v>1920</v>
      </c>
      <c r="D1616" s="10">
        <v>45677</v>
      </c>
      <c r="E1616" s="13" t="str">
        <f>+HYPERLINK("http://trademark.i-assist.jp/data/china/image_1920th/81654868.pdf","81654868")</f>
        <v>81654868</v>
      </c>
      <c r="F1616" s="9" t="s">
        <v>4430</v>
      </c>
      <c r="G1616" s="9" t="s">
        <v>4431</v>
      </c>
      <c r="H1616" s="9" t="s">
        <v>4432</v>
      </c>
      <c r="I1616" s="10">
        <v>45594</v>
      </c>
    </row>
    <row r="1617" spans="1:9" x14ac:dyDescent="0.15">
      <c r="A1617" s="9">
        <v>1616</v>
      </c>
      <c r="B1617" s="9" t="s">
        <v>9</v>
      </c>
      <c r="C1617" s="9">
        <v>1920</v>
      </c>
      <c r="D1617" s="10">
        <v>45677</v>
      </c>
      <c r="E1617" s="13" t="str">
        <f>+HYPERLINK("http://trademark.i-assist.jp/data/china/image_1920th/81656209.pdf","81656209")</f>
        <v>81656209</v>
      </c>
      <c r="F1617" s="9" t="s">
        <v>4433</v>
      </c>
      <c r="G1617" s="9" t="s">
        <v>4434</v>
      </c>
      <c r="H1617" s="9" t="s">
        <v>4435</v>
      </c>
      <c r="I1617" s="10">
        <v>45594</v>
      </c>
    </row>
    <row r="1618" spans="1:9" x14ac:dyDescent="0.15">
      <c r="A1618" s="9">
        <v>1617</v>
      </c>
      <c r="B1618" s="9" t="s">
        <v>9</v>
      </c>
      <c r="C1618" s="9">
        <v>1920</v>
      </c>
      <c r="D1618" s="10">
        <v>45677</v>
      </c>
      <c r="E1618" s="13" t="str">
        <f>+HYPERLINK("http://trademark.i-assist.jp/data/china/image_1920th/81656222.pdf","81656222")</f>
        <v>81656222</v>
      </c>
      <c r="F1618" s="9" t="s">
        <v>4436</v>
      </c>
      <c r="G1618" s="9" t="s">
        <v>4290</v>
      </c>
      <c r="H1618" s="9" t="s">
        <v>4437</v>
      </c>
      <c r="I1618" s="10">
        <v>45594</v>
      </c>
    </row>
    <row r="1619" spans="1:9" x14ac:dyDescent="0.15">
      <c r="A1619" s="9">
        <v>1618</v>
      </c>
      <c r="B1619" s="9" t="s">
        <v>9</v>
      </c>
      <c r="C1619" s="9">
        <v>1920</v>
      </c>
      <c r="D1619" s="10">
        <v>45677</v>
      </c>
      <c r="E1619" s="13" t="str">
        <f>+HYPERLINK("http://trademark.i-assist.jp/data/china/image_1920th/81657490.pdf","81657490")</f>
        <v>81657490</v>
      </c>
      <c r="F1619" s="9" t="s">
        <v>4438</v>
      </c>
      <c r="G1619" s="9" t="s">
        <v>158</v>
      </c>
      <c r="H1619" s="9" t="s">
        <v>4439</v>
      </c>
      <c r="I1619" s="10">
        <v>45594</v>
      </c>
    </row>
    <row r="1620" spans="1:9" x14ac:dyDescent="0.15">
      <c r="A1620" s="9">
        <v>1619</v>
      </c>
      <c r="B1620" s="9" t="s">
        <v>9</v>
      </c>
      <c r="C1620" s="9">
        <v>1920</v>
      </c>
      <c r="D1620" s="10">
        <v>45677</v>
      </c>
      <c r="E1620" s="13" t="str">
        <f>+HYPERLINK("http://trademark.i-assist.jp/data/china/image_1920th/81657857.pdf","81657857")</f>
        <v>81657857</v>
      </c>
      <c r="F1620" s="9" t="s">
        <v>4440</v>
      </c>
      <c r="G1620" s="9" t="s">
        <v>158</v>
      </c>
      <c r="H1620" s="9" t="s">
        <v>4441</v>
      </c>
      <c r="I1620" s="10">
        <v>45594</v>
      </c>
    </row>
    <row r="1621" spans="1:9" x14ac:dyDescent="0.15">
      <c r="A1621" s="9">
        <v>1620</v>
      </c>
      <c r="B1621" s="9" t="s">
        <v>9</v>
      </c>
      <c r="C1621" s="9">
        <v>1920</v>
      </c>
      <c r="D1621" s="10">
        <v>45677</v>
      </c>
      <c r="E1621" s="13" t="str">
        <f>+HYPERLINK("http://trademark.i-assist.jp/data/china/image_1920th/81657861.pdf","81657861")</f>
        <v>81657861</v>
      </c>
      <c r="F1621" s="9" t="s">
        <v>4442</v>
      </c>
      <c r="G1621" s="12" t="s">
        <v>4443</v>
      </c>
      <c r="H1621" s="9" t="s">
        <v>4444</v>
      </c>
      <c r="I1621" s="10">
        <v>45594</v>
      </c>
    </row>
    <row r="1622" spans="1:9" x14ac:dyDescent="0.15">
      <c r="A1622" s="9">
        <v>1621</v>
      </c>
      <c r="B1622" s="9" t="s">
        <v>9</v>
      </c>
      <c r="C1622" s="9">
        <v>1920</v>
      </c>
      <c r="D1622" s="10">
        <v>45677</v>
      </c>
      <c r="E1622" s="13" t="str">
        <f>+HYPERLINK("http://trademark.i-assist.jp/data/china/image_1920th/81657908.pdf","81657908")</f>
        <v>81657908</v>
      </c>
      <c r="F1622" s="9" t="s">
        <v>4445</v>
      </c>
      <c r="G1622" s="9" t="s">
        <v>91</v>
      </c>
      <c r="H1622" s="9" t="s">
        <v>4446</v>
      </c>
      <c r="I1622" s="10">
        <v>45594</v>
      </c>
    </row>
    <row r="1623" spans="1:9" x14ac:dyDescent="0.15">
      <c r="A1623" s="9">
        <v>1622</v>
      </c>
      <c r="B1623" s="9" t="s">
        <v>9</v>
      </c>
      <c r="C1623" s="9">
        <v>1920</v>
      </c>
      <c r="D1623" s="10">
        <v>45677</v>
      </c>
      <c r="E1623" s="13" t="str">
        <f>+HYPERLINK("http://trademark.i-assist.jp/data/china/image_1920th/81657927.pdf","81657927")</f>
        <v>81657927</v>
      </c>
      <c r="F1623" s="9" t="s">
        <v>4447</v>
      </c>
      <c r="G1623" s="9" t="s">
        <v>4247</v>
      </c>
      <c r="H1623" s="9" t="s">
        <v>4448</v>
      </c>
      <c r="I1623" s="10">
        <v>45594</v>
      </c>
    </row>
    <row r="1624" spans="1:9" x14ac:dyDescent="0.15">
      <c r="A1624" s="9">
        <v>1623</v>
      </c>
      <c r="B1624" s="9" t="s">
        <v>9</v>
      </c>
      <c r="C1624" s="9">
        <v>1920</v>
      </c>
      <c r="D1624" s="10">
        <v>45677</v>
      </c>
      <c r="E1624" s="13" t="str">
        <f>+HYPERLINK("http://trademark.i-assist.jp/data/china/image_1920th/81657964.pdf","81657964")</f>
        <v>81657964</v>
      </c>
      <c r="F1624" s="12" t="s">
        <v>4449</v>
      </c>
      <c r="G1624" s="12" t="s">
        <v>4265</v>
      </c>
      <c r="H1624" s="9" t="s">
        <v>4450</v>
      </c>
      <c r="I1624" s="10">
        <v>45594</v>
      </c>
    </row>
    <row r="1625" spans="1:9" x14ac:dyDescent="0.15">
      <c r="A1625" s="9">
        <v>1624</v>
      </c>
      <c r="B1625" s="9" t="s">
        <v>9</v>
      </c>
      <c r="C1625" s="9">
        <v>1920</v>
      </c>
      <c r="D1625" s="10">
        <v>45677</v>
      </c>
      <c r="E1625" s="13" t="str">
        <f>+HYPERLINK("http://trademark.i-assist.jp/data/china/image_1920th/81658092.pdf","81658092")</f>
        <v>81658092</v>
      </c>
      <c r="F1625" s="9" t="s">
        <v>4451</v>
      </c>
      <c r="G1625" s="9" t="s">
        <v>161</v>
      </c>
      <c r="H1625" s="9" t="s">
        <v>4452</v>
      </c>
      <c r="I1625" s="10">
        <v>45594</v>
      </c>
    </row>
    <row r="1626" spans="1:9" x14ac:dyDescent="0.15">
      <c r="A1626" s="9">
        <v>1625</v>
      </c>
      <c r="B1626" s="9" t="s">
        <v>9</v>
      </c>
      <c r="C1626" s="9">
        <v>1920</v>
      </c>
      <c r="D1626" s="10">
        <v>45677</v>
      </c>
      <c r="E1626" s="13" t="str">
        <f>+HYPERLINK("http://trademark.i-assist.jp/data/china/image_1920th/81658369.pdf","81658369")</f>
        <v>81658369</v>
      </c>
      <c r="F1626" s="12" t="s">
        <v>4453</v>
      </c>
      <c r="G1626" s="9" t="s">
        <v>4454</v>
      </c>
      <c r="H1626" s="9" t="s">
        <v>4455</v>
      </c>
      <c r="I1626" s="10">
        <v>45594</v>
      </c>
    </row>
    <row r="1627" spans="1:9" x14ac:dyDescent="0.15">
      <c r="A1627" s="9">
        <v>1626</v>
      </c>
      <c r="B1627" s="9" t="s">
        <v>9</v>
      </c>
      <c r="C1627" s="9">
        <v>1920</v>
      </c>
      <c r="D1627" s="10">
        <v>45677</v>
      </c>
      <c r="E1627" s="13" t="str">
        <f>+HYPERLINK("http://trademark.i-assist.jp/data/china/image_1920th/81658451.pdf","81658451")</f>
        <v>81658451</v>
      </c>
      <c r="F1627" s="12" t="s">
        <v>4456</v>
      </c>
      <c r="G1627" s="12" t="s">
        <v>153</v>
      </c>
      <c r="H1627" s="9" t="s">
        <v>4457</v>
      </c>
      <c r="I1627" s="10">
        <v>45594</v>
      </c>
    </row>
    <row r="1628" spans="1:9" x14ac:dyDescent="0.15">
      <c r="A1628" s="9">
        <v>1627</v>
      </c>
      <c r="B1628" s="9" t="s">
        <v>9</v>
      </c>
      <c r="C1628" s="9">
        <v>1920</v>
      </c>
      <c r="D1628" s="10">
        <v>45677</v>
      </c>
      <c r="E1628" s="13" t="str">
        <f>+HYPERLINK("http://trademark.i-assist.jp/data/china/image_1920th/81659260.pdf","81659260")</f>
        <v>81659260</v>
      </c>
      <c r="F1628" s="9" t="s">
        <v>4458</v>
      </c>
      <c r="G1628" s="12" t="s">
        <v>4459</v>
      </c>
      <c r="H1628" s="9" t="s">
        <v>4460</v>
      </c>
      <c r="I1628" s="10">
        <v>45594</v>
      </c>
    </row>
    <row r="1629" spans="1:9" x14ac:dyDescent="0.15">
      <c r="A1629" s="9">
        <v>1628</v>
      </c>
      <c r="B1629" s="9" t="s">
        <v>9</v>
      </c>
      <c r="C1629" s="9">
        <v>1920</v>
      </c>
      <c r="D1629" s="10">
        <v>45677</v>
      </c>
      <c r="E1629" s="13" t="str">
        <f>+HYPERLINK("http://trademark.i-assist.jp/data/china/image_1920th/81659736.pdf","81659736")</f>
        <v>81659736</v>
      </c>
      <c r="F1629" s="12" t="s">
        <v>4461</v>
      </c>
      <c r="G1629" s="9" t="s">
        <v>4462</v>
      </c>
      <c r="H1629" s="9" t="s">
        <v>4463</v>
      </c>
      <c r="I1629" s="10">
        <v>45594</v>
      </c>
    </row>
    <row r="1630" spans="1:9" x14ac:dyDescent="0.15">
      <c r="A1630" s="9">
        <v>1629</v>
      </c>
      <c r="B1630" s="9" t="s">
        <v>9</v>
      </c>
      <c r="C1630" s="9">
        <v>1920</v>
      </c>
      <c r="D1630" s="10">
        <v>45677</v>
      </c>
      <c r="E1630" s="13" t="str">
        <f>+HYPERLINK("http://trademark.i-assist.jp/data/china/image_1920th/81659842.pdf","81659842")</f>
        <v>81659842</v>
      </c>
      <c r="F1630" s="9" t="s">
        <v>4464</v>
      </c>
      <c r="G1630" s="12" t="s">
        <v>4465</v>
      </c>
      <c r="H1630" s="12" t="s">
        <v>4466</v>
      </c>
      <c r="I1630" s="10">
        <v>45594</v>
      </c>
    </row>
    <row r="1631" spans="1:9" x14ac:dyDescent="0.15">
      <c r="A1631" s="9">
        <v>1630</v>
      </c>
      <c r="B1631" s="9" t="s">
        <v>9</v>
      </c>
      <c r="C1631" s="9">
        <v>1920</v>
      </c>
      <c r="D1631" s="10">
        <v>45677</v>
      </c>
      <c r="E1631" s="13" t="str">
        <f>+HYPERLINK("http://trademark.i-assist.jp/data/china/image_1920th/81660044.pdf","81660044")</f>
        <v>81660044</v>
      </c>
      <c r="F1631" s="9" t="s">
        <v>4467</v>
      </c>
      <c r="G1631" s="12" t="s">
        <v>4468</v>
      </c>
      <c r="H1631" s="9" t="s">
        <v>4469</v>
      </c>
      <c r="I1631" s="10">
        <v>45594</v>
      </c>
    </row>
    <row r="1632" spans="1:9" x14ac:dyDescent="0.15">
      <c r="A1632" s="9">
        <v>1631</v>
      </c>
      <c r="B1632" s="9" t="s">
        <v>9</v>
      </c>
      <c r="C1632" s="9">
        <v>1920</v>
      </c>
      <c r="D1632" s="10">
        <v>45677</v>
      </c>
      <c r="E1632" s="13" t="str">
        <f>+HYPERLINK("http://trademark.i-assist.jp/data/china/image_1920th/81660303.pdf","81660303")</f>
        <v>81660303</v>
      </c>
      <c r="F1632" s="9" t="s">
        <v>4470</v>
      </c>
      <c r="G1632" s="9" t="s">
        <v>4471</v>
      </c>
      <c r="H1632" s="9" t="s">
        <v>4472</v>
      </c>
      <c r="I1632" s="10">
        <v>45594</v>
      </c>
    </row>
    <row r="1633" spans="1:9" x14ac:dyDescent="0.15">
      <c r="A1633" s="9">
        <v>1632</v>
      </c>
      <c r="B1633" s="9" t="s">
        <v>9</v>
      </c>
      <c r="C1633" s="9">
        <v>1920</v>
      </c>
      <c r="D1633" s="10">
        <v>45677</v>
      </c>
      <c r="E1633" s="13" t="str">
        <f>+HYPERLINK("http://trademark.i-assist.jp/data/china/image_1920th/81661202.pdf","81661202")</f>
        <v>81661202</v>
      </c>
      <c r="F1633" s="9" t="s">
        <v>4473</v>
      </c>
      <c r="G1633" s="9" t="s">
        <v>4382</v>
      </c>
      <c r="H1633" s="9" t="s">
        <v>4474</v>
      </c>
      <c r="I1633" s="10">
        <v>45594</v>
      </c>
    </row>
    <row r="1634" spans="1:9" x14ac:dyDescent="0.15">
      <c r="A1634" s="9">
        <v>1633</v>
      </c>
      <c r="B1634" s="9" t="s">
        <v>9</v>
      </c>
      <c r="C1634" s="9">
        <v>1920</v>
      </c>
      <c r="D1634" s="10">
        <v>45677</v>
      </c>
      <c r="E1634" s="13" t="str">
        <f>+HYPERLINK("http://trademark.i-assist.jp/data/china/image_1920th/81661634.pdf","81661634")</f>
        <v>81661634</v>
      </c>
      <c r="F1634" s="9" t="s">
        <v>4475</v>
      </c>
      <c r="G1634" s="12" t="s">
        <v>4476</v>
      </c>
      <c r="H1634" s="9" t="s">
        <v>4477</v>
      </c>
      <c r="I1634" s="10">
        <v>45594</v>
      </c>
    </row>
    <row r="1635" spans="1:9" x14ac:dyDescent="0.15">
      <c r="A1635" s="9">
        <v>1634</v>
      </c>
      <c r="B1635" s="9" t="s">
        <v>9</v>
      </c>
      <c r="C1635" s="9">
        <v>1920</v>
      </c>
      <c r="D1635" s="10">
        <v>45677</v>
      </c>
      <c r="E1635" s="13" t="str">
        <f>+HYPERLINK("http://trademark.i-assist.jp/data/china/image_1920th/81661978.pdf","81661978")</f>
        <v>81661978</v>
      </c>
      <c r="F1635" s="9" t="s">
        <v>4478</v>
      </c>
      <c r="G1635" s="9" t="s">
        <v>4479</v>
      </c>
      <c r="H1635" s="12" t="s">
        <v>4480</v>
      </c>
      <c r="I1635" s="10">
        <v>45594</v>
      </c>
    </row>
    <row r="1636" spans="1:9" x14ac:dyDescent="0.15">
      <c r="A1636" s="9">
        <v>1635</v>
      </c>
      <c r="B1636" s="9" t="s">
        <v>9</v>
      </c>
      <c r="C1636" s="9">
        <v>1920</v>
      </c>
      <c r="D1636" s="10">
        <v>45677</v>
      </c>
      <c r="E1636" s="13" t="str">
        <f>+HYPERLINK("http://trademark.i-assist.jp/data/china/image_1920th/81662637.pdf","81662637")</f>
        <v>81662637</v>
      </c>
      <c r="F1636" s="9" t="s">
        <v>4481</v>
      </c>
      <c r="G1636" s="9" t="s">
        <v>4415</v>
      </c>
      <c r="H1636" s="9" t="s">
        <v>4482</v>
      </c>
      <c r="I1636" s="10">
        <v>45594</v>
      </c>
    </row>
    <row r="1637" spans="1:9" x14ac:dyDescent="0.15">
      <c r="A1637" s="9">
        <v>1636</v>
      </c>
      <c r="B1637" s="9" t="s">
        <v>9</v>
      </c>
      <c r="C1637" s="9">
        <v>1920</v>
      </c>
      <c r="D1637" s="10">
        <v>45677</v>
      </c>
      <c r="E1637" s="13" t="str">
        <f>+HYPERLINK("http://trademark.i-assist.jp/data/china/image_1920th/81662798.pdf","81662798")</f>
        <v>81662798</v>
      </c>
      <c r="F1637" s="9" t="s">
        <v>4483</v>
      </c>
      <c r="G1637" s="9" t="s">
        <v>4253</v>
      </c>
      <c r="H1637" s="9" t="s">
        <v>4484</v>
      </c>
      <c r="I1637" s="10">
        <v>45594</v>
      </c>
    </row>
    <row r="1638" spans="1:9" x14ac:dyDescent="0.15">
      <c r="A1638" s="9">
        <v>1637</v>
      </c>
      <c r="B1638" s="9" t="s">
        <v>9</v>
      </c>
      <c r="C1638" s="9">
        <v>1920</v>
      </c>
      <c r="D1638" s="10">
        <v>45677</v>
      </c>
      <c r="E1638" s="13" t="str">
        <f>+HYPERLINK("http://trademark.i-assist.jp/data/china/image_1920th/81662806.pdf","81662806")</f>
        <v>81662806</v>
      </c>
      <c r="F1638" s="9" t="s">
        <v>4485</v>
      </c>
      <c r="G1638" s="9" t="s">
        <v>4486</v>
      </c>
      <c r="H1638" s="9" t="s">
        <v>4487</v>
      </c>
      <c r="I1638" s="10">
        <v>45594</v>
      </c>
    </row>
    <row r="1639" spans="1:9" x14ac:dyDescent="0.15">
      <c r="A1639" s="9">
        <v>1638</v>
      </c>
      <c r="B1639" s="9" t="s">
        <v>9</v>
      </c>
      <c r="C1639" s="9">
        <v>1920</v>
      </c>
      <c r="D1639" s="10">
        <v>45677</v>
      </c>
      <c r="E1639" s="13" t="str">
        <f>+HYPERLINK("http://trademark.i-assist.jp/data/china/image_1920th/81662840.pdf","81662840")</f>
        <v>81662840</v>
      </c>
      <c r="F1639" s="9" t="s">
        <v>4488</v>
      </c>
      <c r="G1639" s="9" t="s">
        <v>124</v>
      </c>
      <c r="H1639" s="9" t="s">
        <v>4489</v>
      </c>
      <c r="I1639" s="10">
        <v>45594</v>
      </c>
    </row>
    <row r="1640" spans="1:9" x14ac:dyDescent="0.15">
      <c r="A1640" s="9">
        <v>1639</v>
      </c>
      <c r="B1640" s="9" t="s">
        <v>9</v>
      </c>
      <c r="C1640" s="9">
        <v>1920</v>
      </c>
      <c r="D1640" s="10">
        <v>45677</v>
      </c>
      <c r="E1640" s="13" t="str">
        <f>+HYPERLINK("http://trademark.i-assist.jp/data/china/image_1920th/81662970.pdf","81662970")</f>
        <v>81662970</v>
      </c>
      <c r="F1640" s="12" t="s">
        <v>12</v>
      </c>
      <c r="G1640" s="9" t="s">
        <v>4490</v>
      </c>
      <c r="H1640" s="9" t="s">
        <v>4491</v>
      </c>
      <c r="I1640" s="10">
        <v>45595</v>
      </c>
    </row>
    <row r="1641" spans="1:9" x14ac:dyDescent="0.15">
      <c r="A1641" s="9">
        <v>1640</v>
      </c>
      <c r="B1641" s="9" t="s">
        <v>9</v>
      </c>
      <c r="C1641" s="9">
        <v>1920</v>
      </c>
      <c r="D1641" s="10">
        <v>45677</v>
      </c>
      <c r="E1641" s="13" t="str">
        <f>+HYPERLINK("http://trademark.i-assist.jp/data/china/image_1920th/81663023.pdf","81663023")</f>
        <v>81663023</v>
      </c>
      <c r="F1641" s="9" t="s">
        <v>4492</v>
      </c>
      <c r="G1641" s="9" t="s">
        <v>4493</v>
      </c>
      <c r="H1641" s="9" t="s">
        <v>4494</v>
      </c>
      <c r="I1641" s="10">
        <v>45595</v>
      </c>
    </row>
    <row r="1642" spans="1:9" x14ac:dyDescent="0.15">
      <c r="A1642" s="9">
        <v>1641</v>
      </c>
      <c r="B1642" s="9" t="s">
        <v>9</v>
      </c>
      <c r="C1642" s="9">
        <v>1920</v>
      </c>
      <c r="D1642" s="10">
        <v>45677</v>
      </c>
      <c r="E1642" s="13" t="str">
        <f>+HYPERLINK("http://trademark.i-assist.jp/data/china/image_1920th/81663269.pdf","81663269")</f>
        <v>81663269</v>
      </c>
      <c r="F1642" s="9" t="s">
        <v>4495</v>
      </c>
      <c r="G1642" s="9" t="s">
        <v>4496</v>
      </c>
      <c r="H1642" s="9" t="s">
        <v>4497</v>
      </c>
      <c r="I1642" s="10">
        <v>45595</v>
      </c>
    </row>
    <row r="1643" spans="1:9" x14ac:dyDescent="0.15">
      <c r="A1643" s="9">
        <v>1642</v>
      </c>
      <c r="B1643" s="9" t="s">
        <v>9</v>
      </c>
      <c r="C1643" s="9">
        <v>1920</v>
      </c>
      <c r="D1643" s="10">
        <v>45677</v>
      </c>
      <c r="E1643" s="13" t="str">
        <f>+HYPERLINK("http://trademark.i-assist.jp/data/china/image_1920th/81663738.pdf","81663738")</f>
        <v>81663738</v>
      </c>
      <c r="F1643" s="9" t="s">
        <v>4498</v>
      </c>
      <c r="G1643" s="9" t="s">
        <v>4499</v>
      </c>
      <c r="H1643" s="9" t="s">
        <v>4500</v>
      </c>
      <c r="I1643" s="10">
        <v>45595</v>
      </c>
    </row>
    <row r="1644" spans="1:9" x14ac:dyDescent="0.15">
      <c r="A1644" s="9">
        <v>1643</v>
      </c>
      <c r="B1644" s="9" t="s">
        <v>9</v>
      </c>
      <c r="C1644" s="9">
        <v>1920</v>
      </c>
      <c r="D1644" s="10">
        <v>45677</v>
      </c>
      <c r="E1644" s="13" t="str">
        <f>+HYPERLINK("http://trademark.i-assist.jp/data/china/image_1920th/81663870.pdf","81663870")</f>
        <v>81663870</v>
      </c>
      <c r="F1644" s="12" t="s">
        <v>12</v>
      </c>
      <c r="G1644" s="9" t="s">
        <v>4501</v>
      </c>
      <c r="H1644" s="9" t="s">
        <v>4502</v>
      </c>
      <c r="I1644" s="10">
        <v>45595</v>
      </c>
    </row>
    <row r="1645" spans="1:9" x14ac:dyDescent="0.15">
      <c r="A1645" s="9">
        <v>1644</v>
      </c>
      <c r="B1645" s="9" t="s">
        <v>9</v>
      </c>
      <c r="C1645" s="9">
        <v>1920</v>
      </c>
      <c r="D1645" s="10">
        <v>45677</v>
      </c>
      <c r="E1645" s="13" t="str">
        <f>+HYPERLINK("http://trademark.i-assist.jp/data/china/image_1920th/81663931.pdf","81663931")</f>
        <v>81663931</v>
      </c>
      <c r="F1645" s="12" t="s">
        <v>4503</v>
      </c>
      <c r="G1645" s="12" t="s">
        <v>4504</v>
      </c>
      <c r="H1645" s="9" t="s">
        <v>4505</v>
      </c>
      <c r="I1645" s="10">
        <v>45595</v>
      </c>
    </row>
    <row r="1646" spans="1:9" x14ac:dyDescent="0.15">
      <c r="A1646" s="9">
        <v>1645</v>
      </c>
      <c r="B1646" s="9" t="s">
        <v>9</v>
      </c>
      <c r="C1646" s="9">
        <v>1920</v>
      </c>
      <c r="D1646" s="10">
        <v>45677</v>
      </c>
      <c r="E1646" s="13" t="str">
        <f>+HYPERLINK("http://trademark.i-assist.jp/data/china/image_1920th/81664472.pdf","81664472")</f>
        <v>81664472</v>
      </c>
      <c r="F1646" s="9" t="s">
        <v>4506</v>
      </c>
      <c r="G1646" s="9" t="s">
        <v>4507</v>
      </c>
      <c r="H1646" s="9" t="s">
        <v>4508</v>
      </c>
      <c r="I1646" s="10">
        <v>45595</v>
      </c>
    </row>
    <row r="1647" spans="1:9" x14ac:dyDescent="0.15">
      <c r="A1647" s="9">
        <v>1646</v>
      </c>
      <c r="B1647" s="9" t="s">
        <v>9</v>
      </c>
      <c r="C1647" s="9">
        <v>1920</v>
      </c>
      <c r="D1647" s="10">
        <v>45677</v>
      </c>
      <c r="E1647" s="13" t="str">
        <f>+HYPERLINK("http://trademark.i-assist.jp/data/china/image_1920th/81664548.pdf","81664548")</f>
        <v>81664548</v>
      </c>
      <c r="F1647" s="11" t="s">
        <v>4509</v>
      </c>
      <c r="G1647" s="9" t="s">
        <v>4510</v>
      </c>
      <c r="H1647" s="12" t="s">
        <v>4511</v>
      </c>
      <c r="I1647" s="10">
        <v>45595</v>
      </c>
    </row>
    <row r="1648" spans="1:9" x14ac:dyDescent="0.15">
      <c r="A1648" s="9">
        <v>1647</v>
      </c>
      <c r="B1648" s="9" t="s">
        <v>9</v>
      </c>
      <c r="C1648" s="9">
        <v>1920</v>
      </c>
      <c r="D1648" s="10">
        <v>45677</v>
      </c>
      <c r="E1648" s="13" t="str">
        <f>+HYPERLINK("http://trademark.i-assist.jp/data/china/image_1920th/81664691.pdf","81664691")</f>
        <v>81664691</v>
      </c>
      <c r="F1648" s="9" t="s">
        <v>4512</v>
      </c>
      <c r="G1648" s="12" t="s">
        <v>4513</v>
      </c>
      <c r="H1648" s="9" t="s">
        <v>4514</v>
      </c>
      <c r="I1648" s="10">
        <v>45595</v>
      </c>
    </row>
    <row r="1649" spans="1:9" x14ac:dyDescent="0.15">
      <c r="A1649" s="9">
        <v>1648</v>
      </c>
      <c r="B1649" s="9" t="s">
        <v>9</v>
      </c>
      <c r="C1649" s="9">
        <v>1920</v>
      </c>
      <c r="D1649" s="10">
        <v>45677</v>
      </c>
      <c r="E1649" s="13" t="str">
        <f>+HYPERLINK("http://trademark.i-assist.jp/data/china/image_1920th/81664754.pdf","81664754")</f>
        <v>81664754</v>
      </c>
      <c r="F1649" s="9" t="s">
        <v>4515</v>
      </c>
      <c r="G1649" s="9" t="s">
        <v>4516</v>
      </c>
      <c r="H1649" s="9" t="s">
        <v>4517</v>
      </c>
      <c r="I1649" s="10">
        <v>45595</v>
      </c>
    </row>
    <row r="1650" spans="1:9" x14ac:dyDescent="0.15">
      <c r="A1650" s="9">
        <v>1649</v>
      </c>
      <c r="B1650" s="9" t="s">
        <v>9</v>
      </c>
      <c r="C1650" s="9">
        <v>1920</v>
      </c>
      <c r="D1650" s="10">
        <v>45677</v>
      </c>
      <c r="E1650" s="13" t="str">
        <f>+HYPERLINK("http://trademark.i-assist.jp/data/china/image_1920th/81665099.pdf","81665099")</f>
        <v>81665099</v>
      </c>
      <c r="F1650" s="9" t="s">
        <v>4518</v>
      </c>
      <c r="G1650" s="9" t="s">
        <v>4519</v>
      </c>
      <c r="H1650" s="12" t="s">
        <v>4520</v>
      </c>
      <c r="I1650" s="10">
        <v>45595</v>
      </c>
    </row>
    <row r="1651" spans="1:9" x14ac:dyDescent="0.15">
      <c r="A1651" s="9">
        <v>1650</v>
      </c>
      <c r="B1651" s="9" t="s">
        <v>9</v>
      </c>
      <c r="C1651" s="9">
        <v>1920</v>
      </c>
      <c r="D1651" s="10">
        <v>45677</v>
      </c>
      <c r="E1651" s="13" t="str">
        <f>+HYPERLINK("http://trademark.i-assist.jp/data/china/image_1920th/81665160.pdf","81665160")</f>
        <v>81665160</v>
      </c>
      <c r="F1651" s="9" t="s">
        <v>4521</v>
      </c>
      <c r="G1651" s="9" t="s">
        <v>4522</v>
      </c>
      <c r="H1651" s="9" t="s">
        <v>4523</v>
      </c>
      <c r="I1651" s="10">
        <v>45595</v>
      </c>
    </row>
    <row r="1652" spans="1:9" x14ac:dyDescent="0.15">
      <c r="A1652" s="9">
        <v>1651</v>
      </c>
      <c r="B1652" s="9" t="s">
        <v>9</v>
      </c>
      <c r="C1652" s="9">
        <v>1920</v>
      </c>
      <c r="D1652" s="10">
        <v>45677</v>
      </c>
      <c r="E1652" s="13" t="str">
        <f>+HYPERLINK("http://trademark.i-assist.jp/data/china/image_1920th/81665275.pdf","81665275")</f>
        <v>81665275</v>
      </c>
      <c r="F1652" s="9" t="s">
        <v>4524</v>
      </c>
      <c r="G1652" s="9" t="s">
        <v>4525</v>
      </c>
      <c r="H1652" s="9" t="s">
        <v>4526</v>
      </c>
      <c r="I1652" s="10">
        <v>45595</v>
      </c>
    </row>
    <row r="1653" spans="1:9" x14ac:dyDescent="0.15">
      <c r="A1653" s="9">
        <v>1652</v>
      </c>
      <c r="B1653" s="9" t="s">
        <v>9</v>
      </c>
      <c r="C1653" s="9">
        <v>1920</v>
      </c>
      <c r="D1653" s="10">
        <v>45677</v>
      </c>
      <c r="E1653" s="13" t="str">
        <f>+HYPERLINK("http://trademark.i-assist.jp/data/china/image_1920th/81665412.pdf","81665412")</f>
        <v>81665412</v>
      </c>
      <c r="F1653" s="9" t="s">
        <v>4527</v>
      </c>
      <c r="G1653" s="9" t="s">
        <v>162</v>
      </c>
      <c r="H1653" s="9" t="s">
        <v>4528</v>
      </c>
      <c r="I1653" s="10">
        <v>45595</v>
      </c>
    </row>
    <row r="1654" spans="1:9" x14ac:dyDescent="0.15">
      <c r="A1654" s="9">
        <v>1653</v>
      </c>
      <c r="B1654" s="9" t="s">
        <v>9</v>
      </c>
      <c r="C1654" s="9">
        <v>1920</v>
      </c>
      <c r="D1654" s="10">
        <v>45677</v>
      </c>
      <c r="E1654" s="13" t="str">
        <f>+HYPERLINK("http://trademark.i-assist.jp/data/china/image_1920th/81665432.pdf","81665432")</f>
        <v>81665432</v>
      </c>
      <c r="F1654" s="9" t="s">
        <v>4529</v>
      </c>
      <c r="G1654" s="9" t="s">
        <v>4530</v>
      </c>
      <c r="H1654" s="9" t="s">
        <v>4531</v>
      </c>
      <c r="I1654" s="10">
        <v>45595</v>
      </c>
    </row>
    <row r="1655" spans="1:9" x14ac:dyDescent="0.15">
      <c r="A1655" s="9">
        <v>1654</v>
      </c>
      <c r="B1655" s="9" t="s">
        <v>9</v>
      </c>
      <c r="C1655" s="9">
        <v>1920</v>
      </c>
      <c r="D1655" s="10">
        <v>45677</v>
      </c>
      <c r="E1655" s="13" t="str">
        <f>+HYPERLINK("http://trademark.i-assist.jp/data/china/image_1920th/81665970.pdf","81665970")</f>
        <v>81665970</v>
      </c>
      <c r="F1655" s="12" t="s">
        <v>4532</v>
      </c>
      <c r="G1655" s="9" t="s">
        <v>4533</v>
      </c>
      <c r="H1655" s="9" t="s">
        <v>4534</v>
      </c>
      <c r="I1655" s="10">
        <v>45595</v>
      </c>
    </row>
    <row r="1656" spans="1:9" x14ac:dyDescent="0.15">
      <c r="A1656" s="9">
        <v>1655</v>
      </c>
      <c r="B1656" s="9" t="s">
        <v>9</v>
      </c>
      <c r="C1656" s="9">
        <v>1920</v>
      </c>
      <c r="D1656" s="10">
        <v>45677</v>
      </c>
      <c r="E1656" s="13" t="str">
        <f>+HYPERLINK("http://trademark.i-assist.jp/data/china/image_1920th/81666015.pdf","81666015")</f>
        <v>81666015</v>
      </c>
      <c r="F1656" s="9" t="s">
        <v>4535</v>
      </c>
      <c r="G1656" s="9" t="s">
        <v>4536</v>
      </c>
      <c r="H1656" s="9" t="s">
        <v>4537</v>
      </c>
      <c r="I1656" s="10">
        <v>45595</v>
      </c>
    </row>
    <row r="1657" spans="1:9" x14ac:dyDescent="0.15">
      <c r="A1657" s="9">
        <v>1656</v>
      </c>
      <c r="B1657" s="9" t="s">
        <v>9</v>
      </c>
      <c r="C1657" s="9">
        <v>1920</v>
      </c>
      <c r="D1657" s="10">
        <v>45677</v>
      </c>
      <c r="E1657" s="13" t="str">
        <f>+HYPERLINK("http://trademark.i-assist.jp/data/china/image_1920th/81666173.pdf","81666173")</f>
        <v>81666173</v>
      </c>
      <c r="F1657" s="9" t="s">
        <v>4538</v>
      </c>
      <c r="G1657" s="9" t="s">
        <v>4539</v>
      </c>
      <c r="H1657" s="9" t="s">
        <v>4540</v>
      </c>
      <c r="I1657" s="10">
        <v>45595</v>
      </c>
    </row>
    <row r="1658" spans="1:9" x14ac:dyDescent="0.15">
      <c r="A1658" s="9">
        <v>1657</v>
      </c>
      <c r="B1658" s="9" t="s">
        <v>9</v>
      </c>
      <c r="C1658" s="9">
        <v>1920</v>
      </c>
      <c r="D1658" s="10">
        <v>45677</v>
      </c>
      <c r="E1658" s="13" t="str">
        <f>+HYPERLINK("http://trademark.i-assist.jp/data/china/image_1920th/81666322.pdf","81666322")</f>
        <v>81666322</v>
      </c>
      <c r="F1658" s="9" t="s">
        <v>4541</v>
      </c>
      <c r="G1658" s="9" t="s">
        <v>4542</v>
      </c>
      <c r="H1658" s="12" t="s">
        <v>4543</v>
      </c>
      <c r="I1658" s="10">
        <v>45595</v>
      </c>
    </row>
    <row r="1659" spans="1:9" x14ac:dyDescent="0.15">
      <c r="A1659" s="9">
        <v>1658</v>
      </c>
      <c r="B1659" s="9" t="s">
        <v>9</v>
      </c>
      <c r="C1659" s="9">
        <v>1920</v>
      </c>
      <c r="D1659" s="10">
        <v>45677</v>
      </c>
      <c r="E1659" s="13" t="str">
        <f>+HYPERLINK("http://trademark.i-assist.jp/data/china/image_1920th/81666534.pdf","81666534")</f>
        <v>81666534</v>
      </c>
      <c r="F1659" s="12" t="s">
        <v>12</v>
      </c>
      <c r="G1659" s="9" t="s">
        <v>4544</v>
      </c>
      <c r="H1659" s="9" t="s">
        <v>4545</v>
      </c>
      <c r="I1659" s="10">
        <v>45595</v>
      </c>
    </row>
    <row r="1660" spans="1:9" x14ac:dyDescent="0.15">
      <c r="A1660" s="9">
        <v>1659</v>
      </c>
      <c r="B1660" s="9" t="s">
        <v>9</v>
      </c>
      <c r="C1660" s="9">
        <v>1920</v>
      </c>
      <c r="D1660" s="10">
        <v>45677</v>
      </c>
      <c r="E1660" s="13" t="str">
        <f>+HYPERLINK("http://trademark.i-assist.jp/data/china/image_1920th/81666702.pdf","81666702")</f>
        <v>81666702</v>
      </c>
      <c r="F1660" s="9" t="s">
        <v>4546</v>
      </c>
      <c r="G1660" s="9" t="s">
        <v>4516</v>
      </c>
      <c r="H1660" s="9" t="s">
        <v>4547</v>
      </c>
      <c r="I1660" s="10">
        <v>45595</v>
      </c>
    </row>
    <row r="1661" spans="1:9" x14ac:dyDescent="0.15">
      <c r="A1661" s="9">
        <v>1660</v>
      </c>
      <c r="B1661" s="9" t="s">
        <v>9</v>
      </c>
      <c r="C1661" s="9">
        <v>1920</v>
      </c>
      <c r="D1661" s="10">
        <v>45677</v>
      </c>
      <c r="E1661" s="13" t="str">
        <f>+HYPERLINK("http://trademark.i-assist.jp/data/china/image_1920th/81666706.pdf","81666706")</f>
        <v>81666706</v>
      </c>
      <c r="F1661" s="9" t="s">
        <v>4548</v>
      </c>
      <c r="G1661" s="9" t="s">
        <v>4549</v>
      </c>
      <c r="H1661" s="9" t="s">
        <v>4550</v>
      </c>
      <c r="I1661" s="10">
        <v>45595</v>
      </c>
    </row>
    <row r="1662" spans="1:9" x14ac:dyDescent="0.15">
      <c r="A1662" s="9">
        <v>1661</v>
      </c>
      <c r="B1662" s="9" t="s">
        <v>9</v>
      </c>
      <c r="C1662" s="9">
        <v>1920</v>
      </c>
      <c r="D1662" s="10">
        <v>45677</v>
      </c>
      <c r="E1662" s="13" t="str">
        <f>+HYPERLINK("http://trademark.i-assist.jp/data/china/image_1920th/81667134.pdf","81667134")</f>
        <v>81667134</v>
      </c>
      <c r="F1662" s="9" t="s">
        <v>4551</v>
      </c>
      <c r="G1662" s="9" t="s">
        <v>4552</v>
      </c>
      <c r="H1662" s="9" t="s">
        <v>4553</v>
      </c>
      <c r="I1662" s="10">
        <v>45595</v>
      </c>
    </row>
    <row r="1663" spans="1:9" x14ac:dyDescent="0.15">
      <c r="A1663" s="9">
        <v>1662</v>
      </c>
      <c r="B1663" s="9" t="s">
        <v>9</v>
      </c>
      <c r="C1663" s="9">
        <v>1920</v>
      </c>
      <c r="D1663" s="10">
        <v>45677</v>
      </c>
      <c r="E1663" s="13" t="str">
        <f>+HYPERLINK("http://trademark.i-assist.jp/data/china/image_1920th/81667534.pdf","81667534")</f>
        <v>81667534</v>
      </c>
      <c r="F1663" s="12" t="s">
        <v>12</v>
      </c>
      <c r="G1663" s="9" t="s">
        <v>4554</v>
      </c>
      <c r="H1663" s="9" t="s">
        <v>4555</v>
      </c>
      <c r="I1663" s="10">
        <v>45595</v>
      </c>
    </row>
    <row r="1664" spans="1:9" x14ac:dyDescent="0.15">
      <c r="A1664" s="9">
        <v>1663</v>
      </c>
      <c r="B1664" s="9" t="s">
        <v>9</v>
      </c>
      <c r="C1664" s="9">
        <v>1920</v>
      </c>
      <c r="D1664" s="10">
        <v>45677</v>
      </c>
      <c r="E1664" s="13" t="str">
        <f>+HYPERLINK("http://trademark.i-assist.jp/data/china/image_1920th/81667760.pdf","81667760")</f>
        <v>81667760</v>
      </c>
      <c r="F1664" s="9" t="s">
        <v>4556</v>
      </c>
      <c r="G1664" s="12" t="s">
        <v>4557</v>
      </c>
      <c r="H1664" s="9" t="s">
        <v>4558</v>
      </c>
      <c r="I1664" s="10">
        <v>45595</v>
      </c>
    </row>
    <row r="1665" spans="1:9" x14ac:dyDescent="0.15">
      <c r="A1665" s="9">
        <v>1664</v>
      </c>
      <c r="B1665" s="9" t="s">
        <v>9</v>
      </c>
      <c r="C1665" s="9">
        <v>1920</v>
      </c>
      <c r="D1665" s="10">
        <v>45677</v>
      </c>
      <c r="E1665" s="13" t="str">
        <f>+HYPERLINK("http://trademark.i-assist.jp/data/china/image_1920th/81667871.pdf","81667871")</f>
        <v>81667871</v>
      </c>
      <c r="F1665" s="12" t="s">
        <v>12</v>
      </c>
      <c r="G1665" s="9" t="s">
        <v>4559</v>
      </c>
      <c r="H1665" s="9" t="s">
        <v>4560</v>
      </c>
      <c r="I1665" s="10">
        <v>45595</v>
      </c>
    </row>
    <row r="1666" spans="1:9" x14ac:dyDescent="0.15">
      <c r="A1666" s="9">
        <v>1665</v>
      </c>
      <c r="B1666" s="9" t="s">
        <v>9</v>
      </c>
      <c r="C1666" s="9">
        <v>1920</v>
      </c>
      <c r="D1666" s="10">
        <v>45677</v>
      </c>
      <c r="E1666" s="13" t="str">
        <f>+HYPERLINK("http://trademark.i-assist.jp/data/china/image_1920th/81667974.pdf","81667974")</f>
        <v>81667974</v>
      </c>
      <c r="F1666" s="9" t="s">
        <v>4561</v>
      </c>
      <c r="G1666" s="9" t="s">
        <v>4516</v>
      </c>
      <c r="H1666" s="12" t="s">
        <v>4562</v>
      </c>
      <c r="I1666" s="10">
        <v>45595</v>
      </c>
    </row>
    <row r="1667" spans="1:9" x14ac:dyDescent="0.15">
      <c r="A1667" s="9">
        <v>1666</v>
      </c>
      <c r="B1667" s="9" t="s">
        <v>9</v>
      </c>
      <c r="C1667" s="9">
        <v>1920</v>
      </c>
      <c r="D1667" s="10">
        <v>45677</v>
      </c>
      <c r="E1667" s="13" t="str">
        <f>+HYPERLINK("http://trademark.i-assist.jp/data/china/image_1920th/81668126.pdf","81668126")</f>
        <v>81668126</v>
      </c>
      <c r="F1667" s="9" t="s">
        <v>4563</v>
      </c>
      <c r="G1667" s="9" t="s">
        <v>4564</v>
      </c>
      <c r="H1667" s="9" t="s">
        <v>4565</v>
      </c>
      <c r="I1667" s="10">
        <v>45595</v>
      </c>
    </row>
    <row r="1668" spans="1:9" x14ac:dyDescent="0.15">
      <c r="A1668" s="9">
        <v>1667</v>
      </c>
      <c r="B1668" s="9" t="s">
        <v>9</v>
      </c>
      <c r="C1668" s="9">
        <v>1920</v>
      </c>
      <c r="D1668" s="10">
        <v>45677</v>
      </c>
      <c r="E1668" s="13" t="str">
        <f>+HYPERLINK("http://trademark.i-assist.jp/data/china/image_1920th/81668427.pdf","81668427")</f>
        <v>81668427</v>
      </c>
      <c r="F1668" s="12" t="s">
        <v>4566</v>
      </c>
      <c r="G1668" s="9" t="s">
        <v>4567</v>
      </c>
      <c r="H1668" s="9" t="s">
        <v>4568</v>
      </c>
      <c r="I1668" s="10">
        <v>45595</v>
      </c>
    </row>
    <row r="1669" spans="1:9" x14ac:dyDescent="0.15">
      <c r="A1669" s="9">
        <v>1668</v>
      </c>
      <c r="B1669" s="9" t="s">
        <v>9</v>
      </c>
      <c r="C1669" s="9">
        <v>1920</v>
      </c>
      <c r="D1669" s="10">
        <v>45677</v>
      </c>
      <c r="E1669" s="13" t="str">
        <f>+HYPERLINK("http://trademark.i-assist.jp/data/china/image_1920th/81669061.pdf","81669061")</f>
        <v>81669061</v>
      </c>
      <c r="F1669" s="9" t="s">
        <v>4569</v>
      </c>
      <c r="G1669" s="12" t="s">
        <v>4513</v>
      </c>
      <c r="H1669" s="9" t="s">
        <v>4570</v>
      </c>
      <c r="I1669" s="10">
        <v>45595</v>
      </c>
    </row>
    <row r="1670" spans="1:9" x14ac:dyDescent="0.15">
      <c r="A1670" s="9">
        <v>1669</v>
      </c>
      <c r="B1670" s="9" t="s">
        <v>9</v>
      </c>
      <c r="C1670" s="9">
        <v>1920</v>
      </c>
      <c r="D1670" s="10">
        <v>45677</v>
      </c>
      <c r="E1670" s="13" t="str">
        <f>+HYPERLINK("http://trademark.i-assist.jp/data/china/image_1920th/81669125.pdf","81669125")</f>
        <v>81669125</v>
      </c>
      <c r="F1670" s="9" t="s">
        <v>4571</v>
      </c>
      <c r="G1670" s="9" t="s">
        <v>4572</v>
      </c>
      <c r="H1670" s="9" t="s">
        <v>4573</v>
      </c>
      <c r="I1670" s="10">
        <v>45595</v>
      </c>
    </row>
    <row r="1671" spans="1:9" x14ac:dyDescent="0.15">
      <c r="A1671" s="9">
        <v>1670</v>
      </c>
      <c r="B1671" s="9" t="s">
        <v>9</v>
      </c>
      <c r="C1671" s="9">
        <v>1920</v>
      </c>
      <c r="D1671" s="10">
        <v>45677</v>
      </c>
      <c r="E1671" s="13" t="str">
        <f>+HYPERLINK("http://trademark.i-assist.jp/data/china/image_1920th/81669639.pdf","81669639")</f>
        <v>81669639</v>
      </c>
      <c r="F1671" s="9" t="s">
        <v>4574</v>
      </c>
      <c r="G1671" s="9" t="s">
        <v>4575</v>
      </c>
      <c r="H1671" s="9" t="s">
        <v>4576</v>
      </c>
      <c r="I1671" s="10">
        <v>45595</v>
      </c>
    </row>
    <row r="1672" spans="1:9" x14ac:dyDescent="0.15">
      <c r="A1672" s="9">
        <v>1671</v>
      </c>
      <c r="B1672" s="9" t="s">
        <v>9</v>
      </c>
      <c r="C1672" s="9">
        <v>1920</v>
      </c>
      <c r="D1672" s="10">
        <v>45677</v>
      </c>
      <c r="E1672" s="13" t="str">
        <f>+HYPERLINK("http://trademark.i-assist.jp/data/china/image_1920th/81670315.pdf","81670315")</f>
        <v>81670315</v>
      </c>
      <c r="F1672" s="9" t="s">
        <v>4577</v>
      </c>
      <c r="G1672" s="9" t="s">
        <v>4578</v>
      </c>
      <c r="H1672" s="9" t="s">
        <v>4579</v>
      </c>
      <c r="I1672" s="10">
        <v>45595</v>
      </c>
    </row>
    <row r="1673" spans="1:9" x14ac:dyDescent="0.15">
      <c r="A1673" s="9">
        <v>1672</v>
      </c>
      <c r="B1673" s="9" t="s">
        <v>9</v>
      </c>
      <c r="C1673" s="9">
        <v>1920</v>
      </c>
      <c r="D1673" s="10">
        <v>45677</v>
      </c>
      <c r="E1673" s="13" t="str">
        <f>+HYPERLINK("http://trademark.i-assist.jp/data/china/image_1920th/81670423.pdf","81670423")</f>
        <v>81670423</v>
      </c>
      <c r="F1673" s="9" t="s">
        <v>4580</v>
      </c>
      <c r="G1673" s="9" t="s">
        <v>4581</v>
      </c>
      <c r="H1673" s="9" t="s">
        <v>4582</v>
      </c>
      <c r="I1673" s="10">
        <v>45595</v>
      </c>
    </row>
    <row r="1674" spans="1:9" x14ac:dyDescent="0.15">
      <c r="A1674" s="9">
        <v>1673</v>
      </c>
      <c r="B1674" s="9" t="s">
        <v>9</v>
      </c>
      <c r="C1674" s="9">
        <v>1920</v>
      </c>
      <c r="D1674" s="10">
        <v>45677</v>
      </c>
      <c r="E1674" s="13" t="str">
        <f>+HYPERLINK("http://trademark.i-assist.jp/data/china/image_1920th/81670554.pdf","81670554")</f>
        <v>81670554</v>
      </c>
      <c r="F1674" s="9" t="s">
        <v>4583</v>
      </c>
      <c r="G1674" s="9" t="s">
        <v>4575</v>
      </c>
      <c r="H1674" s="9" t="s">
        <v>4584</v>
      </c>
      <c r="I1674" s="10">
        <v>45595</v>
      </c>
    </row>
    <row r="1675" spans="1:9" x14ac:dyDescent="0.15">
      <c r="A1675" s="9">
        <v>1674</v>
      </c>
      <c r="B1675" s="9" t="s">
        <v>9</v>
      </c>
      <c r="C1675" s="9">
        <v>1920</v>
      </c>
      <c r="D1675" s="10">
        <v>45677</v>
      </c>
      <c r="E1675" s="13" t="str">
        <f>+HYPERLINK("http://trademark.i-assist.jp/data/china/image_1920th/81670588.pdf","81670588")</f>
        <v>81670588</v>
      </c>
      <c r="F1675" s="9" t="s">
        <v>4585</v>
      </c>
      <c r="G1675" s="9" t="s">
        <v>4586</v>
      </c>
      <c r="H1675" s="9" t="s">
        <v>4587</v>
      </c>
      <c r="I1675" s="10">
        <v>45595</v>
      </c>
    </row>
    <row r="1676" spans="1:9" x14ac:dyDescent="0.15">
      <c r="A1676" s="9">
        <v>1675</v>
      </c>
      <c r="B1676" s="9" t="s">
        <v>9</v>
      </c>
      <c r="C1676" s="9">
        <v>1920</v>
      </c>
      <c r="D1676" s="10">
        <v>45677</v>
      </c>
      <c r="E1676" s="13" t="str">
        <f>+HYPERLINK("http://trademark.i-assist.jp/data/china/image_1920th/81671245.pdf","81671245")</f>
        <v>81671245</v>
      </c>
      <c r="F1676" s="9" t="s">
        <v>4588</v>
      </c>
      <c r="G1676" s="9" t="s">
        <v>4589</v>
      </c>
      <c r="H1676" s="9" t="s">
        <v>4590</v>
      </c>
      <c r="I1676" s="10">
        <v>45595</v>
      </c>
    </row>
    <row r="1677" spans="1:9" x14ac:dyDescent="0.15">
      <c r="A1677" s="9">
        <v>1676</v>
      </c>
      <c r="B1677" s="9" t="s">
        <v>9</v>
      </c>
      <c r="C1677" s="9">
        <v>1920</v>
      </c>
      <c r="D1677" s="10">
        <v>45677</v>
      </c>
      <c r="E1677" s="13" t="str">
        <f>+HYPERLINK("http://trademark.i-assist.jp/data/china/image_1920th/81672000.pdf","81672000")</f>
        <v>81672000</v>
      </c>
      <c r="F1677" s="12" t="s">
        <v>4591</v>
      </c>
      <c r="G1677" s="9" t="s">
        <v>4592</v>
      </c>
      <c r="H1677" s="9" t="s">
        <v>4593</v>
      </c>
      <c r="I1677" s="10">
        <v>45595</v>
      </c>
    </row>
    <row r="1678" spans="1:9" x14ac:dyDescent="0.15">
      <c r="A1678" s="9">
        <v>1677</v>
      </c>
      <c r="B1678" s="9" t="s">
        <v>9</v>
      </c>
      <c r="C1678" s="9">
        <v>1920</v>
      </c>
      <c r="D1678" s="10">
        <v>45677</v>
      </c>
      <c r="E1678" s="13" t="str">
        <f>+HYPERLINK("http://trademark.i-assist.jp/data/china/image_1920th/81672051.pdf","81672051")</f>
        <v>81672051</v>
      </c>
      <c r="F1678" s="9" t="s">
        <v>4594</v>
      </c>
      <c r="G1678" s="9" t="s">
        <v>4595</v>
      </c>
      <c r="H1678" s="9" t="s">
        <v>4596</v>
      </c>
      <c r="I1678" s="10">
        <v>45595</v>
      </c>
    </row>
    <row r="1679" spans="1:9" x14ac:dyDescent="0.15">
      <c r="A1679" s="9">
        <v>1678</v>
      </c>
      <c r="B1679" s="9" t="s">
        <v>9</v>
      </c>
      <c r="C1679" s="9">
        <v>1920</v>
      </c>
      <c r="D1679" s="10">
        <v>45677</v>
      </c>
      <c r="E1679" s="13" t="str">
        <f>+HYPERLINK("http://trademark.i-assist.jp/data/china/image_1920th/81672090.pdf","81672090")</f>
        <v>81672090</v>
      </c>
      <c r="F1679" s="12" t="s">
        <v>4597</v>
      </c>
      <c r="G1679" s="9" t="s">
        <v>4598</v>
      </c>
      <c r="H1679" s="9" t="s">
        <v>4599</v>
      </c>
      <c r="I1679" s="10">
        <v>45595</v>
      </c>
    </row>
    <row r="1680" spans="1:9" x14ac:dyDescent="0.15">
      <c r="A1680" s="9">
        <v>1679</v>
      </c>
      <c r="B1680" s="9" t="s">
        <v>9</v>
      </c>
      <c r="C1680" s="9">
        <v>1920</v>
      </c>
      <c r="D1680" s="10">
        <v>45677</v>
      </c>
      <c r="E1680" s="13" t="str">
        <f>+HYPERLINK("http://trademark.i-assist.jp/data/china/image_1920th/81672452.pdf","81672452")</f>
        <v>81672452</v>
      </c>
      <c r="F1680" s="9" t="s">
        <v>4600</v>
      </c>
      <c r="G1680" s="9" t="s">
        <v>4601</v>
      </c>
      <c r="H1680" s="9" t="s">
        <v>4602</v>
      </c>
      <c r="I1680" s="10">
        <v>45595</v>
      </c>
    </row>
    <row r="1681" spans="1:9" x14ac:dyDescent="0.15">
      <c r="A1681" s="9">
        <v>1680</v>
      </c>
      <c r="B1681" s="9" t="s">
        <v>9</v>
      </c>
      <c r="C1681" s="9">
        <v>1920</v>
      </c>
      <c r="D1681" s="10">
        <v>45677</v>
      </c>
      <c r="E1681" s="13" t="str">
        <f>+HYPERLINK("http://trademark.i-assist.jp/data/china/image_1920th/81672893.pdf","81672893")</f>
        <v>81672893</v>
      </c>
      <c r="F1681" s="9" t="s">
        <v>4603</v>
      </c>
      <c r="G1681" s="9" t="s">
        <v>4604</v>
      </c>
      <c r="H1681" s="12" t="s">
        <v>4605</v>
      </c>
      <c r="I1681" s="10">
        <v>45595</v>
      </c>
    </row>
    <row r="1682" spans="1:9" x14ac:dyDescent="0.15">
      <c r="A1682" s="9">
        <v>1681</v>
      </c>
      <c r="B1682" s="9" t="s">
        <v>9</v>
      </c>
      <c r="C1682" s="9">
        <v>1920</v>
      </c>
      <c r="D1682" s="10">
        <v>45677</v>
      </c>
      <c r="E1682" s="13" t="str">
        <f>+HYPERLINK("http://trademark.i-assist.jp/data/china/image_1920th/81673009.pdf","81673009")</f>
        <v>81673009</v>
      </c>
      <c r="F1682" s="9" t="s">
        <v>4606</v>
      </c>
      <c r="G1682" s="9" t="s">
        <v>4607</v>
      </c>
      <c r="H1682" s="9" t="s">
        <v>4608</v>
      </c>
      <c r="I1682" s="10">
        <v>45595</v>
      </c>
    </row>
    <row r="1683" spans="1:9" x14ac:dyDescent="0.15">
      <c r="A1683" s="9">
        <v>1682</v>
      </c>
      <c r="B1683" s="9" t="s">
        <v>9</v>
      </c>
      <c r="C1683" s="9">
        <v>1920</v>
      </c>
      <c r="D1683" s="10">
        <v>45677</v>
      </c>
      <c r="E1683" s="13" t="str">
        <f>+HYPERLINK("http://trademark.i-assist.jp/data/china/image_1920th/81673156.pdf","81673156")</f>
        <v>81673156</v>
      </c>
      <c r="F1683" s="9" t="s">
        <v>4609</v>
      </c>
      <c r="G1683" s="9" t="s">
        <v>4610</v>
      </c>
      <c r="H1683" s="9" t="s">
        <v>4611</v>
      </c>
      <c r="I1683" s="10">
        <v>45595</v>
      </c>
    </row>
    <row r="1684" spans="1:9" x14ac:dyDescent="0.15">
      <c r="A1684" s="9">
        <v>1683</v>
      </c>
      <c r="B1684" s="9" t="s">
        <v>9</v>
      </c>
      <c r="C1684" s="9">
        <v>1920</v>
      </c>
      <c r="D1684" s="10">
        <v>45677</v>
      </c>
      <c r="E1684" s="13" t="str">
        <f>+HYPERLINK("http://trademark.i-assist.jp/data/china/image_1920th/81673446.pdf","81673446")</f>
        <v>81673446</v>
      </c>
      <c r="F1684" s="12" t="s">
        <v>4612</v>
      </c>
      <c r="G1684" s="9" t="s">
        <v>91</v>
      </c>
      <c r="H1684" s="9" t="s">
        <v>4613</v>
      </c>
      <c r="I1684" s="10">
        <v>45595</v>
      </c>
    </row>
    <row r="1685" spans="1:9" x14ac:dyDescent="0.15">
      <c r="A1685" s="9">
        <v>1684</v>
      </c>
      <c r="B1685" s="9" t="s">
        <v>9</v>
      </c>
      <c r="C1685" s="9">
        <v>1920</v>
      </c>
      <c r="D1685" s="10">
        <v>45677</v>
      </c>
      <c r="E1685" s="13" t="str">
        <f>+HYPERLINK("http://trademark.i-assist.jp/data/china/image_1920th/81673482.pdf","81673482")</f>
        <v>81673482</v>
      </c>
      <c r="F1685" s="12" t="s">
        <v>4614</v>
      </c>
      <c r="G1685" s="9" t="s">
        <v>4615</v>
      </c>
      <c r="H1685" s="9" t="s">
        <v>4616</v>
      </c>
      <c r="I1685" s="10">
        <v>45595</v>
      </c>
    </row>
    <row r="1686" spans="1:9" x14ac:dyDescent="0.15">
      <c r="A1686" s="9">
        <v>1685</v>
      </c>
      <c r="B1686" s="9" t="s">
        <v>9</v>
      </c>
      <c r="C1686" s="9">
        <v>1920</v>
      </c>
      <c r="D1686" s="10">
        <v>45677</v>
      </c>
      <c r="E1686" s="13" t="str">
        <f>+HYPERLINK("http://trademark.i-assist.jp/data/china/image_1920th/81673483.pdf","81673483")</f>
        <v>81673483</v>
      </c>
      <c r="F1686" s="9" t="s">
        <v>4617</v>
      </c>
      <c r="G1686" s="9" t="s">
        <v>4618</v>
      </c>
      <c r="H1686" s="9" t="s">
        <v>4619</v>
      </c>
      <c r="I1686" s="10">
        <v>45595</v>
      </c>
    </row>
    <row r="1687" spans="1:9" x14ac:dyDescent="0.15">
      <c r="A1687" s="9">
        <v>1686</v>
      </c>
      <c r="B1687" s="9" t="s">
        <v>9</v>
      </c>
      <c r="C1687" s="9">
        <v>1920</v>
      </c>
      <c r="D1687" s="10">
        <v>45677</v>
      </c>
      <c r="E1687" s="13" t="str">
        <f>+HYPERLINK("http://trademark.i-assist.jp/data/china/image_1920th/81673793.pdf","81673793")</f>
        <v>81673793</v>
      </c>
      <c r="F1687" s="12" t="s">
        <v>12</v>
      </c>
      <c r="G1687" s="9" t="s">
        <v>2539</v>
      </c>
      <c r="H1687" s="9" t="s">
        <v>4620</v>
      </c>
      <c r="I1687" s="10">
        <v>45595</v>
      </c>
    </row>
    <row r="1688" spans="1:9" x14ac:dyDescent="0.15">
      <c r="A1688" s="9">
        <v>1687</v>
      </c>
      <c r="B1688" s="9" t="s">
        <v>9</v>
      </c>
      <c r="C1688" s="9">
        <v>1920</v>
      </c>
      <c r="D1688" s="10">
        <v>45677</v>
      </c>
      <c r="E1688" s="13" t="str">
        <f>+HYPERLINK("http://trademark.i-assist.jp/data/china/image_1920th/81674402.pdf","81674402")</f>
        <v>81674402</v>
      </c>
      <c r="F1688" s="9" t="s">
        <v>4621</v>
      </c>
      <c r="G1688" s="9" t="s">
        <v>4622</v>
      </c>
      <c r="H1688" s="9" t="s">
        <v>4623</v>
      </c>
      <c r="I1688" s="10">
        <v>45595</v>
      </c>
    </row>
    <row r="1689" spans="1:9" x14ac:dyDescent="0.15">
      <c r="A1689" s="9">
        <v>1688</v>
      </c>
      <c r="B1689" s="9" t="s">
        <v>9</v>
      </c>
      <c r="C1689" s="9">
        <v>1920</v>
      </c>
      <c r="D1689" s="10">
        <v>45677</v>
      </c>
      <c r="E1689" s="13" t="str">
        <f>+HYPERLINK("http://trademark.i-assist.jp/data/china/image_1920th/81674438.pdf","81674438")</f>
        <v>81674438</v>
      </c>
      <c r="F1689" s="9" t="s">
        <v>4624</v>
      </c>
      <c r="G1689" s="9" t="s">
        <v>4625</v>
      </c>
      <c r="H1689" s="9" t="s">
        <v>4626</v>
      </c>
      <c r="I1689" s="10">
        <v>45595</v>
      </c>
    </row>
    <row r="1690" spans="1:9" x14ac:dyDescent="0.15">
      <c r="A1690" s="9">
        <v>1689</v>
      </c>
      <c r="B1690" s="9" t="s">
        <v>9</v>
      </c>
      <c r="C1690" s="9">
        <v>1920</v>
      </c>
      <c r="D1690" s="10">
        <v>45677</v>
      </c>
      <c r="E1690" s="13" t="str">
        <f>+HYPERLINK("http://trademark.i-assist.jp/data/china/image_1920th/81675078.pdf","81675078")</f>
        <v>81675078</v>
      </c>
      <c r="F1690" s="12" t="s">
        <v>4627</v>
      </c>
      <c r="G1690" s="9" t="s">
        <v>3283</v>
      </c>
      <c r="H1690" s="9" t="s">
        <v>4628</v>
      </c>
      <c r="I1690" s="10">
        <v>45595</v>
      </c>
    </row>
    <row r="1691" spans="1:9" x14ac:dyDescent="0.15">
      <c r="A1691" s="9">
        <v>1690</v>
      </c>
      <c r="B1691" s="9" t="s">
        <v>9</v>
      </c>
      <c r="C1691" s="9">
        <v>1920</v>
      </c>
      <c r="D1691" s="10">
        <v>45677</v>
      </c>
      <c r="E1691" s="13" t="str">
        <f>+HYPERLINK("http://trademark.i-assist.jp/data/china/image_1920th/81675473.pdf","81675473")</f>
        <v>81675473</v>
      </c>
      <c r="F1691" s="9" t="s">
        <v>4629</v>
      </c>
      <c r="G1691" s="9" t="s">
        <v>4630</v>
      </c>
      <c r="H1691" s="9" t="s">
        <v>4631</v>
      </c>
      <c r="I1691" s="10">
        <v>45595</v>
      </c>
    </row>
    <row r="1692" spans="1:9" x14ac:dyDescent="0.15">
      <c r="A1692" s="9">
        <v>1691</v>
      </c>
      <c r="B1692" s="9" t="s">
        <v>9</v>
      </c>
      <c r="C1692" s="9">
        <v>1920</v>
      </c>
      <c r="D1692" s="10">
        <v>45677</v>
      </c>
      <c r="E1692" s="13" t="str">
        <f>+HYPERLINK("http://trademark.i-assist.jp/data/china/image_1920th/81675580.pdf","81675580")</f>
        <v>81675580</v>
      </c>
      <c r="F1692" s="9" t="s">
        <v>4632</v>
      </c>
      <c r="G1692" s="9" t="s">
        <v>4633</v>
      </c>
      <c r="H1692" s="9" t="s">
        <v>4634</v>
      </c>
      <c r="I1692" s="10">
        <v>45595</v>
      </c>
    </row>
    <row r="1693" spans="1:9" x14ac:dyDescent="0.15">
      <c r="A1693" s="9">
        <v>1692</v>
      </c>
      <c r="B1693" s="9" t="s">
        <v>9</v>
      </c>
      <c r="C1693" s="9">
        <v>1920</v>
      </c>
      <c r="D1693" s="10">
        <v>45677</v>
      </c>
      <c r="E1693" s="13" t="str">
        <f>+HYPERLINK("http://trademark.i-assist.jp/data/china/image_1920th/81676167.pdf","81676167")</f>
        <v>81676167</v>
      </c>
      <c r="F1693" s="12" t="s">
        <v>4635</v>
      </c>
      <c r="G1693" s="9" t="s">
        <v>91</v>
      </c>
      <c r="H1693" s="9" t="s">
        <v>4636</v>
      </c>
      <c r="I1693" s="10">
        <v>45595</v>
      </c>
    </row>
    <row r="1694" spans="1:9" x14ac:dyDescent="0.15">
      <c r="A1694" s="9">
        <v>1693</v>
      </c>
      <c r="B1694" s="9" t="s">
        <v>9</v>
      </c>
      <c r="C1694" s="9">
        <v>1920</v>
      </c>
      <c r="D1694" s="10">
        <v>45677</v>
      </c>
      <c r="E1694" s="13" t="str">
        <f>+HYPERLINK("http://trademark.i-assist.jp/data/china/image_1920th/81676327.pdf","81676327")</f>
        <v>81676327</v>
      </c>
      <c r="F1694" s="9" t="s">
        <v>4637</v>
      </c>
      <c r="G1694" s="9" t="s">
        <v>4638</v>
      </c>
      <c r="H1694" s="9" t="s">
        <v>4639</v>
      </c>
      <c r="I1694" s="10">
        <v>45595</v>
      </c>
    </row>
    <row r="1695" spans="1:9" x14ac:dyDescent="0.15">
      <c r="A1695" s="9">
        <v>1694</v>
      </c>
      <c r="B1695" s="9" t="s">
        <v>9</v>
      </c>
      <c r="C1695" s="9">
        <v>1920</v>
      </c>
      <c r="D1695" s="10">
        <v>45677</v>
      </c>
      <c r="E1695" s="13" t="str">
        <f>+HYPERLINK("http://trademark.i-assist.jp/data/china/image_1920th/81676343.pdf","81676343")</f>
        <v>81676343</v>
      </c>
      <c r="F1695" s="12" t="s">
        <v>4640</v>
      </c>
      <c r="G1695" s="9" t="s">
        <v>4641</v>
      </c>
      <c r="H1695" s="9" t="s">
        <v>4642</v>
      </c>
      <c r="I1695" s="10">
        <v>45595</v>
      </c>
    </row>
    <row r="1696" spans="1:9" x14ac:dyDescent="0.15">
      <c r="A1696" s="9">
        <v>1695</v>
      </c>
      <c r="B1696" s="9" t="s">
        <v>9</v>
      </c>
      <c r="C1696" s="9">
        <v>1920</v>
      </c>
      <c r="D1696" s="10">
        <v>45677</v>
      </c>
      <c r="E1696" s="13" t="str">
        <f>+HYPERLINK("http://trademark.i-assist.jp/data/china/image_1920th/81677172.pdf","81677172")</f>
        <v>81677172</v>
      </c>
      <c r="F1696" s="12" t="s">
        <v>4643</v>
      </c>
      <c r="G1696" s="9" t="s">
        <v>4644</v>
      </c>
      <c r="H1696" s="9" t="s">
        <v>4645</v>
      </c>
      <c r="I1696" s="10">
        <v>45595</v>
      </c>
    </row>
    <row r="1697" spans="1:9" x14ac:dyDescent="0.15">
      <c r="A1697" s="9">
        <v>1696</v>
      </c>
      <c r="B1697" s="9" t="s">
        <v>9</v>
      </c>
      <c r="C1697" s="9">
        <v>1920</v>
      </c>
      <c r="D1697" s="10">
        <v>45677</v>
      </c>
      <c r="E1697" s="13" t="str">
        <f>+HYPERLINK("http://trademark.i-assist.jp/data/china/image_1920th/81677441.pdf","81677441")</f>
        <v>81677441</v>
      </c>
      <c r="F1697" s="9" t="s">
        <v>4646</v>
      </c>
      <c r="G1697" s="9" t="s">
        <v>4647</v>
      </c>
      <c r="H1697" s="9" t="s">
        <v>4648</v>
      </c>
      <c r="I1697" s="10">
        <v>45595</v>
      </c>
    </row>
    <row r="1698" spans="1:9" x14ac:dyDescent="0.15">
      <c r="A1698" s="9">
        <v>1697</v>
      </c>
      <c r="B1698" s="9" t="s">
        <v>9</v>
      </c>
      <c r="C1698" s="9">
        <v>1920</v>
      </c>
      <c r="D1698" s="10">
        <v>45677</v>
      </c>
      <c r="E1698" s="13" t="str">
        <f>+HYPERLINK("http://trademark.i-assist.jp/data/china/image_1920th/81677692.pdf","81677692")</f>
        <v>81677692</v>
      </c>
      <c r="F1698" s="9" t="s">
        <v>4649</v>
      </c>
      <c r="G1698" s="9" t="s">
        <v>162</v>
      </c>
      <c r="H1698" s="9" t="s">
        <v>4650</v>
      </c>
      <c r="I1698" s="10">
        <v>45595</v>
      </c>
    </row>
    <row r="1699" spans="1:9" x14ac:dyDescent="0.15">
      <c r="A1699" s="9">
        <v>1698</v>
      </c>
      <c r="B1699" s="9" t="s">
        <v>9</v>
      </c>
      <c r="C1699" s="9">
        <v>1920</v>
      </c>
      <c r="D1699" s="10">
        <v>45677</v>
      </c>
      <c r="E1699" s="13" t="str">
        <f>+HYPERLINK("http://trademark.i-assist.jp/data/china/image_1920th/81677708.pdf","81677708")</f>
        <v>81677708</v>
      </c>
      <c r="F1699" s="9" t="s">
        <v>4651</v>
      </c>
      <c r="G1699" s="9" t="s">
        <v>162</v>
      </c>
      <c r="H1699" s="9" t="s">
        <v>4652</v>
      </c>
      <c r="I1699" s="10">
        <v>45595</v>
      </c>
    </row>
    <row r="1700" spans="1:9" x14ac:dyDescent="0.15">
      <c r="A1700" s="9">
        <v>1699</v>
      </c>
      <c r="B1700" s="9" t="s">
        <v>9</v>
      </c>
      <c r="C1700" s="9">
        <v>1920</v>
      </c>
      <c r="D1700" s="10">
        <v>45677</v>
      </c>
      <c r="E1700" s="13" t="str">
        <f>+HYPERLINK("http://trademark.i-assist.jp/data/china/image_1920th/81677712.pdf","81677712")</f>
        <v>81677712</v>
      </c>
      <c r="F1700" s="9" t="s">
        <v>4653</v>
      </c>
      <c r="G1700" s="12" t="s">
        <v>4557</v>
      </c>
      <c r="H1700" s="9" t="s">
        <v>4654</v>
      </c>
      <c r="I1700" s="10">
        <v>45595</v>
      </c>
    </row>
    <row r="1701" spans="1:9" x14ac:dyDescent="0.15">
      <c r="A1701" s="9">
        <v>1700</v>
      </c>
      <c r="B1701" s="9" t="s">
        <v>9</v>
      </c>
      <c r="C1701" s="9">
        <v>1920</v>
      </c>
      <c r="D1701" s="10">
        <v>45677</v>
      </c>
      <c r="E1701" s="13" t="str">
        <f>+HYPERLINK("http://trademark.i-assist.jp/data/china/image_1920th/81677716.pdf","81677716")</f>
        <v>81677716</v>
      </c>
      <c r="F1701" s="9" t="s">
        <v>4655</v>
      </c>
      <c r="G1701" s="9" t="s">
        <v>162</v>
      </c>
      <c r="H1701" s="9" t="s">
        <v>4656</v>
      </c>
      <c r="I1701" s="10">
        <v>45595</v>
      </c>
    </row>
    <row r="1702" spans="1:9" x14ac:dyDescent="0.15">
      <c r="A1702" s="9">
        <v>1701</v>
      </c>
      <c r="B1702" s="9" t="s">
        <v>9</v>
      </c>
      <c r="C1702" s="9">
        <v>1920</v>
      </c>
      <c r="D1702" s="10">
        <v>45677</v>
      </c>
      <c r="E1702" s="13" t="str">
        <f>+HYPERLINK("http://trademark.i-assist.jp/data/china/image_1920th/81678020.pdf","81678020")</f>
        <v>81678020</v>
      </c>
      <c r="F1702" s="9" t="s">
        <v>4657</v>
      </c>
      <c r="G1702" s="9" t="s">
        <v>4658</v>
      </c>
      <c r="H1702" s="9" t="s">
        <v>4659</v>
      </c>
      <c r="I1702" s="10">
        <v>45595</v>
      </c>
    </row>
    <row r="1703" spans="1:9" x14ac:dyDescent="0.15">
      <c r="A1703" s="9">
        <v>1702</v>
      </c>
      <c r="B1703" s="9" t="s">
        <v>9</v>
      </c>
      <c r="C1703" s="9">
        <v>1920</v>
      </c>
      <c r="D1703" s="10">
        <v>45677</v>
      </c>
      <c r="E1703" s="13" t="str">
        <f>+HYPERLINK("http://trademark.i-assist.jp/data/china/image_1920th/81678732.pdf","81678732")</f>
        <v>81678732</v>
      </c>
      <c r="F1703" s="12" t="s">
        <v>4660</v>
      </c>
      <c r="G1703" s="11" t="s">
        <v>4661</v>
      </c>
      <c r="H1703" s="9" t="s">
        <v>4662</v>
      </c>
      <c r="I1703" s="10">
        <v>45595</v>
      </c>
    </row>
    <row r="1704" spans="1:9" x14ac:dyDescent="0.15">
      <c r="A1704" s="9">
        <v>1703</v>
      </c>
      <c r="B1704" s="9" t="s">
        <v>9</v>
      </c>
      <c r="C1704" s="9">
        <v>1920</v>
      </c>
      <c r="D1704" s="10">
        <v>45677</v>
      </c>
      <c r="E1704" s="13" t="str">
        <f>+HYPERLINK("http://trademark.i-assist.jp/data/china/image_1920th/81679154.pdf","81679154")</f>
        <v>81679154</v>
      </c>
      <c r="F1704" s="9" t="s">
        <v>4663</v>
      </c>
      <c r="G1704" s="9" t="s">
        <v>3283</v>
      </c>
      <c r="H1704" s="9" t="s">
        <v>4664</v>
      </c>
      <c r="I1704" s="10">
        <v>45595</v>
      </c>
    </row>
    <row r="1705" spans="1:9" x14ac:dyDescent="0.15">
      <c r="A1705" s="9">
        <v>1704</v>
      </c>
      <c r="B1705" s="9" t="s">
        <v>9</v>
      </c>
      <c r="C1705" s="9">
        <v>1920</v>
      </c>
      <c r="D1705" s="10">
        <v>45677</v>
      </c>
      <c r="E1705" s="13" t="str">
        <f>+HYPERLINK("http://trademark.i-assist.jp/data/china/image_1920th/81679852.pdf","81679852")</f>
        <v>81679852</v>
      </c>
      <c r="F1705" s="12" t="s">
        <v>12</v>
      </c>
      <c r="G1705" s="9" t="s">
        <v>4567</v>
      </c>
      <c r="H1705" s="9" t="s">
        <v>4665</v>
      </c>
      <c r="I1705" s="10">
        <v>45595</v>
      </c>
    </row>
    <row r="1706" spans="1:9" x14ac:dyDescent="0.15">
      <c r="A1706" s="9">
        <v>1705</v>
      </c>
      <c r="B1706" s="9" t="s">
        <v>9</v>
      </c>
      <c r="C1706" s="9">
        <v>1920</v>
      </c>
      <c r="D1706" s="10">
        <v>45677</v>
      </c>
      <c r="E1706" s="13" t="str">
        <f>+HYPERLINK("http://trademark.i-assist.jp/data/china/image_1920th/81680308.pdf","81680308")</f>
        <v>81680308</v>
      </c>
      <c r="F1706" s="12" t="s">
        <v>4666</v>
      </c>
      <c r="G1706" s="9" t="s">
        <v>4667</v>
      </c>
      <c r="H1706" s="9" t="s">
        <v>4668</v>
      </c>
      <c r="I1706" s="10">
        <v>45595</v>
      </c>
    </row>
    <row r="1707" spans="1:9" x14ac:dyDescent="0.15">
      <c r="A1707" s="9">
        <v>1706</v>
      </c>
      <c r="B1707" s="9" t="s">
        <v>9</v>
      </c>
      <c r="C1707" s="9">
        <v>1920</v>
      </c>
      <c r="D1707" s="10">
        <v>45677</v>
      </c>
      <c r="E1707" s="13" t="str">
        <f>+HYPERLINK("http://trademark.i-assist.jp/data/china/image_1920th/81680664.pdf","81680664")</f>
        <v>81680664</v>
      </c>
      <c r="F1707" s="12" t="s">
        <v>4669</v>
      </c>
      <c r="G1707" s="9" t="s">
        <v>99</v>
      </c>
      <c r="H1707" s="9" t="s">
        <v>4670</v>
      </c>
      <c r="I1707" s="10">
        <v>45595</v>
      </c>
    </row>
    <row r="1708" spans="1:9" x14ac:dyDescent="0.15">
      <c r="A1708" s="9">
        <v>1707</v>
      </c>
      <c r="B1708" s="9" t="s">
        <v>9</v>
      </c>
      <c r="C1708" s="9">
        <v>1920</v>
      </c>
      <c r="D1708" s="10">
        <v>45677</v>
      </c>
      <c r="E1708" s="13" t="str">
        <f>+HYPERLINK("http://trademark.i-assist.jp/data/china/image_1920th/81680964.pdf","81680964")</f>
        <v>81680964</v>
      </c>
      <c r="F1708" s="12" t="s">
        <v>4671</v>
      </c>
      <c r="G1708" s="9" t="s">
        <v>91</v>
      </c>
      <c r="H1708" s="9" t="s">
        <v>4672</v>
      </c>
      <c r="I1708" s="10">
        <v>45595</v>
      </c>
    </row>
    <row r="1709" spans="1:9" x14ac:dyDescent="0.15">
      <c r="A1709" s="9">
        <v>1708</v>
      </c>
      <c r="B1709" s="9" t="s">
        <v>9</v>
      </c>
      <c r="C1709" s="9">
        <v>1920</v>
      </c>
      <c r="D1709" s="10">
        <v>45677</v>
      </c>
      <c r="E1709" s="13" t="str">
        <f>+HYPERLINK("http://trademark.i-assist.jp/data/china/image_1920th/81681401.pdf","81681401")</f>
        <v>81681401</v>
      </c>
      <c r="F1709" s="9" t="s">
        <v>4673</v>
      </c>
      <c r="G1709" s="9" t="s">
        <v>4674</v>
      </c>
      <c r="H1709" s="9" t="s">
        <v>4675</v>
      </c>
      <c r="I1709" s="10">
        <v>45595</v>
      </c>
    </row>
    <row r="1710" spans="1:9" x14ac:dyDescent="0.15">
      <c r="A1710" s="9">
        <v>1709</v>
      </c>
      <c r="B1710" s="9" t="s">
        <v>9</v>
      </c>
      <c r="C1710" s="9">
        <v>1920</v>
      </c>
      <c r="D1710" s="10">
        <v>45677</v>
      </c>
      <c r="E1710" s="13" t="str">
        <f>+HYPERLINK("http://trademark.i-assist.jp/data/china/image_1920th/81681420.pdf","81681420")</f>
        <v>81681420</v>
      </c>
      <c r="F1710" s="12" t="s">
        <v>4676</v>
      </c>
      <c r="G1710" s="9" t="s">
        <v>4677</v>
      </c>
      <c r="H1710" s="12" t="s">
        <v>4678</v>
      </c>
      <c r="I1710" s="10">
        <v>45595</v>
      </c>
    </row>
    <row r="1711" spans="1:9" x14ac:dyDescent="0.15">
      <c r="A1711" s="9">
        <v>1710</v>
      </c>
      <c r="B1711" s="9" t="s">
        <v>9</v>
      </c>
      <c r="C1711" s="9">
        <v>1920</v>
      </c>
      <c r="D1711" s="10">
        <v>45677</v>
      </c>
      <c r="E1711" s="13" t="str">
        <f>+HYPERLINK("http://trademark.i-assist.jp/data/china/image_1920th/81681449.pdf","81681449")</f>
        <v>81681449</v>
      </c>
      <c r="F1711" s="9" t="s">
        <v>4679</v>
      </c>
      <c r="G1711" s="9" t="s">
        <v>3283</v>
      </c>
      <c r="H1711" s="9" t="s">
        <v>4680</v>
      </c>
      <c r="I1711" s="10">
        <v>45595</v>
      </c>
    </row>
    <row r="1712" spans="1:9" x14ac:dyDescent="0.15">
      <c r="A1712" s="9">
        <v>1711</v>
      </c>
      <c r="B1712" s="9" t="s">
        <v>9</v>
      </c>
      <c r="C1712" s="9">
        <v>1920</v>
      </c>
      <c r="D1712" s="10">
        <v>45677</v>
      </c>
      <c r="E1712" s="13" t="str">
        <f>+HYPERLINK("http://trademark.i-assist.jp/data/china/image_1920th/81681668.pdf","81681668")</f>
        <v>81681668</v>
      </c>
      <c r="F1712" s="9" t="s">
        <v>4681</v>
      </c>
      <c r="G1712" s="9" t="s">
        <v>4420</v>
      </c>
      <c r="H1712" s="9" t="s">
        <v>4682</v>
      </c>
      <c r="I1712" s="10">
        <v>45595</v>
      </c>
    </row>
    <row r="1713" spans="1:9" x14ac:dyDescent="0.15">
      <c r="A1713" s="9">
        <v>1712</v>
      </c>
      <c r="B1713" s="9" t="s">
        <v>9</v>
      </c>
      <c r="C1713" s="9">
        <v>1920</v>
      </c>
      <c r="D1713" s="10">
        <v>45677</v>
      </c>
      <c r="E1713" s="13" t="str">
        <f>+HYPERLINK("http://trademark.i-assist.jp/data/china/image_1920th/81681671.pdf","81681671")</f>
        <v>81681671</v>
      </c>
      <c r="F1713" s="12" t="s">
        <v>12</v>
      </c>
      <c r="G1713" s="9" t="s">
        <v>4525</v>
      </c>
      <c r="H1713" s="9" t="s">
        <v>4683</v>
      </c>
      <c r="I1713" s="10">
        <v>45595</v>
      </c>
    </row>
    <row r="1714" spans="1:9" x14ac:dyDescent="0.15">
      <c r="A1714" s="9">
        <v>1713</v>
      </c>
      <c r="B1714" s="9" t="s">
        <v>9</v>
      </c>
      <c r="C1714" s="9">
        <v>1920</v>
      </c>
      <c r="D1714" s="10">
        <v>45677</v>
      </c>
      <c r="E1714" s="13" t="str">
        <f>+HYPERLINK("http://trademark.i-assist.jp/data/china/image_1920th/81681979.pdf","81681979")</f>
        <v>81681979</v>
      </c>
      <c r="F1714" s="9" t="s">
        <v>4684</v>
      </c>
      <c r="G1714" s="9" t="s">
        <v>4685</v>
      </c>
      <c r="H1714" s="9" t="s">
        <v>4686</v>
      </c>
      <c r="I1714" s="10">
        <v>45595</v>
      </c>
    </row>
    <row r="1715" spans="1:9" x14ac:dyDescent="0.15">
      <c r="A1715" s="9">
        <v>1714</v>
      </c>
      <c r="B1715" s="9" t="s">
        <v>9</v>
      </c>
      <c r="C1715" s="9">
        <v>1920</v>
      </c>
      <c r="D1715" s="10">
        <v>45677</v>
      </c>
      <c r="E1715" s="13" t="str">
        <f>+HYPERLINK("http://trademark.i-assist.jp/data/china/image_1920th/81682097.pdf","81682097")</f>
        <v>81682097</v>
      </c>
      <c r="F1715" s="9" t="s">
        <v>4687</v>
      </c>
      <c r="G1715" s="9" t="s">
        <v>4688</v>
      </c>
      <c r="H1715" s="9" t="s">
        <v>4689</v>
      </c>
      <c r="I1715" s="10">
        <v>45595</v>
      </c>
    </row>
    <row r="1716" spans="1:9" x14ac:dyDescent="0.15">
      <c r="A1716" s="9">
        <v>1715</v>
      </c>
      <c r="B1716" s="9" t="s">
        <v>9</v>
      </c>
      <c r="C1716" s="9">
        <v>1920</v>
      </c>
      <c r="D1716" s="10">
        <v>45677</v>
      </c>
      <c r="E1716" s="13" t="str">
        <f>+HYPERLINK("http://trademark.i-assist.jp/data/china/image_1920th/81682552.pdf","81682552")</f>
        <v>81682552</v>
      </c>
      <c r="F1716" s="9" t="s">
        <v>4690</v>
      </c>
      <c r="G1716" s="9" t="s">
        <v>4691</v>
      </c>
      <c r="H1716" s="9" t="s">
        <v>4692</v>
      </c>
      <c r="I1716" s="10">
        <v>45595</v>
      </c>
    </row>
    <row r="1717" spans="1:9" x14ac:dyDescent="0.15">
      <c r="A1717" s="9">
        <v>1716</v>
      </c>
      <c r="B1717" s="9" t="s">
        <v>9</v>
      </c>
      <c r="C1717" s="9">
        <v>1920</v>
      </c>
      <c r="D1717" s="10">
        <v>45677</v>
      </c>
      <c r="E1717" s="13" t="str">
        <f>+HYPERLINK("http://trademark.i-assist.jp/data/china/image_1920th/81682918.pdf","81682918")</f>
        <v>81682918</v>
      </c>
      <c r="F1717" s="9" t="s">
        <v>4693</v>
      </c>
      <c r="G1717" s="9" t="s">
        <v>4688</v>
      </c>
      <c r="H1717" s="9" t="s">
        <v>4694</v>
      </c>
      <c r="I1717" s="10">
        <v>45595</v>
      </c>
    </row>
    <row r="1718" spans="1:9" x14ac:dyDescent="0.15">
      <c r="A1718" s="9">
        <v>1717</v>
      </c>
      <c r="B1718" s="9" t="s">
        <v>9</v>
      </c>
      <c r="C1718" s="9">
        <v>1920</v>
      </c>
      <c r="D1718" s="10">
        <v>45677</v>
      </c>
      <c r="E1718" s="13" t="str">
        <f>+HYPERLINK("http://trademark.i-assist.jp/data/china/image_1920th/81683041.pdf","81683041")</f>
        <v>81683041</v>
      </c>
      <c r="F1718" s="9" t="s">
        <v>4695</v>
      </c>
      <c r="G1718" s="9" t="s">
        <v>162</v>
      </c>
      <c r="H1718" s="9" t="s">
        <v>4696</v>
      </c>
      <c r="I1718" s="10">
        <v>45595</v>
      </c>
    </row>
    <row r="1719" spans="1:9" x14ac:dyDescent="0.15">
      <c r="A1719" s="9">
        <v>1718</v>
      </c>
      <c r="B1719" s="9" t="s">
        <v>9</v>
      </c>
      <c r="C1719" s="9">
        <v>1920</v>
      </c>
      <c r="D1719" s="10">
        <v>45677</v>
      </c>
      <c r="E1719" s="13" t="str">
        <f>+HYPERLINK("http://trademark.i-assist.jp/data/china/image_1920th/81683122.pdf","81683122")</f>
        <v>81683122</v>
      </c>
      <c r="F1719" s="9" t="s">
        <v>4697</v>
      </c>
      <c r="G1719" s="9" t="s">
        <v>4575</v>
      </c>
      <c r="H1719" s="9" t="s">
        <v>4698</v>
      </c>
      <c r="I1719" s="10">
        <v>45595</v>
      </c>
    </row>
    <row r="1720" spans="1:9" x14ac:dyDescent="0.15">
      <c r="A1720" s="9">
        <v>1719</v>
      </c>
      <c r="B1720" s="9" t="s">
        <v>9</v>
      </c>
      <c r="C1720" s="9">
        <v>1920</v>
      </c>
      <c r="D1720" s="10">
        <v>45677</v>
      </c>
      <c r="E1720" s="13" t="str">
        <f>+HYPERLINK("http://trademark.i-assist.jp/data/china/image_1920th/81683135.pdf","81683135")</f>
        <v>81683135</v>
      </c>
      <c r="F1720" s="9" t="s">
        <v>4699</v>
      </c>
      <c r="G1720" s="9" t="s">
        <v>4700</v>
      </c>
      <c r="H1720" s="9" t="s">
        <v>4701</v>
      </c>
      <c r="I1720" s="10">
        <v>45595</v>
      </c>
    </row>
    <row r="1721" spans="1:9" x14ac:dyDescent="0.15">
      <c r="A1721" s="9">
        <v>1720</v>
      </c>
      <c r="B1721" s="9" t="s">
        <v>9</v>
      </c>
      <c r="C1721" s="9">
        <v>1920</v>
      </c>
      <c r="D1721" s="10">
        <v>45677</v>
      </c>
      <c r="E1721" s="13" t="str">
        <f>+HYPERLINK("http://trademark.i-assist.jp/data/china/image_1920th/81683466.pdf","81683466")</f>
        <v>81683466</v>
      </c>
      <c r="F1721" s="9" t="s">
        <v>4702</v>
      </c>
      <c r="G1721" s="9" t="s">
        <v>4420</v>
      </c>
      <c r="H1721" s="9" t="s">
        <v>4703</v>
      </c>
      <c r="I1721" s="10">
        <v>45595</v>
      </c>
    </row>
    <row r="1722" spans="1:9" x14ac:dyDescent="0.15">
      <c r="A1722" s="9">
        <v>1721</v>
      </c>
      <c r="B1722" s="9" t="s">
        <v>9</v>
      </c>
      <c r="C1722" s="9">
        <v>1920</v>
      </c>
      <c r="D1722" s="10">
        <v>45677</v>
      </c>
      <c r="E1722" s="13" t="str">
        <f>+HYPERLINK("http://trademark.i-assist.jp/data/china/image_1920th/81683804.pdf","81683804")</f>
        <v>81683804</v>
      </c>
      <c r="F1722" s="9" t="s">
        <v>4704</v>
      </c>
      <c r="G1722" s="9" t="s">
        <v>162</v>
      </c>
      <c r="H1722" s="9" t="s">
        <v>4705</v>
      </c>
      <c r="I1722" s="10">
        <v>45595</v>
      </c>
    </row>
    <row r="1723" spans="1:9" x14ac:dyDescent="0.15">
      <c r="A1723" s="9">
        <v>1722</v>
      </c>
      <c r="B1723" s="9" t="s">
        <v>9</v>
      </c>
      <c r="C1723" s="9">
        <v>1920</v>
      </c>
      <c r="D1723" s="10">
        <v>45677</v>
      </c>
      <c r="E1723" s="13" t="str">
        <f>+HYPERLINK("http://trademark.i-assist.jp/data/china/image_1920th/81684073.pdf","81684073")</f>
        <v>81684073</v>
      </c>
      <c r="F1723" s="9" t="s">
        <v>4706</v>
      </c>
      <c r="G1723" s="9" t="s">
        <v>4707</v>
      </c>
      <c r="H1723" s="9" t="s">
        <v>4708</v>
      </c>
      <c r="I1723" s="10">
        <v>45595</v>
      </c>
    </row>
    <row r="1724" spans="1:9" x14ac:dyDescent="0.15">
      <c r="A1724" s="9">
        <v>1723</v>
      </c>
      <c r="B1724" s="9" t="s">
        <v>9</v>
      </c>
      <c r="C1724" s="9">
        <v>1920</v>
      </c>
      <c r="D1724" s="10">
        <v>45677</v>
      </c>
      <c r="E1724" s="13" t="str">
        <f>+HYPERLINK("http://trademark.i-assist.jp/data/china/image_1920th/81684202.pdf","81684202")</f>
        <v>81684202</v>
      </c>
      <c r="F1724" s="9" t="s">
        <v>4709</v>
      </c>
      <c r="G1724" s="9" t="s">
        <v>4710</v>
      </c>
      <c r="H1724" s="9" t="s">
        <v>4711</v>
      </c>
      <c r="I1724" s="10">
        <v>45595</v>
      </c>
    </row>
    <row r="1725" spans="1:9" x14ac:dyDescent="0.15">
      <c r="A1725" s="9">
        <v>1724</v>
      </c>
      <c r="B1725" s="9" t="s">
        <v>9</v>
      </c>
      <c r="C1725" s="9">
        <v>1920</v>
      </c>
      <c r="D1725" s="10">
        <v>45677</v>
      </c>
      <c r="E1725" s="13" t="str">
        <f>+HYPERLINK("http://trademark.i-assist.jp/data/china/image_1920th/81685367.pdf","81685367")</f>
        <v>81685367</v>
      </c>
      <c r="F1725" s="12" t="s">
        <v>4712</v>
      </c>
      <c r="G1725" s="9" t="s">
        <v>4713</v>
      </c>
      <c r="H1725" s="9" t="s">
        <v>4714</v>
      </c>
      <c r="I1725" s="10">
        <v>45595</v>
      </c>
    </row>
    <row r="1726" spans="1:9" x14ac:dyDescent="0.15">
      <c r="A1726" s="9">
        <v>1725</v>
      </c>
      <c r="B1726" s="9" t="s">
        <v>9</v>
      </c>
      <c r="C1726" s="9">
        <v>1920</v>
      </c>
      <c r="D1726" s="10">
        <v>45677</v>
      </c>
      <c r="E1726" s="13" t="str">
        <f>+HYPERLINK("http://trademark.i-assist.jp/data/china/image_1920th/81685502.pdf","81685502")</f>
        <v>81685502</v>
      </c>
      <c r="F1726" s="9" t="s">
        <v>4715</v>
      </c>
      <c r="G1726" s="12" t="s">
        <v>4716</v>
      </c>
      <c r="H1726" s="9" t="s">
        <v>4717</v>
      </c>
      <c r="I1726" s="10">
        <v>45595</v>
      </c>
    </row>
    <row r="1727" spans="1:9" x14ac:dyDescent="0.15">
      <c r="A1727" s="9">
        <v>1726</v>
      </c>
      <c r="B1727" s="9" t="s">
        <v>9</v>
      </c>
      <c r="C1727" s="9">
        <v>1920</v>
      </c>
      <c r="D1727" s="10">
        <v>45677</v>
      </c>
      <c r="E1727" s="13" t="str">
        <f>+HYPERLINK("http://trademark.i-assist.jp/data/china/image_1920th/81685592.pdf","81685592")</f>
        <v>81685592</v>
      </c>
      <c r="F1727" s="9" t="s">
        <v>4718</v>
      </c>
      <c r="G1727" s="9" t="s">
        <v>4719</v>
      </c>
      <c r="H1727" s="9" t="s">
        <v>4720</v>
      </c>
      <c r="I1727" s="10">
        <v>45595</v>
      </c>
    </row>
    <row r="1728" spans="1:9" x14ac:dyDescent="0.15">
      <c r="A1728" s="9">
        <v>1727</v>
      </c>
      <c r="B1728" s="9" t="s">
        <v>9</v>
      </c>
      <c r="C1728" s="9">
        <v>1920</v>
      </c>
      <c r="D1728" s="10">
        <v>45677</v>
      </c>
      <c r="E1728" s="13" t="str">
        <f>+HYPERLINK("http://trademark.i-assist.jp/data/china/image_1920th/81685873.pdf","81685873")</f>
        <v>81685873</v>
      </c>
      <c r="F1728" s="9" t="s">
        <v>4721</v>
      </c>
      <c r="G1728" s="9" t="s">
        <v>162</v>
      </c>
      <c r="H1728" s="9" t="s">
        <v>4722</v>
      </c>
      <c r="I1728" s="10">
        <v>45595</v>
      </c>
    </row>
    <row r="1729" spans="1:9" x14ac:dyDescent="0.15">
      <c r="A1729" s="9">
        <v>1728</v>
      </c>
      <c r="B1729" s="9" t="s">
        <v>9</v>
      </c>
      <c r="C1729" s="9">
        <v>1920</v>
      </c>
      <c r="D1729" s="10">
        <v>45677</v>
      </c>
      <c r="E1729" s="13" t="str">
        <f>+HYPERLINK("http://trademark.i-assist.jp/data/china/image_1920th/81685957.pdf","81685957")</f>
        <v>81685957</v>
      </c>
      <c r="F1729" s="9" t="s">
        <v>4723</v>
      </c>
      <c r="G1729" s="9" t="s">
        <v>4724</v>
      </c>
      <c r="H1729" s="9" t="s">
        <v>4725</v>
      </c>
      <c r="I1729" s="10">
        <v>45595</v>
      </c>
    </row>
    <row r="1730" spans="1:9" x14ac:dyDescent="0.15">
      <c r="A1730" s="9">
        <v>1729</v>
      </c>
      <c r="B1730" s="9" t="s">
        <v>9</v>
      </c>
      <c r="C1730" s="9">
        <v>1920</v>
      </c>
      <c r="D1730" s="10">
        <v>45677</v>
      </c>
      <c r="E1730" s="13" t="str">
        <f>+HYPERLINK("http://trademark.i-assist.jp/data/china/image_1920th/81686104.pdf","81686104")</f>
        <v>81686104</v>
      </c>
      <c r="F1730" s="9" t="s">
        <v>4726</v>
      </c>
      <c r="G1730" s="9" t="s">
        <v>4727</v>
      </c>
      <c r="H1730" s="9" t="s">
        <v>4728</v>
      </c>
      <c r="I1730" s="10">
        <v>45595</v>
      </c>
    </row>
    <row r="1731" spans="1:9" x14ac:dyDescent="0.15">
      <c r="A1731" s="9">
        <v>1730</v>
      </c>
      <c r="B1731" s="9" t="s">
        <v>9</v>
      </c>
      <c r="C1731" s="9">
        <v>1920</v>
      </c>
      <c r="D1731" s="10">
        <v>45677</v>
      </c>
      <c r="E1731" s="13" t="str">
        <f>+HYPERLINK("http://trademark.i-assist.jp/data/china/image_1920th/81686473.pdf","81686473")</f>
        <v>81686473</v>
      </c>
      <c r="F1731" s="12" t="s">
        <v>4729</v>
      </c>
      <c r="G1731" s="9" t="s">
        <v>4592</v>
      </c>
      <c r="H1731" s="9" t="s">
        <v>4730</v>
      </c>
      <c r="I1731" s="10">
        <v>45595</v>
      </c>
    </row>
    <row r="1732" spans="1:9" x14ac:dyDescent="0.15">
      <c r="A1732" s="9">
        <v>1731</v>
      </c>
      <c r="B1732" s="9" t="s">
        <v>9</v>
      </c>
      <c r="C1732" s="9">
        <v>1920</v>
      </c>
      <c r="D1732" s="10">
        <v>45677</v>
      </c>
      <c r="E1732" s="13" t="str">
        <f>+HYPERLINK("http://trademark.i-assist.jp/data/china/image_1920th/81687488.pdf","81687488")</f>
        <v>81687488</v>
      </c>
      <c r="F1732" s="9" t="s">
        <v>4731</v>
      </c>
      <c r="G1732" s="12" t="s">
        <v>4732</v>
      </c>
      <c r="H1732" s="9" t="s">
        <v>4733</v>
      </c>
      <c r="I1732" s="10">
        <v>45595</v>
      </c>
    </row>
    <row r="1733" spans="1:9" x14ac:dyDescent="0.15">
      <c r="A1733" s="9">
        <v>1732</v>
      </c>
      <c r="B1733" s="9" t="s">
        <v>9</v>
      </c>
      <c r="C1733" s="9">
        <v>1920</v>
      </c>
      <c r="D1733" s="10">
        <v>45677</v>
      </c>
      <c r="E1733" s="13" t="str">
        <f>+HYPERLINK("http://trademark.i-assist.jp/data/china/image_1920th/81687495.pdf","81687495")</f>
        <v>81687495</v>
      </c>
      <c r="F1733" s="12" t="s">
        <v>4734</v>
      </c>
      <c r="G1733" s="12" t="s">
        <v>4732</v>
      </c>
      <c r="H1733" s="9" t="s">
        <v>4735</v>
      </c>
      <c r="I1733" s="10">
        <v>45595</v>
      </c>
    </row>
    <row r="1734" spans="1:9" x14ac:dyDescent="0.15">
      <c r="A1734" s="9">
        <v>1733</v>
      </c>
      <c r="B1734" s="9" t="s">
        <v>9</v>
      </c>
      <c r="C1734" s="9">
        <v>1920</v>
      </c>
      <c r="D1734" s="10">
        <v>45677</v>
      </c>
      <c r="E1734" s="13" t="str">
        <f>+HYPERLINK("http://trademark.i-assist.jp/data/china/image_1920th/81688475.pdf","81688475")</f>
        <v>81688475</v>
      </c>
      <c r="F1734" s="9" t="s">
        <v>4736</v>
      </c>
      <c r="G1734" s="9" t="s">
        <v>4737</v>
      </c>
      <c r="H1734" s="9" t="s">
        <v>4738</v>
      </c>
      <c r="I1734" s="10">
        <v>45596</v>
      </c>
    </row>
    <row r="1735" spans="1:9" x14ac:dyDescent="0.15">
      <c r="A1735" s="9">
        <v>1734</v>
      </c>
      <c r="B1735" s="9" t="s">
        <v>9</v>
      </c>
      <c r="C1735" s="9">
        <v>1920</v>
      </c>
      <c r="D1735" s="10">
        <v>45677</v>
      </c>
      <c r="E1735" s="13" t="str">
        <f>+HYPERLINK("http://trademark.i-assist.jp/data/china/image_1920th/81688707.pdf","81688707")</f>
        <v>81688707</v>
      </c>
      <c r="F1735" s="9" t="s">
        <v>4739</v>
      </c>
      <c r="G1735" s="9" t="s">
        <v>4740</v>
      </c>
      <c r="H1735" s="9" t="s">
        <v>4741</v>
      </c>
      <c r="I1735" s="10">
        <v>45596</v>
      </c>
    </row>
    <row r="1736" spans="1:9" x14ac:dyDescent="0.15">
      <c r="A1736" s="9">
        <v>1735</v>
      </c>
      <c r="B1736" s="9" t="s">
        <v>9</v>
      </c>
      <c r="C1736" s="9">
        <v>1920</v>
      </c>
      <c r="D1736" s="10">
        <v>45677</v>
      </c>
      <c r="E1736" s="13" t="str">
        <f>+HYPERLINK("http://trademark.i-assist.jp/data/china/image_1920th/81689404.pdf","81689404")</f>
        <v>81689404</v>
      </c>
      <c r="F1736" s="12" t="s">
        <v>4742</v>
      </c>
      <c r="G1736" s="9" t="s">
        <v>4743</v>
      </c>
      <c r="H1736" s="9" t="s">
        <v>4744</v>
      </c>
      <c r="I1736" s="10">
        <v>45596</v>
      </c>
    </row>
    <row r="1737" spans="1:9" x14ac:dyDescent="0.15">
      <c r="A1737" s="9">
        <v>1736</v>
      </c>
      <c r="B1737" s="9" t="s">
        <v>9</v>
      </c>
      <c r="C1737" s="9">
        <v>1920</v>
      </c>
      <c r="D1737" s="10">
        <v>45677</v>
      </c>
      <c r="E1737" s="13" t="str">
        <f>+HYPERLINK("http://trademark.i-assist.jp/data/china/image_1920th/81689437.pdf","81689437")</f>
        <v>81689437</v>
      </c>
      <c r="F1737" s="9" t="s">
        <v>4745</v>
      </c>
      <c r="G1737" s="9" t="s">
        <v>4746</v>
      </c>
      <c r="H1737" s="9" t="s">
        <v>4747</v>
      </c>
      <c r="I1737" s="10">
        <v>45596</v>
      </c>
    </row>
    <row r="1738" spans="1:9" x14ac:dyDescent="0.15">
      <c r="A1738" s="9">
        <v>1737</v>
      </c>
      <c r="B1738" s="9" t="s">
        <v>9</v>
      </c>
      <c r="C1738" s="9">
        <v>1920</v>
      </c>
      <c r="D1738" s="10">
        <v>45677</v>
      </c>
      <c r="E1738" s="13" t="str">
        <f>+HYPERLINK("http://trademark.i-assist.jp/data/china/image_1920th/81689986.pdf","81689986")</f>
        <v>81689986</v>
      </c>
      <c r="F1738" s="9" t="s">
        <v>4748</v>
      </c>
      <c r="G1738" s="9" t="s">
        <v>4749</v>
      </c>
      <c r="H1738" s="9" t="s">
        <v>4750</v>
      </c>
      <c r="I1738" s="10">
        <v>45596</v>
      </c>
    </row>
    <row r="1739" spans="1:9" x14ac:dyDescent="0.15">
      <c r="A1739" s="9">
        <v>1738</v>
      </c>
      <c r="B1739" s="9" t="s">
        <v>9</v>
      </c>
      <c r="C1739" s="9">
        <v>1920</v>
      </c>
      <c r="D1739" s="10">
        <v>45677</v>
      </c>
      <c r="E1739" s="13" t="str">
        <f>+HYPERLINK("http://trademark.i-assist.jp/data/china/image_1920th/81690316.pdf","81690316")</f>
        <v>81690316</v>
      </c>
      <c r="F1739" s="9" t="s">
        <v>4751</v>
      </c>
      <c r="G1739" s="9" t="s">
        <v>4752</v>
      </c>
      <c r="H1739" s="9" t="s">
        <v>4753</v>
      </c>
      <c r="I1739" s="10">
        <v>45596</v>
      </c>
    </row>
    <row r="1740" spans="1:9" x14ac:dyDescent="0.15">
      <c r="A1740" s="9">
        <v>1739</v>
      </c>
      <c r="B1740" s="9" t="s">
        <v>9</v>
      </c>
      <c r="C1740" s="9">
        <v>1920</v>
      </c>
      <c r="D1740" s="10">
        <v>45677</v>
      </c>
      <c r="E1740" s="13" t="str">
        <f>+HYPERLINK("http://trademark.i-assist.jp/data/china/image_1920th/81690590.pdf","81690590")</f>
        <v>81690590</v>
      </c>
      <c r="F1740" s="9" t="s">
        <v>4754</v>
      </c>
      <c r="G1740" s="12" t="s">
        <v>44</v>
      </c>
      <c r="H1740" s="9" t="s">
        <v>4755</v>
      </c>
      <c r="I1740" s="10">
        <v>45596</v>
      </c>
    </row>
    <row r="1741" spans="1:9" x14ac:dyDescent="0.15">
      <c r="A1741" s="9">
        <v>1740</v>
      </c>
      <c r="B1741" s="9" t="s">
        <v>9</v>
      </c>
      <c r="C1741" s="9">
        <v>1920</v>
      </c>
      <c r="D1741" s="10">
        <v>45677</v>
      </c>
      <c r="E1741" s="13" t="str">
        <f>+HYPERLINK("http://trademark.i-assist.jp/data/china/image_1920th/81690890.pdf","81690890")</f>
        <v>81690890</v>
      </c>
      <c r="F1741" s="9" t="s">
        <v>4756</v>
      </c>
      <c r="G1741" s="9" t="s">
        <v>4746</v>
      </c>
      <c r="H1741" s="9" t="s">
        <v>4757</v>
      </c>
      <c r="I1741" s="10">
        <v>45596</v>
      </c>
    </row>
    <row r="1742" spans="1:9" x14ac:dyDescent="0.15">
      <c r="A1742" s="9">
        <v>1741</v>
      </c>
      <c r="B1742" s="9" t="s">
        <v>9</v>
      </c>
      <c r="C1742" s="9">
        <v>1920</v>
      </c>
      <c r="D1742" s="10">
        <v>45677</v>
      </c>
      <c r="E1742" s="13" t="str">
        <f>+HYPERLINK("http://trademark.i-assist.jp/data/china/image_1920th/81691147.pdf","81691147")</f>
        <v>81691147</v>
      </c>
      <c r="F1742" s="12" t="s">
        <v>4758</v>
      </c>
      <c r="G1742" s="9" t="s">
        <v>4759</v>
      </c>
      <c r="H1742" s="9" t="s">
        <v>4760</v>
      </c>
      <c r="I1742" s="10">
        <v>45596</v>
      </c>
    </row>
    <row r="1743" spans="1:9" x14ac:dyDescent="0.15">
      <c r="A1743" s="9">
        <v>1742</v>
      </c>
      <c r="B1743" s="9" t="s">
        <v>9</v>
      </c>
      <c r="C1743" s="9">
        <v>1920</v>
      </c>
      <c r="D1743" s="10">
        <v>45677</v>
      </c>
      <c r="E1743" s="13" t="str">
        <f>+HYPERLINK("http://trademark.i-assist.jp/data/china/image_1920th/81691298.pdf","81691298")</f>
        <v>81691298</v>
      </c>
      <c r="F1743" s="9" t="s">
        <v>4761</v>
      </c>
      <c r="G1743" s="9" t="s">
        <v>4762</v>
      </c>
      <c r="H1743" s="9" t="s">
        <v>4763</v>
      </c>
      <c r="I1743" s="10">
        <v>45596</v>
      </c>
    </row>
    <row r="1744" spans="1:9" x14ac:dyDescent="0.15">
      <c r="A1744" s="9">
        <v>1743</v>
      </c>
      <c r="B1744" s="9" t="s">
        <v>9</v>
      </c>
      <c r="C1744" s="9">
        <v>1920</v>
      </c>
      <c r="D1744" s="10">
        <v>45677</v>
      </c>
      <c r="E1744" s="13" t="str">
        <f>+HYPERLINK("http://trademark.i-assist.jp/data/china/image_1920th/81691483.pdf","81691483")</f>
        <v>81691483</v>
      </c>
      <c r="F1744" s="12" t="s">
        <v>4764</v>
      </c>
      <c r="G1744" s="9" t="s">
        <v>4765</v>
      </c>
      <c r="H1744" s="9" t="s">
        <v>4766</v>
      </c>
      <c r="I1744" s="10">
        <v>45596</v>
      </c>
    </row>
    <row r="1745" spans="1:9" x14ac:dyDescent="0.15">
      <c r="A1745" s="9">
        <v>1744</v>
      </c>
      <c r="B1745" s="9" t="s">
        <v>9</v>
      </c>
      <c r="C1745" s="9">
        <v>1920</v>
      </c>
      <c r="D1745" s="10">
        <v>45677</v>
      </c>
      <c r="E1745" s="13" t="str">
        <f>+HYPERLINK("http://trademark.i-assist.jp/data/china/image_1920th/81691835.pdf","81691835")</f>
        <v>81691835</v>
      </c>
      <c r="F1745" s="9" t="s">
        <v>4767</v>
      </c>
      <c r="G1745" s="9" t="s">
        <v>4768</v>
      </c>
      <c r="H1745" s="9" t="s">
        <v>4769</v>
      </c>
      <c r="I1745" s="10">
        <v>45596</v>
      </c>
    </row>
    <row r="1746" spans="1:9" x14ac:dyDescent="0.15">
      <c r="A1746" s="9">
        <v>1745</v>
      </c>
      <c r="B1746" s="9" t="s">
        <v>9</v>
      </c>
      <c r="C1746" s="9">
        <v>1920</v>
      </c>
      <c r="D1746" s="10">
        <v>45677</v>
      </c>
      <c r="E1746" s="13" t="str">
        <f>+HYPERLINK("http://trademark.i-assist.jp/data/china/image_1920th/81692070.pdf","81692070")</f>
        <v>81692070</v>
      </c>
      <c r="F1746" s="9" t="s">
        <v>4770</v>
      </c>
      <c r="G1746" s="9" t="s">
        <v>4771</v>
      </c>
      <c r="H1746" s="9" t="s">
        <v>4772</v>
      </c>
      <c r="I1746" s="10">
        <v>45596</v>
      </c>
    </row>
    <row r="1747" spans="1:9" x14ac:dyDescent="0.15">
      <c r="A1747" s="9">
        <v>1746</v>
      </c>
      <c r="B1747" s="9" t="s">
        <v>9</v>
      </c>
      <c r="C1747" s="9">
        <v>1920</v>
      </c>
      <c r="D1747" s="10">
        <v>45677</v>
      </c>
      <c r="E1747" s="13" t="str">
        <f>+HYPERLINK("http://trademark.i-assist.jp/data/china/image_1920th/81692129.pdf","81692129")</f>
        <v>81692129</v>
      </c>
      <c r="F1747" s="9" t="s">
        <v>4773</v>
      </c>
      <c r="G1747" s="9" t="s">
        <v>1933</v>
      </c>
      <c r="H1747" s="9" t="s">
        <v>4774</v>
      </c>
      <c r="I1747" s="10">
        <v>45596</v>
      </c>
    </row>
    <row r="1748" spans="1:9" x14ac:dyDescent="0.15">
      <c r="A1748" s="9">
        <v>1747</v>
      </c>
      <c r="B1748" s="9" t="s">
        <v>9</v>
      </c>
      <c r="C1748" s="9">
        <v>1920</v>
      </c>
      <c r="D1748" s="10">
        <v>45677</v>
      </c>
      <c r="E1748" s="13" t="str">
        <f>+HYPERLINK("http://trademark.i-assist.jp/data/china/image_1920th/81692297.pdf","81692297")</f>
        <v>81692297</v>
      </c>
      <c r="F1748" s="12" t="s">
        <v>12</v>
      </c>
      <c r="G1748" s="9" t="s">
        <v>4775</v>
      </c>
      <c r="H1748" s="12" t="s">
        <v>4776</v>
      </c>
      <c r="I1748" s="10">
        <v>45596</v>
      </c>
    </row>
    <row r="1749" spans="1:9" x14ac:dyDescent="0.15">
      <c r="A1749" s="9">
        <v>1748</v>
      </c>
      <c r="B1749" s="9" t="s">
        <v>9</v>
      </c>
      <c r="C1749" s="9">
        <v>1920</v>
      </c>
      <c r="D1749" s="10">
        <v>45677</v>
      </c>
      <c r="E1749" s="13" t="str">
        <f>+HYPERLINK("http://trademark.i-assist.jp/data/china/image_1920th/81692509.pdf","81692509")</f>
        <v>81692509</v>
      </c>
      <c r="F1749" s="9" t="s">
        <v>4777</v>
      </c>
      <c r="G1749" s="9" t="s">
        <v>4778</v>
      </c>
      <c r="H1749" s="9" t="s">
        <v>4779</v>
      </c>
      <c r="I1749" s="10">
        <v>45596</v>
      </c>
    </row>
    <row r="1750" spans="1:9" x14ac:dyDescent="0.15">
      <c r="A1750" s="9">
        <v>1749</v>
      </c>
      <c r="B1750" s="9" t="s">
        <v>9</v>
      </c>
      <c r="C1750" s="9">
        <v>1920</v>
      </c>
      <c r="D1750" s="10">
        <v>45677</v>
      </c>
      <c r="E1750" s="13" t="str">
        <f>+HYPERLINK("http://trademark.i-assist.jp/data/china/image_1920th/81693416.pdf","81693416")</f>
        <v>81693416</v>
      </c>
      <c r="F1750" s="9" t="s">
        <v>4780</v>
      </c>
      <c r="G1750" s="9" t="s">
        <v>4781</v>
      </c>
      <c r="H1750" s="9" t="s">
        <v>4782</v>
      </c>
      <c r="I1750" s="10">
        <v>45596</v>
      </c>
    </row>
    <row r="1751" spans="1:9" x14ac:dyDescent="0.15">
      <c r="A1751" s="9">
        <v>1750</v>
      </c>
      <c r="B1751" s="9" t="s">
        <v>9</v>
      </c>
      <c r="C1751" s="9">
        <v>1920</v>
      </c>
      <c r="D1751" s="10">
        <v>45677</v>
      </c>
      <c r="E1751" s="13" t="str">
        <f>+HYPERLINK("http://trademark.i-assist.jp/data/china/image_1920th/81693480.pdf","81693480")</f>
        <v>81693480</v>
      </c>
      <c r="F1751" s="9" t="s">
        <v>4783</v>
      </c>
      <c r="G1751" s="9" t="s">
        <v>4784</v>
      </c>
      <c r="H1751" s="9" t="s">
        <v>4785</v>
      </c>
      <c r="I1751" s="10">
        <v>45596</v>
      </c>
    </row>
    <row r="1752" spans="1:9" x14ac:dyDescent="0.15">
      <c r="A1752" s="9">
        <v>1751</v>
      </c>
      <c r="B1752" s="9" t="s">
        <v>9</v>
      </c>
      <c r="C1752" s="9">
        <v>1920</v>
      </c>
      <c r="D1752" s="10">
        <v>45677</v>
      </c>
      <c r="E1752" s="13" t="str">
        <f>+HYPERLINK("http://trademark.i-assist.jp/data/china/image_1920th/81694586.pdf","81694586")</f>
        <v>81694586</v>
      </c>
      <c r="F1752" s="9" t="s">
        <v>4786</v>
      </c>
      <c r="G1752" s="12" t="s">
        <v>4787</v>
      </c>
      <c r="H1752" s="9" t="s">
        <v>4788</v>
      </c>
      <c r="I1752" s="10">
        <v>45596</v>
      </c>
    </row>
    <row r="1753" spans="1:9" x14ac:dyDescent="0.15">
      <c r="A1753" s="9">
        <v>1752</v>
      </c>
      <c r="B1753" s="9" t="s">
        <v>9</v>
      </c>
      <c r="C1753" s="9">
        <v>1920</v>
      </c>
      <c r="D1753" s="10">
        <v>45677</v>
      </c>
      <c r="E1753" s="13" t="str">
        <f>+HYPERLINK("http://trademark.i-assist.jp/data/china/image_1920th/81694593.pdf","81694593")</f>
        <v>81694593</v>
      </c>
      <c r="F1753" s="9" t="s">
        <v>4789</v>
      </c>
      <c r="G1753" s="9" t="s">
        <v>4790</v>
      </c>
      <c r="H1753" s="9" t="s">
        <v>4791</v>
      </c>
      <c r="I1753" s="10">
        <v>45596</v>
      </c>
    </row>
    <row r="1754" spans="1:9" x14ac:dyDescent="0.15">
      <c r="A1754" s="9">
        <v>1753</v>
      </c>
      <c r="B1754" s="9" t="s">
        <v>9</v>
      </c>
      <c r="C1754" s="9">
        <v>1920</v>
      </c>
      <c r="D1754" s="10">
        <v>45677</v>
      </c>
      <c r="E1754" s="13" t="str">
        <f>+HYPERLINK("http://trademark.i-assist.jp/data/china/image_1920th/81694819.pdf","81694819")</f>
        <v>81694819</v>
      </c>
      <c r="F1754" s="9" t="s">
        <v>4792</v>
      </c>
      <c r="G1754" s="9" t="s">
        <v>4793</v>
      </c>
      <c r="H1754" s="9" t="s">
        <v>4794</v>
      </c>
      <c r="I1754" s="10">
        <v>45596</v>
      </c>
    </row>
    <row r="1755" spans="1:9" x14ac:dyDescent="0.15">
      <c r="A1755" s="9">
        <v>1754</v>
      </c>
      <c r="B1755" s="9" t="s">
        <v>9</v>
      </c>
      <c r="C1755" s="9">
        <v>1920</v>
      </c>
      <c r="D1755" s="10">
        <v>45677</v>
      </c>
      <c r="E1755" s="13" t="str">
        <f>+HYPERLINK("http://trademark.i-assist.jp/data/china/image_1920th/81694828.pdf","81694828")</f>
        <v>81694828</v>
      </c>
      <c r="F1755" s="12" t="s">
        <v>12</v>
      </c>
      <c r="G1755" s="9" t="s">
        <v>4795</v>
      </c>
      <c r="H1755" s="9" t="s">
        <v>4796</v>
      </c>
      <c r="I1755" s="10">
        <v>45596</v>
      </c>
    </row>
    <row r="1756" spans="1:9" x14ac:dyDescent="0.15">
      <c r="A1756" s="9">
        <v>1755</v>
      </c>
      <c r="B1756" s="9" t="s">
        <v>9</v>
      </c>
      <c r="C1756" s="9">
        <v>1920</v>
      </c>
      <c r="D1756" s="10">
        <v>45677</v>
      </c>
      <c r="E1756" s="13" t="str">
        <f>+HYPERLINK("http://trademark.i-assist.jp/data/china/image_1920th/81694833.pdf","81694833")</f>
        <v>81694833</v>
      </c>
      <c r="F1756" s="9" t="s">
        <v>4797</v>
      </c>
      <c r="G1756" s="9" t="s">
        <v>4798</v>
      </c>
      <c r="H1756" s="9" t="s">
        <v>4799</v>
      </c>
      <c r="I1756" s="10">
        <v>45596</v>
      </c>
    </row>
    <row r="1757" spans="1:9" x14ac:dyDescent="0.15">
      <c r="A1757" s="9">
        <v>1756</v>
      </c>
      <c r="B1757" s="9" t="s">
        <v>9</v>
      </c>
      <c r="C1757" s="9">
        <v>1920</v>
      </c>
      <c r="D1757" s="10">
        <v>45677</v>
      </c>
      <c r="E1757" s="13" t="str">
        <f>+HYPERLINK("http://trademark.i-assist.jp/data/china/image_1920th/81694866.pdf","81694866")</f>
        <v>81694866</v>
      </c>
      <c r="F1757" s="12" t="s">
        <v>4800</v>
      </c>
      <c r="G1757" s="9" t="s">
        <v>4801</v>
      </c>
      <c r="H1757" s="9" t="s">
        <v>4802</v>
      </c>
      <c r="I1757" s="10">
        <v>45596</v>
      </c>
    </row>
    <row r="1758" spans="1:9" x14ac:dyDescent="0.15">
      <c r="A1758" s="9">
        <v>1757</v>
      </c>
      <c r="B1758" s="9" t="s">
        <v>9</v>
      </c>
      <c r="C1758" s="9">
        <v>1920</v>
      </c>
      <c r="D1758" s="10">
        <v>45677</v>
      </c>
      <c r="E1758" s="13" t="str">
        <f>+HYPERLINK("http://trademark.i-assist.jp/data/china/image_1920th/81694880.pdf","81694880")</f>
        <v>81694880</v>
      </c>
      <c r="F1758" s="12" t="s">
        <v>4800</v>
      </c>
      <c r="G1758" s="9" t="s">
        <v>4801</v>
      </c>
      <c r="H1758" s="9" t="s">
        <v>4803</v>
      </c>
      <c r="I1758" s="10">
        <v>45596</v>
      </c>
    </row>
    <row r="1759" spans="1:9" x14ac:dyDescent="0.15">
      <c r="A1759" s="9">
        <v>1758</v>
      </c>
      <c r="B1759" s="9" t="s">
        <v>9</v>
      </c>
      <c r="C1759" s="9">
        <v>1920</v>
      </c>
      <c r="D1759" s="10">
        <v>45677</v>
      </c>
      <c r="E1759" s="13" t="str">
        <f>+HYPERLINK("http://trademark.i-assist.jp/data/china/image_1920th/81695359.pdf","81695359")</f>
        <v>81695359</v>
      </c>
      <c r="F1759" s="9" t="s">
        <v>4804</v>
      </c>
      <c r="G1759" s="12" t="s">
        <v>4805</v>
      </c>
      <c r="H1759" s="9" t="s">
        <v>4806</v>
      </c>
      <c r="I1759" s="10">
        <v>45596</v>
      </c>
    </row>
    <row r="1760" spans="1:9" x14ac:dyDescent="0.15">
      <c r="A1760" s="9">
        <v>1759</v>
      </c>
      <c r="B1760" s="9" t="s">
        <v>9</v>
      </c>
      <c r="C1760" s="9">
        <v>1920</v>
      </c>
      <c r="D1760" s="10">
        <v>45677</v>
      </c>
      <c r="E1760" s="13" t="str">
        <f>+HYPERLINK("http://trademark.i-assist.jp/data/china/image_1920th/81695451.pdf","81695451")</f>
        <v>81695451</v>
      </c>
      <c r="F1760" s="9" t="s">
        <v>4807</v>
      </c>
      <c r="G1760" s="9" t="s">
        <v>4808</v>
      </c>
      <c r="H1760" s="9" t="s">
        <v>4809</v>
      </c>
      <c r="I1760" s="10">
        <v>45596</v>
      </c>
    </row>
    <row r="1761" spans="1:9" x14ac:dyDescent="0.15">
      <c r="A1761" s="9">
        <v>1760</v>
      </c>
      <c r="B1761" s="9" t="s">
        <v>9</v>
      </c>
      <c r="C1761" s="9">
        <v>1920</v>
      </c>
      <c r="D1761" s="10">
        <v>45677</v>
      </c>
      <c r="E1761" s="13" t="str">
        <f>+HYPERLINK("http://trademark.i-assist.jp/data/china/image_1920th/81695629.pdf","81695629")</f>
        <v>81695629</v>
      </c>
      <c r="F1761" s="9" t="s">
        <v>4810</v>
      </c>
      <c r="G1761" s="9" t="s">
        <v>4811</v>
      </c>
      <c r="H1761" s="9" t="s">
        <v>4812</v>
      </c>
      <c r="I1761" s="10">
        <v>45596</v>
      </c>
    </row>
    <row r="1762" spans="1:9" x14ac:dyDescent="0.15">
      <c r="A1762" s="9">
        <v>1761</v>
      </c>
      <c r="B1762" s="9" t="s">
        <v>9</v>
      </c>
      <c r="C1762" s="9">
        <v>1920</v>
      </c>
      <c r="D1762" s="10">
        <v>45677</v>
      </c>
      <c r="E1762" s="13" t="str">
        <f>+HYPERLINK("http://trademark.i-assist.jp/data/china/image_1920th/81695674.pdf","81695674")</f>
        <v>81695674</v>
      </c>
      <c r="F1762" s="9" t="s">
        <v>4813</v>
      </c>
      <c r="G1762" s="9" t="s">
        <v>4814</v>
      </c>
      <c r="H1762" s="12" t="s">
        <v>4815</v>
      </c>
      <c r="I1762" s="10">
        <v>45596</v>
      </c>
    </row>
    <row r="1763" spans="1:9" x14ac:dyDescent="0.15">
      <c r="A1763" s="9">
        <v>1762</v>
      </c>
      <c r="B1763" s="9" t="s">
        <v>9</v>
      </c>
      <c r="C1763" s="9">
        <v>1920</v>
      </c>
      <c r="D1763" s="10">
        <v>45677</v>
      </c>
      <c r="E1763" s="13" t="str">
        <f>+HYPERLINK("http://trademark.i-assist.jp/data/china/image_1920th/81695682.pdf","81695682")</f>
        <v>81695682</v>
      </c>
      <c r="F1763" s="9" t="s">
        <v>4816</v>
      </c>
      <c r="G1763" s="9" t="s">
        <v>4814</v>
      </c>
      <c r="H1763" s="9" t="s">
        <v>4817</v>
      </c>
      <c r="I1763" s="10">
        <v>45596</v>
      </c>
    </row>
    <row r="1764" spans="1:9" x14ac:dyDescent="0.15">
      <c r="A1764" s="9">
        <v>1763</v>
      </c>
      <c r="B1764" s="9" t="s">
        <v>9</v>
      </c>
      <c r="C1764" s="9">
        <v>1920</v>
      </c>
      <c r="D1764" s="10">
        <v>45677</v>
      </c>
      <c r="E1764" s="13" t="str">
        <f>+HYPERLINK("http://trademark.i-assist.jp/data/china/image_1920th/81695806.pdf","81695806")</f>
        <v>81695806</v>
      </c>
      <c r="F1764" s="9" t="s">
        <v>4818</v>
      </c>
      <c r="G1764" s="9" t="s">
        <v>4819</v>
      </c>
      <c r="H1764" s="12" t="s">
        <v>4820</v>
      </c>
      <c r="I1764" s="10">
        <v>45596</v>
      </c>
    </row>
    <row r="1765" spans="1:9" x14ac:dyDescent="0.15">
      <c r="A1765" s="9">
        <v>1764</v>
      </c>
      <c r="B1765" s="9" t="s">
        <v>9</v>
      </c>
      <c r="C1765" s="9">
        <v>1920</v>
      </c>
      <c r="D1765" s="10">
        <v>45677</v>
      </c>
      <c r="E1765" s="13" t="str">
        <f>+HYPERLINK("http://trademark.i-assist.jp/data/china/image_1920th/81696117.pdf","81696117")</f>
        <v>81696117</v>
      </c>
      <c r="F1765" s="9" t="s">
        <v>4821</v>
      </c>
      <c r="G1765" s="9" t="s">
        <v>4822</v>
      </c>
      <c r="H1765" s="9" t="s">
        <v>4823</v>
      </c>
      <c r="I1765" s="10">
        <v>45596</v>
      </c>
    </row>
    <row r="1766" spans="1:9" x14ac:dyDescent="0.15">
      <c r="A1766" s="9">
        <v>1765</v>
      </c>
      <c r="B1766" s="9" t="s">
        <v>9</v>
      </c>
      <c r="C1766" s="9">
        <v>1920</v>
      </c>
      <c r="D1766" s="10">
        <v>45677</v>
      </c>
      <c r="E1766" s="13" t="str">
        <f>+HYPERLINK("http://trademark.i-assist.jp/data/china/image_1920th/81696376.pdf","81696376")</f>
        <v>81696376</v>
      </c>
      <c r="F1766" s="9" t="s">
        <v>4824</v>
      </c>
      <c r="G1766" s="9" t="s">
        <v>4825</v>
      </c>
      <c r="H1766" s="9" t="s">
        <v>4826</v>
      </c>
      <c r="I1766" s="10">
        <v>45596</v>
      </c>
    </row>
    <row r="1767" spans="1:9" x14ac:dyDescent="0.15">
      <c r="A1767" s="9">
        <v>1766</v>
      </c>
      <c r="B1767" s="9" t="s">
        <v>9</v>
      </c>
      <c r="C1767" s="9">
        <v>1920</v>
      </c>
      <c r="D1767" s="10">
        <v>45677</v>
      </c>
      <c r="E1767" s="13" t="str">
        <f>+HYPERLINK("http://trademark.i-assist.jp/data/china/image_1920th/81696434.pdf","81696434")</f>
        <v>81696434</v>
      </c>
      <c r="F1767" s="9" t="s">
        <v>4827</v>
      </c>
      <c r="G1767" s="12" t="s">
        <v>1307</v>
      </c>
      <c r="H1767" s="9" t="s">
        <v>4828</v>
      </c>
      <c r="I1767" s="10">
        <v>45596</v>
      </c>
    </row>
    <row r="1768" spans="1:9" x14ac:dyDescent="0.15">
      <c r="A1768" s="9">
        <v>1767</v>
      </c>
      <c r="B1768" s="9" t="s">
        <v>9</v>
      </c>
      <c r="C1768" s="9">
        <v>1920</v>
      </c>
      <c r="D1768" s="10">
        <v>45677</v>
      </c>
      <c r="E1768" s="13" t="str">
        <f>+HYPERLINK("http://trademark.i-assist.jp/data/china/image_1920th/81696557.pdf","81696557")</f>
        <v>81696557</v>
      </c>
      <c r="F1768" s="12" t="s">
        <v>12</v>
      </c>
      <c r="G1768" s="9" t="s">
        <v>4829</v>
      </c>
      <c r="H1768" s="9" t="s">
        <v>4830</v>
      </c>
      <c r="I1768" s="10">
        <v>45596</v>
      </c>
    </row>
    <row r="1769" spans="1:9" x14ac:dyDescent="0.15">
      <c r="A1769" s="9">
        <v>1768</v>
      </c>
      <c r="B1769" s="9" t="s">
        <v>9</v>
      </c>
      <c r="C1769" s="9">
        <v>1920</v>
      </c>
      <c r="D1769" s="10">
        <v>45677</v>
      </c>
      <c r="E1769" s="13" t="str">
        <f>+HYPERLINK("http://trademark.i-assist.jp/data/china/image_1920th/81696614.pdf","81696614")</f>
        <v>81696614</v>
      </c>
      <c r="F1769" s="9" t="s">
        <v>4831</v>
      </c>
      <c r="G1769" s="9" t="s">
        <v>4832</v>
      </c>
      <c r="H1769" s="9" t="s">
        <v>4833</v>
      </c>
      <c r="I1769" s="10">
        <v>45596</v>
      </c>
    </row>
    <row r="1770" spans="1:9" x14ac:dyDescent="0.15">
      <c r="A1770" s="9">
        <v>1769</v>
      </c>
      <c r="B1770" s="9" t="s">
        <v>9</v>
      </c>
      <c r="C1770" s="9">
        <v>1920</v>
      </c>
      <c r="D1770" s="10">
        <v>45677</v>
      </c>
      <c r="E1770" s="13" t="str">
        <f>+HYPERLINK("http://trademark.i-assist.jp/data/china/image_1920th/81696708.pdf","81696708")</f>
        <v>81696708</v>
      </c>
      <c r="F1770" s="9" t="s">
        <v>4834</v>
      </c>
      <c r="G1770" s="9" t="s">
        <v>4835</v>
      </c>
      <c r="H1770" s="9" t="s">
        <v>4836</v>
      </c>
      <c r="I1770" s="10">
        <v>45596</v>
      </c>
    </row>
    <row r="1771" spans="1:9" x14ac:dyDescent="0.15">
      <c r="A1771" s="9">
        <v>1770</v>
      </c>
      <c r="B1771" s="9" t="s">
        <v>9</v>
      </c>
      <c r="C1771" s="9">
        <v>1920</v>
      </c>
      <c r="D1771" s="10">
        <v>45677</v>
      </c>
      <c r="E1771" s="13" t="str">
        <f>+HYPERLINK("http://trademark.i-assist.jp/data/china/image_1920th/81697211.pdf","81697211")</f>
        <v>81697211</v>
      </c>
      <c r="F1771" s="9" t="s">
        <v>4837</v>
      </c>
      <c r="G1771" s="9" t="s">
        <v>4838</v>
      </c>
      <c r="H1771" s="9" t="s">
        <v>4839</v>
      </c>
      <c r="I1771" s="10">
        <v>45596</v>
      </c>
    </row>
    <row r="1772" spans="1:9" x14ac:dyDescent="0.15">
      <c r="A1772" s="9">
        <v>1771</v>
      </c>
      <c r="B1772" s="9" t="s">
        <v>9</v>
      </c>
      <c r="C1772" s="9">
        <v>1920</v>
      </c>
      <c r="D1772" s="10">
        <v>45677</v>
      </c>
      <c r="E1772" s="13" t="str">
        <f>+HYPERLINK("http://trademark.i-assist.jp/data/china/image_1920th/81697222.pdf","81697222")</f>
        <v>81697222</v>
      </c>
      <c r="F1772" s="9" t="s">
        <v>4840</v>
      </c>
      <c r="G1772" s="12" t="s">
        <v>4841</v>
      </c>
      <c r="H1772" s="9" t="s">
        <v>4842</v>
      </c>
      <c r="I1772" s="10">
        <v>45596</v>
      </c>
    </row>
    <row r="1773" spans="1:9" x14ac:dyDescent="0.15">
      <c r="A1773" s="9">
        <v>1772</v>
      </c>
      <c r="B1773" s="9" t="s">
        <v>9</v>
      </c>
      <c r="C1773" s="9">
        <v>1920</v>
      </c>
      <c r="D1773" s="10">
        <v>45677</v>
      </c>
      <c r="E1773" s="13" t="str">
        <f>+HYPERLINK("http://trademark.i-assist.jp/data/china/image_1920th/81697875.pdf","81697875")</f>
        <v>81697875</v>
      </c>
      <c r="F1773" s="9" t="s">
        <v>4843</v>
      </c>
      <c r="G1773" s="12" t="s">
        <v>4844</v>
      </c>
      <c r="H1773" s="9" t="s">
        <v>4845</v>
      </c>
      <c r="I1773" s="10">
        <v>45596</v>
      </c>
    </row>
    <row r="1774" spans="1:9" x14ac:dyDescent="0.15">
      <c r="A1774" s="9">
        <v>1773</v>
      </c>
      <c r="B1774" s="9" t="s">
        <v>9</v>
      </c>
      <c r="C1774" s="9">
        <v>1920</v>
      </c>
      <c r="D1774" s="10">
        <v>45677</v>
      </c>
      <c r="E1774" s="13" t="str">
        <f>+HYPERLINK("http://trademark.i-assist.jp/data/china/image_1920th/81697943.pdf","81697943")</f>
        <v>81697943</v>
      </c>
      <c r="F1774" s="9" t="s">
        <v>4846</v>
      </c>
      <c r="G1774" s="9" t="s">
        <v>4847</v>
      </c>
      <c r="H1774" s="9" t="s">
        <v>4848</v>
      </c>
      <c r="I1774" s="10">
        <v>45596</v>
      </c>
    </row>
    <row r="1775" spans="1:9" x14ac:dyDescent="0.15">
      <c r="A1775" s="9">
        <v>1774</v>
      </c>
      <c r="B1775" s="9" t="s">
        <v>9</v>
      </c>
      <c r="C1775" s="9">
        <v>1920</v>
      </c>
      <c r="D1775" s="10">
        <v>45677</v>
      </c>
      <c r="E1775" s="13" t="str">
        <f>+HYPERLINK("http://trademark.i-assist.jp/data/china/image_1920th/81698270.pdf","81698270")</f>
        <v>81698270</v>
      </c>
      <c r="F1775" s="9" t="s">
        <v>4849</v>
      </c>
      <c r="G1775" s="9" t="s">
        <v>4850</v>
      </c>
      <c r="H1775" s="9" t="s">
        <v>4851</v>
      </c>
      <c r="I1775" s="10">
        <v>45596</v>
      </c>
    </row>
    <row r="1776" spans="1:9" x14ac:dyDescent="0.15">
      <c r="A1776" s="9">
        <v>1775</v>
      </c>
      <c r="B1776" s="9" t="s">
        <v>9</v>
      </c>
      <c r="C1776" s="9">
        <v>1920</v>
      </c>
      <c r="D1776" s="10">
        <v>45677</v>
      </c>
      <c r="E1776" s="13" t="str">
        <f>+HYPERLINK("http://trademark.i-assist.jp/data/china/image_1920th/81698800.pdf","81698800")</f>
        <v>81698800</v>
      </c>
      <c r="F1776" s="9" t="s">
        <v>4852</v>
      </c>
      <c r="G1776" s="9" t="s">
        <v>4737</v>
      </c>
      <c r="H1776" s="9" t="s">
        <v>4853</v>
      </c>
      <c r="I1776" s="10">
        <v>45596</v>
      </c>
    </row>
    <row r="1777" spans="1:9" x14ac:dyDescent="0.15">
      <c r="A1777" s="9">
        <v>1776</v>
      </c>
      <c r="B1777" s="9" t="s">
        <v>9</v>
      </c>
      <c r="C1777" s="9">
        <v>1920</v>
      </c>
      <c r="D1777" s="10">
        <v>45677</v>
      </c>
      <c r="E1777" s="13" t="str">
        <f>+HYPERLINK("http://trademark.i-assist.jp/data/china/image_1920th/81698814.pdf","81698814")</f>
        <v>81698814</v>
      </c>
      <c r="F1777" s="12" t="s">
        <v>12</v>
      </c>
      <c r="G1777" s="9" t="s">
        <v>4854</v>
      </c>
      <c r="H1777" s="9" t="s">
        <v>4855</v>
      </c>
      <c r="I1777" s="10">
        <v>45596</v>
      </c>
    </row>
    <row r="1778" spans="1:9" x14ac:dyDescent="0.15">
      <c r="A1778" s="9">
        <v>1777</v>
      </c>
      <c r="B1778" s="9" t="s">
        <v>9</v>
      </c>
      <c r="C1778" s="9">
        <v>1920</v>
      </c>
      <c r="D1778" s="10">
        <v>45677</v>
      </c>
      <c r="E1778" s="13" t="str">
        <f>+HYPERLINK("http://trademark.i-assist.jp/data/china/image_1920th/81699221.pdf","81699221")</f>
        <v>81699221</v>
      </c>
      <c r="F1778" s="9" t="s">
        <v>4856</v>
      </c>
      <c r="G1778" s="9" t="s">
        <v>4857</v>
      </c>
      <c r="H1778" s="9" t="s">
        <v>4858</v>
      </c>
      <c r="I1778" s="10">
        <v>45596</v>
      </c>
    </row>
    <row r="1779" spans="1:9" x14ac:dyDescent="0.15">
      <c r="A1779" s="9">
        <v>1778</v>
      </c>
      <c r="B1779" s="9" t="s">
        <v>9</v>
      </c>
      <c r="C1779" s="9">
        <v>1920</v>
      </c>
      <c r="D1779" s="10">
        <v>45677</v>
      </c>
      <c r="E1779" s="13" t="str">
        <f>+HYPERLINK("http://trademark.i-assist.jp/data/china/image_1920th/81699999.pdf","81699999")</f>
        <v>81699999</v>
      </c>
      <c r="F1779" s="9" t="s">
        <v>4859</v>
      </c>
      <c r="G1779" s="9" t="s">
        <v>4860</v>
      </c>
      <c r="H1779" s="9" t="s">
        <v>4861</v>
      </c>
      <c r="I1779" s="10">
        <v>45596</v>
      </c>
    </row>
    <row r="1780" spans="1:9" x14ac:dyDescent="0.15">
      <c r="A1780" s="9">
        <v>1779</v>
      </c>
      <c r="B1780" s="9" t="s">
        <v>9</v>
      </c>
      <c r="C1780" s="9">
        <v>1920</v>
      </c>
      <c r="D1780" s="10">
        <v>45677</v>
      </c>
      <c r="E1780" s="13" t="str">
        <f>+HYPERLINK("http://trademark.i-assist.jp/data/china/image_1920th/81700042.pdf","81700042")</f>
        <v>81700042</v>
      </c>
      <c r="F1780" s="9" t="s">
        <v>4862</v>
      </c>
      <c r="G1780" s="9" t="s">
        <v>4863</v>
      </c>
      <c r="H1780" s="9" t="s">
        <v>4864</v>
      </c>
      <c r="I1780" s="10">
        <v>45596</v>
      </c>
    </row>
    <row r="1781" spans="1:9" x14ac:dyDescent="0.15">
      <c r="A1781" s="9">
        <v>1780</v>
      </c>
      <c r="B1781" s="9" t="s">
        <v>9</v>
      </c>
      <c r="C1781" s="9">
        <v>1920</v>
      </c>
      <c r="D1781" s="10">
        <v>45677</v>
      </c>
      <c r="E1781" s="13" t="str">
        <f>+HYPERLINK("http://trademark.i-assist.jp/data/china/image_1920th/81700632.pdf","81700632")</f>
        <v>81700632</v>
      </c>
      <c r="F1781" s="9" t="s">
        <v>4865</v>
      </c>
      <c r="G1781" s="12" t="s">
        <v>4866</v>
      </c>
      <c r="H1781" s="9" t="s">
        <v>4867</v>
      </c>
      <c r="I1781" s="10">
        <v>45596</v>
      </c>
    </row>
    <row r="1782" spans="1:9" x14ac:dyDescent="0.15">
      <c r="A1782" s="9">
        <v>1781</v>
      </c>
      <c r="B1782" s="9" t="s">
        <v>9</v>
      </c>
      <c r="C1782" s="9">
        <v>1920</v>
      </c>
      <c r="D1782" s="10">
        <v>45677</v>
      </c>
      <c r="E1782" s="13" t="str">
        <f>+HYPERLINK("http://trademark.i-assist.jp/data/china/image_1920th/81700660.pdf","81700660")</f>
        <v>81700660</v>
      </c>
      <c r="F1782" s="9" t="s">
        <v>4868</v>
      </c>
      <c r="G1782" s="9" t="s">
        <v>4869</v>
      </c>
      <c r="H1782" s="9" t="s">
        <v>4870</v>
      </c>
      <c r="I1782" s="10">
        <v>45596</v>
      </c>
    </row>
    <row r="1783" spans="1:9" x14ac:dyDescent="0.15">
      <c r="A1783" s="9">
        <v>1782</v>
      </c>
      <c r="B1783" s="9" t="s">
        <v>9</v>
      </c>
      <c r="C1783" s="9">
        <v>1920</v>
      </c>
      <c r="D1783" s="10">
        <v>45677</v>
      </c>
      <c r="E1783" s="13" t="str">
        <f>+HYPERLINK("http://trademark.i-assist.jp/data/china/image_1920th/81700749.pdf","81700749")</f>
        <v>81700749</v>
      </c>
      <c r="F1783" s="9" t="s">
        <v>4871</v>
      </c>
      <c r="G1783" s="9" t="s">
        <v>4857</v>
      </c>
      <c r="H1783" s="9" t="s">
        <v>4872</v>
      </c>
      <c r="I1783" s="10">
        <v>45596</v>
      </c>
    </row>
    <row r="1784" spans="1:9" x14ac:dyDescent="0.15">
      <c r="A1784" s="9">
        <v>1783</v>
      </c>
      <c r="B1784" s="9" t="s">
        <v>9</v>
      </c>
      <c r="C1784" s="9">
        <v>1920</v>
      </c>
      <c r="D1784" s="10">
        <v>45677</v>
      </c>
      <c r="E1784" s="13" t="str">
        <f>+HYPERLINK("http://trademark.i-assist.jp/data/china/image_1920th/81700803.pdf","81700803")</f>
        <v>81700803</v>
      </c>
      <c r="F1784" s="9" t="s">
        <v>4873</v>
      </c>
      <c r="G1784" s="9" t="s">
        <v>4847</v>
      </c>
      <c r="H1784" s="12" t="s">
        <v>4874</v>
      </c>
      <c r="I1784" s="10">
        <v>45596</v>
      </c>
    </row>
    <row r="1785" spans="1:9" x14ac:dyDescent="0.15">
      <c r="A1785" s="9">
        <v>1784</v>
      </c>
      <c r="B1785" s="9" t="s">
        <v>9</v>
      </c>
      <c r="C1785" s="9">
        <v>1920</v>
      </c>
      <c r="D1785" s="10">
        <v>45677</v>
      </c>
      <c r="E1785" s="13" t="str">
        <f>+HYPERLINK("http://trademark.i-assist.jp/data/china/image_1920th/81701724.pdf","81701724")</f>
        <v>81701724</v>
      </c>
      <c r="F1785" s="9" t="s">
        <v>4875</v>
      </c>
      <c r="G1785" s="9" t="s">
        <v>4832</v>
      </c>
      <c r="H1785" s="9" t="s">
        <v>4876</v>
      </c>
      <c r="I1785" s="10">
        <v>45596</v>
      </c>
    </row>
    <row r="1786" spans="1:9" x14ac:dyDescent="0.15">
      <c r="A1786" s="9">
        <v>1785</v>
      </c>
      <c r="B1786" s="9" t="s">
        <v>9</v>
      </c>
      <c r="C1786" s="9">
        <v>1920</v>
      </c>
      <c r="D1786" s="10">
        <v>45677</v>
      </c>
      <c r="E1786" s="13" t="str">
        <f>+HYPERLINK("http://trademark.i-assist.jp/data/china/image_1920th/81702269.pdf","81702269")</f>
        <v>81702269</v>
      </c>
      <c r="F1786" s="12" t="s">
        <v>4877</v>
      </c>
      <c r="G1786" s="9" t="s">
        <v>4878</v>
      </c>
      <c r="H1786" s="12" t="s">
        <v>4879</v>
      </c>
      <c r="I1786" s="10">
        <v>45596</v>
      </c>
    </row>
    <row r="1787" spans="1:9" x14ac:dyDescent="0.15">
      <c r="A1787" s="9">
        <v>1786</v>
      </c>
      <c r="B1787" s="9" t="s">
        <v>9</v>
      </c>
      <c r="C1787" s="9">
        <v>1920</v>
      </c>
      <c r="D1787" s="10">
        <v>45677</v>
      </c>
      <c r="E1787" s="13" t="str">
        <f>+HYPERLINK("http://trademark.i-assist.jp/data/china/image_1920th/81703247.pdf","81703247")</f>
        <v>81703247</v>
      </c>
      <c r="F1787" s="9" t="s">
        <v>4880</v>
      </c>
      <c r="G1787" s="12" t="s">
        <v>44</v>
      </c>
      <c r="H1787" s="9" t="s">
        <v>4881</v>
      </c>
      <c r="I1787" s="10">
        <v>45596</v>
      </c>
    </row>
    <row r="1788" spans="1:9" x14ac:dyDescent="0.15">
      <c r="A1788" s="9">
        <v>1787</v>
      </c>
      <c r="B1788" s="9" t="s">
        <v>9</v>
      </c>
      <c r="C1788" s="9">
        <v>1920</v>
      </c>
      <c r="D1788" s="10">
        <v>45677</v>
      </c>
      <c r="E1788" s="13" t="str">
        <f>+HYPERLINK("http://trademark.i-assist.jp/data/china/image_1920th/81703291.pdf","81703291")</f>
        <v>81703291</v>
      </c>
      <c r="F1788" s="9" t="s">
        <v>4882</v>
      </c>
      <c r="G1788" s="9" t="s">
        <v>4883</v>
      </c>
      <c r="H1788" s="9" t="s">
        <v>4884</v>
      </c>
      <c r="I1788" s="10">
        <v>45596</v>
      </c>
    </row>
    <row r="1789" spans="1:9" x14ac:dyDescent="0.15">
      <c r="A1789" s="9">
        <v>1788</v>
      </c>
      <c r="B1789" s="9" t="s">
        <v>9</v>
      </c>
      <c r="C1789" s="9">
        <v>1920</v>
      </c>
      <c r="D1789" s="10">
        <v>45677</v>
      </c>
      <c r="E1789" s="13" t="str">
        <f>+HYPERLINK("http://trademark.i-assist.jp/data/china/image_1920th/81703482.pdf","81703482")</f>
        <v>81703482</v>
      </c>
      <c r="F1789" s="9" t="s">
        <v>4885</v>
      </c>
      <c r="G1789" s="9" t="s">
        <v>4886</v>
      </c>
      <c r="H1789" s="12" t="s">
        <v>4887</v>
      </c>
      <c r="I1789" s="10">
        <v>45596</v>
      </c>
    </row>
    <row r="1790" spans="1:9" x14ac:dyDescent="0.15">
      <c r="A1790" s="9">
        <v>1789</v>
      </c>
      <c r="B1790" s="9" t="s">
        <v>9</v>
      </c>
      <c r="C1790" s="9">
        <v>1920</v>
      </c>
      <c r="D1790" s="10">
        <v>45677</v>
      </c>
      <c r="E1790" s="13" t="str">
        <f>+HYPERLINK("http://trademark.i-assist.jp/data/china/image_1920th/81703994.pdf","81703994")</f>
        <v>81703994</v>
      </c>
      <c r="F1790" s="9" t="s">
        <v>4888</v>
      </c>
      <c r="G1790" s="12" t="s">
        <v>4844</v>
      </c>
      <c r="H1790" s="9" t="s">
        <v>4889</v>
      </c>
      <c r="I1790" s="10">
        <v>45596</v>
      </c>
    </row>
    <row r="1791" spans="1:9" x14ac:dyDescent="0.15">
      <c r="A1791" s="9">
        <v>1790</v>
      </c>
      <c r="B1791" s="9" t="s">
        <v>9</v>
      </c>
      <c r="C1791" s="9">
        <v>1920</v>
      </c>
      <c r="D1791" s="10">
        <v>45677</v>
      </c>
      <c r="E1791" s="13" t="str">
        <f>+HYPERLINK("http://trademark.i-assist.jp/data/china/image_1920th/81704255.pdf","81704255")</f>
        <v>81704255</v>
      </c>
      <c r="F1791" s="9" t="s">
        <v>4890</v>
      </c>
      <c r="G1791" s="12" t="s">
        <v>4891</v>
      </c>
      <c r="H1791" s="9" t="s">
        <v>4892</v>
      </c>
      <c r="I1791" s="10">
        <v>45596</v>
      </c>
    </row>
    <row r="1792" spans="1:9" x14ac:dyDescent="0.15">
      <c r="A1792" s="9">
        <v>1791</v>
      </c>
      <c r="B1792" s="9" t="s">
        <v>9</v>
      </c>
      <c r="C1792" s="9">
        <v>1920</v>
      </c>
      <c r="D1792" s="10">
        <v>45677</v>
      </c>
      <c r="E1792" s="13" t="str">
        <f>+HYPERLINK("http://trademark.i-assist.jp/data/china/image_1920th/81706088.pdf","81706088")</f>
        <v>81706088</v>
      </c>
      <c r="F1792" s="9" t="s">
        <v>4893</v>
      </c>
      <c r="G1792" s="9" t="s">
        <v>4894</v>
      </c>
      <c r="H1792" s="12" t="s">
        <v>4895</v>
      </c>
      <c r="I1792" s="10">
        <v>45596</v>
      </c>
    </row>
    <row r="1793" spans="1:9" x14ac:dyDescent="0.15">
      <c r="A1793" s="9">
        <v>1792</v>
      </c>
      <c r="B1793" s="9" t="s">
        <v>9</v>
      </c>
      <c r="C1793" s="9">
        <v>1920</v>
      </c>
      <c r="D1793" s="10">
        <v>45677</v>
      </c>
      <c r="E1793" s="13" t="str">
        <f>+HYPERLINK("http://trademark.i-assist.jp/data/china/image_1920th/81706394.pdf","81706394")</f>
        <v>81706394</v>
      </c>
      <c r="F1793" s="9" t="s">
        <v>4896</v>
      </c>
      <c r="G1793" s="9" t="s">
        <v>4897</v>
      </c>
      <c r="H1793" s="9" t="s">
        <v>4898</v>
      </c>
      <c r="I1793" s="10">
        <v>45596</v>
      </c>
    </row>
    <row r="1794" spans="1:9" x14ac:dyDescent="0.15">
      <c r="A1794" s="9">
        <v>1793</v>
      </c>
      <c r="B1794" s="9" t="s">
        <v>9</v>
      </c>
      <c r="C1794" s="9">
        <v>1920</v>
      </c>
      <c r="D1794" s="10">
        <v>45677</v>
      </c>
      <c r="E1794" s="13" t="str">
        <f>+HYPERLINK("http://trademark.i-assist.jp/data/china/image_1920th/81706841.pdf","81706841")</f>
        <v>81706841</v>
      </c>
      <c r="F1794" s="9" t="s">
        <v>4899</v>
      </c>
      <c r="G1794" s="9" t="s">
        <v>4900</v>
      </c>
      <c r="H1794" s="9" t="s">
        <v>4901</v>
      </c>
      <c r="I1794" s="10">
        <v>45596</v>
      </c>
    </row>
    <row r="1795" spans="1:9" x14ac:dyDescent="0.15">
      <c r="A1795" s="9">
        <v>1794</v>
      </c>
      <c r="B1795" s="9" t="s">
        <v>9</v>
      </c>
      <c r="C1795" s="9">
        <v>1920</v>
      </c>
      <c r="D1795" s="10">
        <v>45677</v>
      </c>
      <c r="E1795" s="13" t="str">
        <f>+HYPERLINK("http://trademark.i-assist.jp/data/china/image_1920th/81706931.pdf","81706931")</f>
        <v>81706931</v>
      </c>
      <c r="F1795" s="12" t="s">
        <v>4800</v>
      </c>
      <c r="G1795" s="9" t="s">
        <v>4801</v>
      </c>
      <c r="H1795" s="9" t="s">
        <v>4902</v>
      </c>
      <c r="I1795" s="10">
        <v>45596</v>
      </c>
    </row>
    <row r="1796" spans="1:9" x14ac:dyDescent="0.15">
      <c r="A1796" s="9">
        <v>1795</v>
      </c>
      <c r="B1796" s="9" t="s">
        <v>9</v>
      </c>
      <c r="C1796" s="9">
        <v>1920</v>
      </c>
      <c r="D1796" s="10">
        <v>45677</v>
      </c>
      <c r="E1796" s="13" t="str">
        <f>+HYPERLINK("http://trademark.i-assist.jp/data/china/image_1920th/81707805.pdf","81707805")</f>
        <v>81707805</v>
      </c>
      <c r="F1796" s="9" t="s">
        <v>4903</v>
      </c>
      <c r="G1796" s="9" t="s">
        <v>4904</v>
      </c>
      <c r="H1796" s="12" t="s">
        <v>4905</v>
      </c>
      <c r="I1796" s="10">
        <v>45596</v>
      </c>
    </row>
    <row r="1797" spans="1:9" x14ac:dyDescent="0.15">
      <c r="A1797" s="9">
        <v>1796</v>
      </c>
      <c r="B1797" s="9" t="s">
        <v>9</v>
      </c>
      <c r="C1797" s="9">
        <v>1920</v>
      </c>
      <c r="D1797" s="10">
        <v>45677</v>
      </c>
      <c r="E1797" s="13" t="str">
        <f>+HYPERLINK("http://trademark.i-assist.jp/data/china/image_1920th/81707845.pdf","81707845")</f>
        <v>81707845</v>
      </c>
      <c r="F1797" s="9" t="s">
        <v>4906</v>
      </c>
      <c r="G1797" s="9" t="s">
        <v>4883</v>
      </c>
      <c r="H1797" s="9" t="s">
        <v>4907</v>
      </c>
      <c r="I1797" s="10">
        <v>45596</v>
      </c>
    </row>
    <row r="1798" spans="1:9" x14ac:dyDescent="0.15">
      <c r="A1798" s="9">
        <v>1797</v>
      </c>
      <c r="B1798" s="9" t="s">
        <v>9</v>
      </c>
      <c r="C1798" s="9">
        <v>1920</v>
      </c>
      <c r="D1798" s="10">
        <v>45677</v>
      </c>
      <c r="E1798" s="13" t="str">
        <f>+HYPERLINK("http://trademark.i-assist.jp/data/china/image_1920th/81708590.pdf","81708590")</f>
        <v>81708590</v>
      </c>
      <c r="F1798" s="9" t="s">
        <v>4908</v>
      </c>
      <c r="G1798" s="9" t="s">
        <v>4909</v>
      </c>
      <c r="H1798" s="9" t="s">
        <v>4910</v>
      </c>
      <c r="I1798" s="10">
        <v>45596</v>
      </c>
    </row>
    <row r="1799" spans="1:9" x14ac:dyDescent="0.15">
      <c r="A1799" s="9">
        <v>1798</v>
      </c>
      <c r="B1799" s="9" t="s">
        <v>9</v>
      </c>
      <c r="C1799" s="9">
        <v>1920</v>
      </c>
      <c r="D1799" s="10">
        <v>45677</v>
      </c>
      <c r="E1799" s="13" t="str">
        <f>+HYPERLINK("http://trademark.i-assist.jp/data/china/image_1920th/81708655.pdf","81708655")</f>
        <v>81708655</v>
      </c>
      <c r="F1799" s="9" t="s">
        <v>4911</v>
      </c>
      <c r="G1799" s="12" t="s">
        <v>4787</v>
      </c>
      <c r="H1799" s="9" t="s">
        <v>4912</v>
      </c>
      <c r="I1799" s="10">
        <v>45596</v>
      </c>
    </row>
    <row r="1800" spans="1:9" x14ac:dyDescent="0.15">
      <c r="A1800" s="9">
        <v>1799</v>
      </c>
      <c r="B1800" s="9" t="s">
        <v>9</v>
      </c>
      <c r="C1800" s="9">
        <v>1920</v>
      </c>
      <c r="D1800" s="10">
        <v>45677</v>
      </c>
      <c r="E1800" s="13" t="str">
        <f>+HYPERLINK("http://trademark.i-assist.jp/data/china/image_1920th/81709670.pdf","81709670")</f>
        <v>81709670</v>
      </c>
      <c r="F1800" s="12" t="s">
        <v>12</v>
      </c>
      <c r="G1800" s="9" t="s">
        <v>4913</v>
      </c>
      <c r="H1800" s="9" t="s">
        <v>4914</v>
      </c>
      <c r="I1800" s="10">
        <v>45596</v>
      </c>
    </row>
    <row r="1801" spans="1:9" x14ac:dyDescent="0.15">
      <c r="A1801" s="9">
        <v>1800</v>
      </c>
      <c r="B1801" s="9" t="s">
        <v>9</v>
      </c>
      <c r="C1801" s="9">
        <v>1920</v>
      </c>
      <c r="D1801" s="10">
        <v>45677</v>
      </c>
      <c r="E1801" s="13" t="str">
        <f>+HYPERLINK("http://trademark.i-assist.jp/data/china/image_1920th/81709755.pdf","81709755")</f>
        <v>81709755</v>
      </c>
      <c r="F1801" s="12" t="s">
        <v>4915</v>
      </c>
      <c r="G1801" s="9" t="s">
        <v>4916</v>
      </c>
      <c r="H1801" s="9" t="s">
        <v>4917</v>
      </c>
      <c r="I1801" s="10">
        <v>45596</v>
      </c>
    </row>
    <row r="1802" spans="1:9" x14ac:dyDescent="0.15">
      <c r="A1802" s="9">
        <v>1801</v>
      </c>
      <c r="B1802" s="9" t="s">
        <v>9</v>
      </c>
      <c r="C1802" s="9">
        <v>1920</v>
      </c>
      <c r="D1802" s="10">
        <v>45677</v>
      </c>
      <c r="E1802" s="13" t="str">
        <f>+HYPERLINK("http://trademark.i-assist.jp/data/china/image_1920th/81709819.pdf","81709819")</f>
        <v>81709819</v>
      </c>
      <c r="F1802" s="9" t="s">
        <v>4918</v>
      </c>
      <c r="G1802" s="12" t="s">
        <v>4844</v>
      </c>
      <c r="H1802" s="9" t="s">
        <v>4919</v>
      </c>
      <c r="I1802" s="10">
        <v>45596</v>
      </c>
    </row>
    <row r="1803" spans="1:9" x14ac:dyDescent="0.15">
      <c r="A1803" s="9">
        <v>1802</v>
      </c>
      <c r="B1803" s="9" t="s">
        <v>9</v>
      </c>
      <c r="C1803" s="9">
        <v>1920</v>
      </c>
      <c r="D1803" s="10">
        <v>45677</v>
      </c>
      <c r="E1803" s="13" t="str">
        <f>+HYPERLINK("http://trademark.i-assist.jp/data/china/image_1920th/81710083.pdf","81710083")</f>
        <v>81710083</v>
      </c>
      <c r="F1803" s="9" t="s">
        <v>4920</v>
      </c>
      <c r="G1803" s="9" t="s">
        <v>4921</v>
      </c>
      <c r="H1803" s="9" t="s">
        <v>4922</v>
      </c>
      <c r="I1803" s="10">
        <v>45596</v>
      </c>
    </row>
    <row r="1804" spans="1:9" x14ac:dyDescent="0.15">
      <c r="A1804" s="9">
        <v>1803</v>
      </c>
      <c r="B1804" s="9" t="s">
        <v>9</v>
      </c>
      <c r="C1804" s="9">
        <v>1920</v>
      </c>
      <c r="D1804" s="10">
        <v>45677</v>
      </c>
      <c r="E1804" s="13" t="str">
        <f>+HYPERLINK("http://trademark.i-assist.jp/data/china/image_1920th/81710333.pdf","81710333")</f>
        <v>81710333</v>
      </c>
      <c r="F1804" s="12" t="s">
        <v>12</v>
      </c>
      <c r="G1804" s="9" t="s">
        <v>4923</v>
      </c>
      <c r="H1804" s="9" t="s">
        <v>4924</v>
      </c>
      <c r="I1804" s="10">
        <v>45596</v>
      </c>
    </row>
    <row r="1805" spans="1:9" x14ac:dyDescent="0.15">
      <c r="A1805" s="9">
        <v>1804</v>
      </c>
      <c r="B1805" s="9" t="s">
        <v>9</v>
      </c>
      <c r="C1805" s="9">
        <v>1920</v>
      </c>
      <c r="D1805" s="10">
        <v>45677</v>
      </c>
      <c r="E1805" s="13" t="str">
        <f>+HYPERLINK("http://trademark.i-assist.jp/data/china/image_1920th/81710488.pdf","81710488")</f>
        <v>81710488</v>
      </c>
      <c r="F1805" s="9" t="s">
        <v>4925</v>
      </c>
      <c r="G1805" s="9" t="s">
        <v>4926</v>
      </c>
      <c r="H1805" s="9" t="s">
        <v>4927</v>
      </c>
      <c r="I1805" s="10">
        <v>45596</v>
      </c>
    </row>
    <row r="1806" spans="1:9" x14ac:dyDescent="0.15">
      <c r="A1806" s="9">
        <v>1805</v>
      </c>
      <c r="B1806" s="9" t="s">
        <v>9</v>
      </c>
      <c r="C1806" s="9">
        <v>1920</v>
      </c>
      <c r="D1806" s="10">
        <v>45677</v>
      </c>
      <c r="E1806" s="13" t="str">
        <f>+HYPERLINK("http://trademark.i-assist.jp/data/china/image_1920th/81710786.pdf","81710786")</f>
        <v>81710786</v>
      </c>
      <c r="F1806" s="9" t="s">
        <v>4928</v>
      </c>
      <c r="G1806" s="9" t="s">
        <v>4929</v>
      </c>
      <c r="H1806" s="9" t="s">
        <v>4930</v>
      </c>
      <c r="I1806" s="10">
        <v>45596</v>
      </c>
    </row>
    <row r="1807" spans="1:9" x14ac:dyDescent="0.15">
      <c r="A1807" s="9">
        <v>1806</v>
      </c>
      <c r="B1807" s="9" t="s">
        <v>9</v>
      </c>
      <c r="C1807" s="9">
        <v>1920</v>
      </c>
      <c r="D1807" s="10">
        <v>45677</v>
      </c>
      <c r="E1807" s="13" t="str">
        <f>+HYPERLINK("http://trademark.i-assist.jp/data/china/image_1920th/81711282.pdf","81711282")</f>
        <v>81711282</v>
      </c>
      <c r="F1807" s="9" t="s">
        <v>4931</v>
      </c>
      <c r="G1807" s="9" t="s">
        <v>4932</v>
      </c>
      <c r="H1807" s="9" t="s">
        <v>4933</v>
      </c>
      <c r="I1807" s="10">
        <v>45596</v>
      </c>
    </row>
    <row r="1808" spans="1:9" x14ac:dyDescent="0.15">
      <c r="A1808" s="9">
        <v>1807</v>
      </c>
      <c r="B1808" s="9" t="s">
        <v>9</v>
      </c>
      <c r="C1808" s="9">
        <v>1920</v>
      </c>
      <c r="D1808" s="10">
        <v>45677</v>
      </c>
      <c r="E1808" s="13" t="str">
        <f>+HYPERLINK("http://trademark.i-assist.jp/data/china/image_1920th/81711308.pdf","81711308")</f>
        <v>81711308</v>
      </c>
      <c r="F1808" s="9" t="s">
        <v>4934</v>
      </c>
      <c r="G1808" s="9" t="s">
        <v>4850</v>
      </c>
      <c r="H1808" s="9" t="s">
        <v>4935</v>
      </c>
      <c r="I1808" s="10">
        <v>45596</v>
      </c>
    </row>
    <row r="1809" spans="1:9" x14ac:dyDescent="0.15">
      <c r="A1809" s="9">
        <v>1808</v>
      </c>
      <c r="B1809" s="9" t="s">
        <v>9</v>
      </c>
      <c r="C1809" s="9">
        <v>1920</v>
      </c>
      <c r="D1809" s="10">
        <v>45677</v>
      </c>
      <c r="E1809" s="13" t="str">
        <f>+HYPERLINK("http://trademark.i-assist.jp/data/china/image_1920th/81713585.pdf","81713585")</f>
        <v>81713585</v>
      </c>
      <c r="F1809" s="9" t="s">
        <v>4936</v>
      </c>
      <c r="G1809" s="9" t="s">
        <v>4937</v>
      </c>
      <c r="H1809" s="9" t="s">
        <v>4938</v>
      </c>
      <c r="I1809" s="10">
        <v>45597</v>
      </c>
    </row>
    <row r="1810" spans="1:9" x14ac:dyDescent="0.15">
      <c r="A1810" s="9">
        <v>1809</v>
      </c>
      <c r="B1810" s="9" t="s">
        <v>9</v>
      </c>
      <c r="C1810" s="9">
        <v>1920</v>
      </c>
      <c r="D1810" s="10">
        <v>45677</v>
      </c>
      <c r="E1810" s="13" t="str">
        <f>+HYPERLINK("http://trademark.i-assist.jp/data/china/image_1920th/81713960.pdf","81713960")</f>
        <v>81713960</v>
      </c>
      <c r="F1810" s="9" t="s">
        <v>4939</v>
      </c>
      <c r="G1810" s="9" t="s">
        <v>4940</v>
      </c>
      <c r="H1810" s="9" t="s">
        <v>4941</v>
      </c>
      <c r="I1810" s="10">
        <v>45597</v>
      </c>
    </row>
    <row r="1811" spans="1:9" x14ac:dyDescent="0.15">
      <c r="A1811" s="9">
        <v>1810</v>
      </c>
      <c r="B1811" s="9" t="s">
        <v>9</v>
      </c>
      <c r="C1811" s="9">
        <v>1920</v>
      </c>
      <c r="D1811" s="10">
        <v>45677</v>
      </c>
      <c r="E1811" s="13" t="str">
        <f>+HYPERLINK("http://trademark.i-assist.jp/data/china/image_1920th/81714304.pdf","81714304")</f>
        <v>81714304</v>
      </c>
      <c r="F1811" s="9" t="s">
        <v>4942</v>
      </c>
      <c r="G1811" s="9" t="s">
        <v>4943</v>
      </c>
      <c r="H1811" s="9" t="s">
        <v>4944</v>
      </c>
      <c r="I1811" s="10">
        <v>45597</v>
      </c>
    </row>
    <row r="1812" spans="1:9" x14ac:dyDescent="0.15">
      <c r="A1812" s="9">
        <v>1811</v>
      </c>
      <c r="B1812" s="9" t="s">
        <v>9</v>
      </c>
      <c r="C1812" s="9">
        <v>1920</v>
      </c>
      <c r="D1812" s="10">
        <v>45677</v>
      </c>
      <c r="E1812" s="13" t="str">
        <f>+HYPERLINK("http://trademark.i-assist.jp/data/china/image_1920th/81714493.pdf","81714493")</f>
        <v>81714493</v>
      </c>
      <c r="F1812" s="9" t="s">
        <v>4945</v>
      </c>
      <c r="G1812" s="9" t="s">
        <v>4946</v>
      </c>
      <c r="H1812" s="9" t="s">
        <v>4947</v>
      </c>
      <c r="I1812" s="10">
        <v>45597</v>
      </c>
    </row>
    <row r="1813" spans="1:9" x14ac:dyDescent="0.15">
      <c r="A1813" s="9">
        <v>1812</v>
      </c>
      <c r="B1813" s="9" t="s">
        <v>9</v>
      </c>
      <c r="C1813" s="9">
        <v>1920</v>
      </c>
      <c r="D1813" s="10">
        <v>45677</v>
      </c>
      <c r="E1813" s="13" t="str">
        <f>+HYPERLINK("http://trademark.i-assist.jp/data/china/image_1920th/81714664.pdf","81714664")</f>
        <v>81714664</v>
      </c>
      <c r="F1813" s="9" t="s">
        <v>4948</v>
      </c>
      <c r="G1813" s="9" t="s">
        <v>3154</v>
      </c>
      <c r="H1813" s="9" t="s">
        <v>4949</v>
      </c>
      <c r="I1813" s="10">
        <v>45597</v>
      </c>
    </row>
    <row r="1814" spans="1:9" x14ac:dyDescent="0.15">
      <c r="A1814" s="9">
        <v>1813</v>
      </c>
      <c r="B1814" s="9" t="s">
        <v>9</v>
      </c>
      <c r="C1814" s="9">
        <v>1920</v>
      </c>
      <c r="D1814" s="10">
        <v>45677</v>
      </c>
      <c r="E1814" s="13" t="str">
        <f>+HYPERLINK("http://trademark.i-assist.jp/data/china/image_1920th/81714726.pdf","81714726")</f>
        <v>81714726</v>
      </c>
      <c r="F1814" s="9" t="s">
        <v>4950</v>
      </c>
      <c r="G1814" s="9" t="s">
        <v>4951</v>
      </c>
      <c r="H1814" s="9" t="s">
        <v>4952</v>
      </c>
      <c r="I1814" s="10">
        <v>45597</v>
      </c>
    </row>
    <row r="1815" spans="1:9" x14ac:dyDescent="0.15">
      <c r="A1815" s="9">
        <v>1814</v>
      </c>
      <c r="B1815" s="9" t="s">
        <v>9</v>
      </c>
      <c r="C1815" s="9">
        <v>1920</v>
      </c>
      <c r="D1815" s="10">
        <v>45677</v>
      </c>
      <c r="E1815" s="13" t="str">
        <f>+HYPERLINK("http://trademark.i-assist.jp/data/china/image_1920th/81714934.pdf","81714934")</f>
        <v>81714934</v>
      </c>
      <c r="F1815" s="9" t="s">
        <v>4953</v>
      </c>
      <c r="G1815" s="9" t="s">
        <v>4954</v>
      </c>
      <c r="H1815" s="9" t="s">
        <v>4955</v>
      </c>
      <c r="I1815" s="10">
        <v>45597</v>
      </c>
    </row>
    <row r="1816" spans="1:9" x14ac:dyDescent="0.15">
      <c r="A1816" s="9">
        <v>1815</v>
      </c>
      <c r="B1816" s="9" t="s">
        <v>9</v>
      </c>
      <c r="C1816" s="9">
        <v>1920</v>
      </c>
      <c r="D1816" s="10">
        <v>45677</v>
      </c>
      <c r="E1816" s="13" t="str">
        <f>+HYPERLINK("http://trademark.i-assist.jp/data/china/image_1920th/81716299.pdf","81716299")</f>
        <v>81716299</v>
      </c>
      <c r="F1816" s="9" t="s">
        <v>4956</v>
      </c>
      <c r="G1816" s="9" t="s">
        <v>4957</v>
      </c>
      <c r="H1816" s="9" t="s">
        <v>4958</v>
      </c>
      <c r="I1816" s="10">
        <v>45597</v>
      </c>
    </row>
    <row r="1817" spans="1:9" x14ac:dyDescent="0.15">
      <c r="A1817" s="9">
        <v>1816</v>
      </c>
      <c r="B1817" s="9" t="s">
        <v>9</v>
      </c>
      <c r="C1817" s="9">
        <v>1920</v>
      </c>
      <c r="D1817" s="10">
        <v>45677</v>
      </c>
      <c r="E1817" s="13" t="str">
        <f>+HYPERLINK("http://trademark.i-assist.jp/data/china/image_1920th/81716315.pdf","81716315")</f>
        <v>81716315</v>
      </c>
      <c r="F1817" s="12" t="s">
        <v>4959</v>
      </c>
      <c r="G1817" s="9" t="s">
        <v>4960</v>
      </c>
      <c r="H1817" s="9" t="s">
        <v>4961</v>
      </c>
      <c r="I1817" s="10">
        <v>45597</v>
      </c>
    </row>
    <row r="1818" spans="1:9" x14ac:dyDescent="0.15">
      <c r="A1818" s="9">
        <v>1817</v>
      </c>
      <c r="B1818" s="9" t="s">
        <v>9</v>
      </c>
      <c r="C1818" s="9">
        <v>1920</v>
      </c>
      <c r="D1818" s="10">
        <v>45677</v>
      </c>
      <c r="E1818" s="13" t="str">
        <f>+HYPERLINK("http://trademark.i-assist.jp/data/china/image_1920th/81717546.pdf","81717546")</f>
        <v>81717546</v>
      </c>
      <c r="F1818" s="9" t="s">
        <v>4962</v>
      </c>
      <c r="G1818" s="12" t="s">
        <v>4963</v>
      </c>
      <c r="H1818" s="9" t="s">
        <v>4964</v>
      </c>
      <c r="I1818" s="10">
        <v>45597</v>
      </c>
    </row>
    <row r="1819" spans="1:9" x14ac:dyDescent="0.15">
      <c r="A1819" s="9">
        <v>1818</v>
      </c>
      <c r="B1819" s="9" t="s">
        <v>9</v>
      </c>
      <c r="C1819" s="9">
        <v>1920</v>
      </c>
      <c r="D1819" s="10">
        <v>45677</v>
      </c>
      <c r="E1819" s="13" t="str">
        <f>+HYPERLINK("http://trademark.i-assist.jp/data/china/image_1920th/81717601.pdf","81717601")</f>
        <v>81717601</v>
      </c>
      <c r="F1819" s="9" t="s">
        <v>4965</v>
      </c>
      <c r="G1819" s="12" t="s">
        <v>4966</v>
      </c>
      <c r="H1819" s="9" t="s">
        <v>4967</v>
      </c>
      <c r="I1819" s="10">
        <v>45597</v>
      </c>
    </row>
    <row r="1820" spans="1:9" x14ac:dyDescent="0.15">
      <c r="A1820" s="9">
        <v>1819</v>
      </c>
      <c r="B1820" s="9" t="s">
        <v>9</v>
      </c>
      <c r="C1820" s="9">
        <v>1920</v>
      </c>
      <c r="D1820" s="10">
        <v>45677</v>
      </c>
      <c r="E1820" s="13" t="str">
        <f>+HYPERLINK("http://trademark.i-assist.jp/data/china/image_1920th/81717696.pdf","81717696")</f>
        <v>81717696</v>
      </c>
      <c r="F1820" s="9" t="s">
        <v>4968</v>
      </c>
      <c r="G1820" s="9" t="s">
        <v>4969</v>
      </c>
      <c r="H1820" s="9" t="s">
        <v>4970</v>
      </c>
      <c r="I1820" s="10">
        <v>45597</v>
      </c>
    </row>
    <row r="1821" spans="1:9" x14ac:dyDescent="0.15">
      <c r="A1821" s="9">
        <v>1820</v>
      </c>
      <c r="B1821" s="9" t="s">
        <v>9</v>
      </c>
      <c r="C1821" s="9">
        <v>1920</v>
      </c>
      <c r="D1821" s="10">
        <v>45677</v>
      </c>
      <c r="E1821" s="13" t="str">
        <f>+HYPERLINK("http://trademark.i-assist.jp/data/china/image_1920th/81718041.pdf","81718041")</f>
        <v>81718041</v>
      </c>
      <c r="F1821" s="9" t="s">
        <v>4971</v>
      </c>
      <c r="G1821" s="12" t="s">
        <v>4972</v>
      </c>
      <c r="H1821" s="9" t="s">
        <v>4973</v>
      </c>
      <c r="I1821" s="10">
        <v>45597</v>
      </c>
    </row>
    <row r="1822" spans="1:9" x14ac:dyDescent="0.15">
      <c r="A1822" s="9">
        <v>1821</v>
      </c>
      <c r="B1822" s="9" t="s">
        <v>9</v>
      </c>
      <c r="C1822" s="9">
        <v>1920</v>
      </c>
      <c r="D1822" s="10">
        <v>45677</v>
      </c>
      <c r="E1822" s="13" t="str">
        <f>+HYPERLINK("http://trademark.i-assist.jp/data/china/image_1920th/81718278.pdf","81718278")</f>
        <v>81718278</v>
      </c>
      <c r="F1822" s="9" t="s">
        <v>4974</v>
      </c>
      <c r="G1822" s="12" t="s">
        <v>4975</v>
      </c>
      <c r="H1822" s="12" t="s">
        <v>4976</v>
      </c>
      <c r="I1822" s="10">
        <v>45597</v>
      </c>
    </row>
    <row r="1823" spans="1:9" x14ac:dyDescent="0.15">
      <c r="A1823" s="9">
        <v>1822</v>
      </c>
      <c r="B1823" s="9" t="s">
        <v>9</v>
      </c>
      <c r="C1823" s="9">
        <v>1920</v>
      </c>
      <c r="D1823" s="10">
        <v>45677</v>
      </c>
      <c r="E1823" s="13" t="str">
        <f>+HYPERLINK("http://trademark.i-assist.jp/data/china/image_1920th/81718782.pdf","81718782")</f>
        <v>81718782</v>
      </c>
      <c r="F1823" s="9" t="s">
        <v>4977</v>
      </c>
      <c r="G1823" s="9" t="s">
        <v>4978</v>
      </c>
      <c r="H1823" s="9" t="s">
        <v>4979</v>
      </c>
      <c r="I1823" s="10">
        <v>45597</v>
      </c>
    </row>
    <row r="1824" spans="1:9" x14ac:dyDescent="0.15">
      <c r="A1824" s="9">
        <v>1823</v>
      </c>
      <c r="B1824" s="9" t="s">
        <v>9</v>
      </c>
      <c r="C1824" s="9">
        <v>1920</v>
      </c>
      <c r="D1824" s="10">
        <v>45677</v>
      </c>
      <c r="E1824" s="13" t="str">
        <f>+HYPERLINK("http://trademark.i-assist.jp/data/china/image_1920th/81719747.pdf","81719747")</f>
        <v>81719747</v>
      </c>
      <c r="F1824" s="9" t="s">
        <v>4980</v>
      </c>
      <c r="G1824" s="9" t="s">
        <v>4981</v>
      </c>
      <c r="H1824" s="9" t="s">
        <v>4982</v>
      </c>
      <c r="I1824" s="10">
        <v>45597</v>
      </c>
    </row>
    <row r="1825" spans="1:9" x14ac:dyDescent="0.15">
      <c r="A1825" s="9">
        <v>1824</v>
      </c>
      <c r="B1825" s="9" t="s">
        <v>9</v>
      </c>
      <c r="C1825" s="9">
        <v>1920</v>
      </c>
      <c r="D1825" s="10">
        <v>45677</v>
      </c>
      <c r="E1825" s="13" t="str">
        <f>+HYPERLINK("http://trademark.i-assist.jp/data/china/image_1920th/81720090.pdf","81720090")</f>
        <v>81720090</v>
      </c>
      <c r="F1825" s="12" t="s">
        <v>4983</v>
      </c>
      <c r="G1825" s="9" t="s">
        <v>4984</v>
      </c>
      <c r="H1825" s="9" t="s">
        <v>4985</v>
      </c>
      <c r="I1825" s="10">
        <v>45597</v>
      </c>
    </row>
    <row r="1826" spans="1:9" x14ac:dyDescent="0.15">
      <c r="A1826" s="9">
        <v>1825</v>
      </c>
      <c r="B1826" s="9" t="s">
        <v>9</v>
      </c>
      <c r="C1826" s="9">
        <v>1920</v>
      </c>
      <c r="D1826" s="10">
        <v>45677</v>
      </c>
      <c r="E1826" s="13" t="str">
        <f>+HYPERLINK("http://trademark.i-assist.jp/data/china/image_1920th/81720238.pdf","81720238")</f>
        <v>81720238</v>
      </c>
      <c r="F1826" s="9" t="s">
        <v>4986</v>
      </c>
      <c r="G1826" s="9" t="s">
        <v>4987</v>
      </c>
      <c r="H1826" s="9" t="s">
        <v>4988</v>
      </c>
      <c r="I1826" s="10">
        <v>45597</v>
      </c>
    </row>
    <row r="1827" spans="1:9" x14ac:dyDescent="0.15">
      <c r="A1827" s="9">
        <v>1826</v>
      </c>
      <c r="B1827" s="9" t="s">
        <v>9</v>
      </c>
      <c r="C1827" s="9">
        <v>1920</v>
      </c>
      <c r="D1827" s="10">
        <v>45677</v>
      </c>
      <c r="E1827" s="13" t="str">
        <f>+HYPERLINK("http://trademark.i-assist.jp/data/china/image_1920th/81721554.pdf","81721554")</f>
        <v>81721554</v>
      </c>
      <c r="F1827" s="9" t="s">
        <v>4989</v>
      </c>
      <c r="G1827" s="9" t="s">
        <v>4990</v>
      </c>
      <c r="H1827" s="12" t="s">
        <v>4991</v>
      </c>
      <c r="I1827" s="10">
        <v>45597</v>
      </c>
    </row>
    <row r="1828" spans="1:9" x14ac:dyDescent="0.15">
      <c r="A1828" s="9">
        <v>1827</v>
      </c>
      <c r="B1828" s="9" t="s">
        <v>9</v>
      </c>
      <c r="C1828" s="9">
        <v>1920</v>
      </c>
      <c r="D1828" s="10">
        <v>45677</v>
      </c>
      <c r="E1828" s="13" t="str">
        <f>+HYPERLINK("http://trademark.i-assist.jp/data/china/image_1920th/81721576.pdf","81721576")</f>
        <v>81721576</v>
      </c>
      <c r="F1828" s="9" t="s">
        <v>4992</v>
      </c>
      <c r="G1828" s="9" t="s">
        <v>4993</v>
      </c>
      <c r="H1828" s="9" t="s">
        <v>4994</v>
      </c>
      <c r="I1828" s="10">
        <v>45597</v>
      </c>
    </row>
    <row r="1829" spans="1:9" x14ac:dyDescent="0.15">
      <c r="A1829" s="9">
        <v>1828</v>
      </c>
      <c r="B1829" s="9" t="s">
        <v>9</v>
      </c>
      <c r="C1829" s="9">
        <v>1920</v>
      </c>
      <c r="D1829" s="10">
        <v>45677</v>
      </c>
      <c r="E1829" s="13" t="str">
        <f>+HYPERLINK("http://trademark.i-assist.jp/data/china/image_1920th/81722483.pdf","81722483")</f>
        <v>81722483</v>
      </c>
      <c r="F1829" s="9" t="s">
        <v>4995</v>
      </c>
      <c r="G1829" s="9" t="s">
        <v>4996</v>
      </c>
      <c r="H1829" s="9" t="s">
        <v>4997</v>
      </c>
      <c r="I1829" s="10">
        <v>45597</v>
      </c>
    </row>
    <row r="1830" spans="1:9" x14ac:dyDescent="0.15">
      <c r="A1830" s="9">
        <v>1829</v>
      </c>
      <c r="B1830" s="9" t="s">
        <v>9</v>
      </c>
      <c r="C1830" s="9">
        <v>1920</v>
      </c>
      <c r="D1830" s="10">
        <v>45677</v>
      </c>
      <c r="E1830" s="13" t="str">
        <f>+HYPERLINK("http://trademark.i-assist.jp/data/china/image_1920th/81724115.pdf","81724115")</f>
        <v>81724115</v>
      </c>
      <c r="F1830" s="9" t="s">
        <v>4998</v>
      </c>
      <c r="G1830" s="9" t="s">
        <v>4415</v>
      </c>
      <c r="H1830" s="12" t="s">
        <v>4999</v>
      </c>
      <c r="I1830" s="10">
        <v>45597</v>
      </c>
    </row>
    <row r="1831" spans="1:9" x14ac:dyDescent="0.15">
      <c r="A1831" s="9">
        <v>1830</v>
      </c>
      <c r="B1831" s="9" t="s">
        <v>9</v>
      </c>
      <c r="C1831" s="9">
        <v>1920</v>
      </c>
      <c r="D1831" s="10">
        <v>45677</v>
      </c>
      <c r="E1831" s="13" t="str">
        <f>+HYPERLINK("http://trademark.i-assist.jp/data/china/image_1920th/81724350.pdf","81724350")</f>
        <v>81724350</v>
      </c>
      <c r="F1831" s="12" t="s">
        <v>5000</v>
      </c>
      <c r="G1831" s="12" t="s">
        <v>5001</v>
      </c>
      <c r="H1831" s="9" t="s">
        <v>5002</v>
      </c>
      <c r="I1831" s="10">
        <v>45597</v>
      </c>
    </row>
    <row r="1832" spans="1:9" x14ac:dyDescent="0.15">
      <c r="A1832" s="9">
        <v>1831</v>
      </c>
      <c r="B1832" s="9" t="s">
        <v>9</v>
      </c>
      <c r="C1832" s="9">
        <v>1920</v>
      </c>
      <c r="D1832" s="10">
        <v>45677</v>
      </c>
      <c r="E1832" s="13" t="str">
        <f>+HYPERLINK("http://trademark.i-assist.jp/data/china/image_1920th/81724964.pdf","81724964")</f>
        <v>81724964</v>
      </c>
      <c r="F1832" s="9" t="s">
        <v>5003</v>
      </c>
      <c r="G1832" s="9" t="s">
        <v>5004</v>
      </c>
      <c r="H1832" s="9" t="s">
        <v>5005</v>
      </c>
      <c r="I1832" s="10">
        <v>45597</v>
      </c>
    </row>
    <row r="1833" spans="1:9" x14ac:dyDescent="0.15">
      <c r="A1833" s="9">
        <v>1832</v>
      </c>
      <c r="B1833" s="9" t="s">
        <v>9</v>
      </c>
      <c r="C1833" s="9">
        <v>1920</v>
      </c>
      <c r="D1833" s="10">
        <v>45677</v>
      </c>
      <c r="E1833" s="13" t="str">
        <f>+HYPERLINK("http://trademark.i-assist.jp/data/china/image_1920th/81728209.pdf","81728209")</f>
        <v>81728209</v>
      </c>
      <c r="F1833" s="9" t="s">
        <v>5006</v>
      </c>
      <c r="G1833" s="9" t="s">
        <v>5007</v>
      </c>
      <c r="H1833" s="9" t="s">
        <v>5008</v>
      </c>
      <c r="I1833" s="10">
        <v>45597</v>
      </c>
    </row>
    <row r="1834" spans="1:9" x14ac:dyDescent="0.15">
      <c r="A1834" s="9">
        <v>1833</v>
      </c>
      <c r="B1834" s="9" t="s">
        <v>9</v>
      </c>
      <c r="C1834" s="9">
        <v>1920</v>
      </c>
      <c r="D1834" s="10">
        <v>45677</v>
      </c>
      <c r="E1834" s="13" t="str">
        <f>+HYPERLINK("http://trademark.i-assist.jp/data/china/image_1920th/81728272.pdf","81728272")</f>
        <v>81728272</v>
      </c>
      <c r="F1834" s="9" t="s">
        <v>5009</v>
      </c>
      <c r="G1834" s="9" t="s">
        <v>4316</v>
      </c>
      <c r="H1834" s="9" t="s">
        <v>5010</v>
      </c>
      <c r="I1834" s="10">
        <v>45597</v>
      </c>
    </row>
    <row r="1835" spans="1:9" x14ac:dyDescent="0.15">
      <c r="A1835" s="9">
        <v>1834</v>
      </c>
      <c r="B1835" s="9" t="s">
        <v>9</v>
      </c>
      <c r="C1835" s="9">
        <v>1920</v>
      </c>
      <c r="D1835" s="10">
        <v>45677</v>
      </c>
      <c r="E1835" s="13" t="str">
        <f>+HYPERLINK("http://trademark.i-assist.jp/data/china/image_1920th/81728388.pdf","81728388")</f>
        <v>81728388</v>
      </c>
      <c r="F1835" s="9" t="s">
        <v>5011</v>
      </c>
      <c r="G1835" s="9" t="s">
        <v>5012</v>
      </c>
      <c r="H1835" s="9" t="s">
        <v>5013</v>
      </c>
      <c r="I1835" s="10">
        <v>45597</v>
      </c>
    </row>
    <row r="1836" spans="1:9" x14ac:dyDescent="0.15">
      <c r="A1836" s="9">
        <v>1835</v>
      </c>
      <c r="B1836" s="9" t="s">
        <v>9</v>
      </c>
      <c r="C1836" s="9">
        <v>1920</v>
      </c>
      <c r="D1836" s="10">
        <v>45677</v>
      </c>
      <c r="E1836" s="13" t="str">
        <f>+HYPERLINK("http://trademark.i-assist.jp/data/china/image_1920th/81729077.pdf","81729077")</f>
        <v>81729077</v>
      </c>
      <c r="F1836" s="9" t="s">
        <v>5014</v>
      </c>
      <c r="G1836" s="9" t="s">
        <v>2421</v>
      </c>
      <c r="H1836" s="9" t="s">
        <v>5015</v>
      </c>
      <c r="I1836" s="10">
        <v>45597</v>
      </c>
    </row>
    <row r="1837" spans="1:9" x14ac:dyDescent="0.15">
      <c r="A1837" s="9">
        <v>1836</v>
      </c>
      <c r="B1837" s="9" t="s">
        <v>9</v>
      </c>
      <c r="C1837" s="9">
        <v>1920</v>
      </c>
      <c r="D1837" s="10">
        <v>45677</v>
      </c>
      <c r="E1837" s="13" t="str">
        <f>+HYPERLINK("http://trademark.i-assist.jp/data/china/image_1920th/81729101.pdf","81729101")</f>
        <v>81729101</v>
      </c>
      <c r="F1837" s="9" t="s">
        <v>5016</v>
      </c>
      <c r="G1837" s="9" t="s">
        <v>5017</v>
      </c>
      <c r="H1837" s="9" t="s">
        <v>5018</v>
      </c>
      <c r="I1837" s="10">
        <v>45597</v>
      </c>
    </row>
    <row r="1838" spans="1:9" x14ac:dyDescent="0.15">
      <c r="A1838" s="9">
        <v>1837</v>
      </c>
      <c r="B1838" s="9" t="s">
        <v>9</v>
      </c>
      <c r="C1838" s="9">
        <v>1920</v>
      </c>
      <c r="D1838" s="10">
        <v>45677</v>
      </c>
      <c r="E1838" s="13" t="str">
        <f>+HYPERLINK("http://trademark.i-assist.jp/data/china/image_1920th/81729312.pdf","81729312")</f>
        <v>81729312</v>
      </c>
      <c r="F1838" s="9" t="s">
        <v>5019</v>
      </c>
      <c r="G1838" s="12" t="s">
        <v>4966</v>
      </c>
      <c r="H1838" s="12" t="s">
        <v>5020</v>
      </c>
      <c r="I1838" s="10">
        <v>45597</v>
      </c>
    </row>
    <row r="1839" spans="1:9" x14ac:dyDescent="0.15">
      <c r="A1839" s="9">
        <v>1838</v>
      </c>
      <c r="B1839" s="9" t="s">
        <v>9</v>
      </c>
      <c r="C1839" s="9">
        <v>1920</v>
      </c>
      <c r="D1839" s="10">
        <v>45677</v>
      </c>
      <c r="E1839" s="13" t="str">
        <f>+HYPERLINK("http://trademark.i-assist.jp/data/china/image_1920th/81730146.pdf","81730146")</f>
        <v>81730146</v>
      </c>
      <c r="F1839" s="9" t="s">
        <v>5021</v>
      </c>
      <c r="G1839" s="9" t="s">
        <v>5022</v>
      </c>
      <c r="H1839" s="9" t="s">
        <v>5023</v>
      </c>
      <c r="I1839" s="10">
        <v>45597</v>
      </c>
    </row>
    <row r="1840" spans="1:9" x14ac:dyDescent="0.15">
      <c r="A1840" s="9">
        <v>1839</v>
      </c>
      <c r="B1840" s="9" t="s">
        <v>9</v>
      </c>
      <c r="C1840" s="9">
        <v>1920</v>
      </c>
      <c r="D1840" s="10">
        <v>45677</v>
      </c>
      <c r="E1840" s="13" t="str">
        <f>+HYPERLINK("http://trademark.i-assist.jp/data/china/image_1920th/81730289.pdf","81730289")</f>
        <v>81730289</v>
      </c>
      <c r="F1840" s="12" t="s">
        <v>12</v>
      </c>
      <c r="G1840" s="9" t="s">
        <v>5024</v>
      </c>
      <c r="H1840" s="9" t="s">
        <v>5025</v>
      </c>
      <c r="I1840" s="10">
        <v>45597</v>
      </c>
    </row>
    <row r="1841" spans="1:9" x14ac:dyDescent="0.15">
      <c r="A1841" s="9">
        <v>1840</v>
      </c>
      <c r="B1841" s="9" t="s">
        <v>9</v>
      </c>
      <c r="C1841" s="9">
        <v>1920</v>
      </c>
      <c r="D1841" s="10">
        <v>45677</v>
      </c>
      <c r="E1841" s="13" t="str">
        <f>+HYPERLINK("http://trademark.i-assist.jp/data/china/image_1920th/81730839.pdf","81730839")</f>
        <v>81730839</v>
      </c>
      <c r="F1841" s="12" t="s">
        <v>5026</v>
      </c>
      <c r="G1841" s="9" t="s">
        <v>5027</v>
      </c>
      <c r="H1841" s="9" t="s">
        <v>5028</v>
      </c>
      <c r="I1841" s="10">
        <v>45597</v>
      </c>
    </row>
    <row r="1842" spans="1:9" x14ac:dyDescent="0.15">
      <c r="A1842" s="9">
        <v>1841</v>
      </c>
      <c r="B1842" s="9" t="s">
        <v>9</v>
      </c>
      <c r="C1842" s="9">
        <v>1920</v>
      </c>
      <c r="D1842" s="10">
        <v>45677</v>
      </c>
      <c r="E1842" s="13" t="str">
        <f>+HYPERLINK("http://trademark.i-assist.jp/data/china/image_1920th/81730932.pdf","81730932")</f>
        <v>81730932</v>
      </c>
      <c r="F1842" s="9" t="s">
        <v>5029</v>
      </c>
      <c r="G1842" s="9" t="s">
        <v>4957</v>
      </c>
      <c r="H1842" s="12" t="s">
        <v>5030</v>
      </c>
      <c r="I1842" s="10">
        <v>45597</v>
      </c>
    </row>
    <row r="1843" spans="1:9" x14ac:dyDescent="0.15">
      <c r="A1843" s="9">
        <v>1842</v>
      </c>
      <c r="B1843" s="9" t="s">
        <v>9</v>
      </c>
      <c r="C1843" s="9">
        <v>1920</v>
      </c>
      <c r="D1843" s="10">
        <v>45677</v>
      </c>
      <c r="E1843" s="13" t="str">
        <f>+HYPERLINK("http://trademark.i-assist.jp/data/china/image_1920th/81731085.pdf","81731085")</f>
        <v>81731085</v>
      </c>
      <c r="F1843" s="12" t="s">
        <v>5031</v>
      </c>
      <c r="G1843" s="9" t="s">
        <v>5032</v>
      </c>
      <c r="H1843" s="9" t="s">
        <v>5033</v>
      </c>
      <c r="I1843" s="10">
        <v>45597</v>
      </c>
    </row>
    <row r="1844" spans="1:9" x14ac:dyDescent="0.15">
      <c r="A1844" s="9">
        <v>1843</v>
      </c>
      <c r="B1844" s="9" t="s">
        <v>9</v>
      </c>
      <c r="C1844" s="9">
        <v>1920</v>
      </c>
      <c r="D1844" s="10">
        <v>45677</v>
      </c>
      <c r="E1844" s="13" t="str">
        <f>+HYPERLINK("http://trademark.i-assist.jp/data/china/image_1920th/81731149.pdf","81731149")</f>
        <v>81731149</v>
      </c>
      <c r="F1844" s="9" t="s">
        <v>5034</v>
      </c>
      <c r="G1844" s="9" t="s">
        <v>5035</v>
      </c>
      <c r="H1844" s="9" t="s">
        <v>5036</v>
      </c>
      <c r="I1844" s="10">
        <v>45597</v>
      </c>
    </row>
    <row r="1845" spans="1:9" x14ac:dyDescent="0.15">
      <c r="A1845" s="9">
        <v>1844</v>
      </c>
      <c r="B1845" s="9" t="s">
        <v>9</v>
      </c>
      <c r="C1845" s="9">
        <v>1920</v>
      </c>
      <c r="D1845" s="10">
        <v>45677</v>
      </c>
      <c r="E1845" s="13" t="str">
        <f>+HYPERLINK("http://trademark.i-assist.jp/data/china/image_1920th/81731346.pdf","81731346")</f>
        <v>81731346</v>
      </c>
      <c r="F1845" s="12" t="s">
        <v>5037</v>
      </c>
      <c r="G1845" s="9" t="s">
        <v>5038</v>
      </c>
      <c r="H1845" s="9" t="s">
        <v>5039</v>
      </c>
      <c r="I1845" s="10">
        <v>45597</v>
      </c>
    </row>
    <row r="1846" spans="1:9" x14ac:dyDescent="0.15">
      <c r="A1846" s="9">
        <v>1845</v>
      </c>
      <c r="B1846" s="9" t="s">
        <v>9</v>
      </c>
      <c r="C1846" s="9">
        <v>1920</v>
      </c>
      <c r="D1846" s="10">
        <v>45677</v>
      </c>
      <c r="E1846" s="13" t="str">
        <f>+HYPERLINK("http://trademark.i-assist.jp/data/china/image_1920th/81731518.pdf","81731518")</f>
        <v>81731518</v>
      </c>
      <c r="F1846" s="9" t="s">
        <v>5040</v>
      </c>
      <c r="G1846" s="9" t="s">
        <v>2825</v>
      </c>
      <c r="H1846" s="9" t="s">
        <v>5041</v>
      </c>
      <c r="I1846" s="10">
        <v>45597</v>
      </c>
    </row>
    <row r="1847" spans="1:9" x14ac:dyDescent="0.15">
      <c r="A1847" s="9">
        <v>1846</v>
      </c>
      <c r="B1847" s="9" t="s">
        <v>9</v>
      </c>
      <c r="C1847" s="9">
        <v>1920</v>
      </c>
      <c r="D1847" s="10">
        <v>45677</v>
      </c>
      <c r="E1847" s="13" t="str">
        <f>+HYPERLINK("http://trademark.i-assist.jp/data/china/image_1920th/81731819.pdf","81731819")</f>
        <v>81731819</v>
      </c>
      <c r="F1847" s="12" t="s">
        <v>5042</v>
      </c>
      <c r="G1847" s="9" t="s">
        <v>5043</v>
      </c>
      <c r="H1847" s="9" t="s">
        <v>5044</v>
      </c>
      <c r="I1847" s="10">
        <v>45597</v>
      </c>
    </row>
    <row r="1848" spans="1:9" x14ac:dyDescent="0.15">
      <c r="A1848" s="9">
        <v>1847</v>
      </c>
      <c r="B1848" s="9" t="s">
        <v>9</v>
      </c>
      <c r="C1848" s="9">
        <v>1920</v>
      </c>
      <c r="D1848" s="10">
        <v>45677</v>
      </c>
      <c r="E1848" s="13" t="str">
        <f>+HYPERLINK("http://trademark.i-assist.jp/data/china/image_1920th/81731870.pdf","81731870")</f>
        <v>81731870</v>
      </c>
      <c r="F1848" s="12" t="s">
        <v>12</v>
      </c>
      <c r="G1848" s="9" t="s">
        <v>5045</v>
      </c>
      <c r="H1848" s="12" t="s">
        <v>5046</v>
      </c>
      <c r="I1848" s="10">
        <v>45597</v>
      </c>
    </row>
    <row r="1849" spans="1:9" x14ac:dyDescent="0.15">
      <c r="A1849" s="9">
        <v>1848</v>
      </c>
      <c r="B1849" s="9" t="s">
        <v>9</v>
      </c>
      <c r="C1849" s="9">
        <v>1920</v>
      </c>
      <c r="D1849" s="10">
        <v>45677</v>
      </c>
      <c r="E1849" s="13" t="str">
        <f>+HYPERLINK("http://trademark.i-assist.jp/data/china/image_1920th/81731962.pdf","81731962")</f>
        <v>81731962</v>
      </c>
      <c r="F1849" s="9" t="s">
        <v>5047</v>
      </c>
      <c r="G1849" s="12" t="s">
        <v>5048</v>
      </c>
      <c r="H1849" s="9" t="s">
        <v>5049</v>
      </c>
      <c r="I1849" s="10">
        <v>45597</v>
      </c>
    </row>
    <row r="1850" spans="1:9" x14ac:dyDescent="0.15">
      <c r="A1850" s="9">
        <v>1849</v>
      </c>
      <c r="B1850" s="9" t="s">
        <v>9</v>
      </c>
      <c r="C1850" s="9">
        <v>1920</v>
      </c>
      <c r="D1850" s="10">
        <v>45677</v>
      </c>
      <c r="E1850" s="13" t="str">
        <f>+HYPERLINK("http://trademark.i-assist.jp/data/china/image_1920th/81732831.pdf","81732831")</f>
        <v>81732831</v>
      </c>
      <c r="F1850" s="9" t="s">
        <v>5050</v>
      </c>
      <c r="G1850" s="9" t="s">
        <v>5051</v>
      </c>
      <c r="H1850" s="9" t="s">
        <v>5052</v>
      </c>
      <c r="I1850" s="10">
        <v>45597</v>
      </c>
    </row>
    <row r="1851" spans="1:9" x14ac:dyDescent="0.15">
      <c r="A1851" s="9">
        <v>1850</v>
      </c>
      <c r="B1851" s="9" t="s">
        <v>9</v>
      </c>
      <c r="C1851" s="9">
        <v>1920</v>
      </c>
      <c r="D1851" s="10">
        <v>45677</v>
      </c>
      <c r="E1851" s="13" t="str">
        <f>+HYPERLINK("http://trademark.i-assist.jp/data/china/image_1920th/81733097.pdf","81733097")</f>
        <v>81733097</v>
      </c>
      <c r="F1851" s="9" t="s">
        <v>5053</v>
      </c>
      <c r="G1851" s="9" t="s">
        <v>5054</v>
      </c>
      <c r="H1851" s="9" t="s">
        <v>5055</v>
      </c>
      <c r="I1851" s="10">
        <v>45597</v>
      </c>
    </row>
    <row r="1852" spans="1:9" x14ac:dyDescent="0.15">
      <c r="A1852" s="9">
        <v>1851</v>
      </c>
      <c r="B1852" s="9" t="s">
        <v>9</v>
      </c>
      <c r="C1852" s="9">
        <v>1920</v>
      </c>
      <c r="D1852" s="10">
        <v>45677</v>
      </c>
      <c r="E1852" s="13" t="str">
        <f>+HYPERLINK("http://trademark.i-assist.jp/data/china/image_1920th/81733326.pdf","81733326")</f>
        <v>81733326</v>
      </c>
      <c r="F1852" s="9" t="s">
        <v>5056</v>
      </c>
      <c r="G1852" s="9" t="s">
        <v>5057</v>
      </c>
      <c r="H1852" s="9" t="s">
        <v>5058</v>
      </c>
      <c r="I1852" s="10">
        <v>45597</v>
      </c>
    </row>
    <row r="1853" spans="1:9" x14ac:dyDescent="0.15">
      <c r="A1853" s="9">
        <v>1852</v>
      </c>
      <c r="B1853" s="9" t="s">
        <v>9</v>
      </c>
      <c r="C1853" s="9">
        <v>1920</v>
      </c>
      <c r="D1853" s="10">
        <v>45677</v>
      </c>
      <c r="E1853" s="13" t="str">
        <f>+HYPERLINK("http://trademark.i-assist.jp/data/china/image_1920th/81733519.pdf","81733519")</f>
        <v>81733519</v>
      </c>
      <c r="F1853" s="9" t="s">
        <v>5059</v>
      </c>
      <c r="G1853" s="9" t="s">
        <v>5060</v>
      </c>
      <c r="H1853" s="9" t="s">
        <v>5061</v>
      </c>
      <c r="I1853" s="10">
        <v>45597</v>
      </c>
    </row>
    <row r="1854" spans="1:9" x14ac:dyDescent="0.15">
      <c r="A1854" s="9">
        <v>1853</v>
      </c>
      <c r="B1854" s="9" t="s">
        <v>9</v>
      </c>
      <c r="C1854" s="9">
        <v>1920</v>
      </c>
      <c r="D1854" s="10">
        <v>45677</v>
      </c>
      <c r="E1854" s="13" t="str">
        <f>+HYPERLINK("http://trademark.i-assist.jp/data/china/image_1920th/81734644.pdf","81734644")</f>
        <v>81734644</v>
      </c>
      <c r="F1854" s="12" t="s">
        <v>12</v>
      </c>
      <c r="G1854" s="9" t="s">
        <v>5062</v>
      </c>
      <c r="H1854" s="9" t="s">
        <v>5063</v>
      </c>
      <c r="I1854" s="10">
        <v>45597</v>
      </c>
    </row>
    <row r="1855" spans="1:9" x14ac:dyDescent="0.15">
      <c r="A1855" s="9">
        <v>1854</v>
      </c>
      <c r="B1855" s="9" t="s">
        <v>9</v>
      </c>
      <c r="C1855" s="9">
        <v>1920</v>
      </c>
      <c r="D1855" s="10">
        <v>45677</v>
      </c>
      <c r="E1855" s="13" t="str">
        <f>+HYPERLINK("http://trademark.i-assist.jp/data/china/image_1920th/81734697.pdf","81734697")</f>
        <v>81734697</v>
      </c>
      <c r="F1855" s="9" t="s">
        <v>5064</v>
      </c>
      <c r="G1855" s="12" t="s">
        <v>4963</v>
      </c>
      <c r="H1855" s="9" t="s">
        <v>5065</v>
      </c>
      <c r="I1855" s="10">
        <v>45597</v>
      </c>
    </row>
    <row r="1856" spans="1:9" x14ac:dyDescent="0.15">
      <c r="A1856" s="9">
        <v>1855</v>
      </c>
      <c r="B1856" s="9" t="s">
        <v>9</v>
      </c>
      <c r="C1856" s="9">
        <v>1920</v>
      </c>
      <c r="D1856" s="10">
        <v>45677</v>
      </c>
      <c r="E1856" s="13" t="str">
        <f>+HYPERLINK("http://trademark.i-assist.jp/data/china/image_1920th/81735013.pdf","81735013")</f>
        <v>81735013</v>
      </c>
      <c r="F1856" s="12" t="s">
        <v>5066</v>
      </c>
      <c r="G1856" s="9" t="s">
        <v>5067</v>
      </c>
      <c r="H1856" s="9" t="s">
        <v>5068</v>
      </c>
      <c r="I1856" s="10">
        <v>45597</v>
      </c>
    </row>
    <row r="1857" spans="1:9" x14ac:dyDescent="0.15">
      <c r="A1857" s="9">
        <v>1856</v>
      </c>
      <c r="B1857" s="9" t="s">
        <v>9</v>
      </c>
      <c r="C1857" s="9">
        <v>1920</v>
      </c>
      <c r="D1857" s="10">
        <v>45677</v>
      </c>
      <c r="E1857" s="13" t="str">
        <f>+HYPERLINK("http://trademark.i-assist.jp/data/china/image_1920th/81736518.pdf","81736518")</f>
        <v>81736518</v>
      </c>
      <c r="F1857" s="9" t="s">
        <v>5069</v>
      </c>
      <c r="G1857" s="9" t="s">
        <v>5070</v>
      </c>
      <c r="H1857" s="9" t="s">
        <v>5071</v>
      </c>
      <c r="I1857" s="10">
        <v>45598</v>
      </c>
    </row>
    <row r="1858" spans="1:9" x14ac:dyDescent="0.15">
      <c r="A1858" s="9">
        <v>1857</v>
      </c>
      <c r="B1858" s="9" t="s">
        <v>9</v>
      </c>
      <c r="C1858" s="9">
        <v>1920</v>
      </c>
      <c r="D1858" s="10">
        <v>45677</v>
      </c>
      <c r="E1858" s="13" t="str">
        <f>+HYPERLINK("http://trademark.i-assist.jp/data/china/image_1920th/81737536.pdf","81737536")</f>
        <v>81737536</v>
      </c>
      <c r="F1858" s="12" t="s">
        <v>5072</v>
      </c>
      <c r="G1858" s="12" t="s">
        <v>5073</v>
      </c>
      <c r="H1858" s="9" t="s">
        <v>5074</v>
      </c>
      <c r="I1858" s="10">
        <v>45598</v>
      </c>
    </row>
    <row r="1859" spans="1:9" x14ac:dyDescent="0.15">
      <c r="A1859" s="9">
        <v>1858</v>
      </c>
      <c r="B1859" s="9" t="s">
        <v>9</v>
      </c>
      <c r="C1859" s="9">
        <v>1920</v>
      </c>
      <c r="D1859" s="10">
        <v>45677</v>
      </c>
      <c r="E1859" s="13" t="str">
        <f>+HYPERLINK("http://trademark.i-assist.jp/data/china/image_1920th/81737735.pdf","81737735")</f>
        <v>81737735</v>
      </c>
      <c r="F1859" s="9" t="s">
        <v>5075</v>
      </c>
      <c r="G1859" s="9" t="s">
        <v>5076</v>
      </c>
      <c r="H1859" s="9" t="s">
        <v>5077</v>
      </c>
      <c r="I1859" s="10">
        <v>45598</v>
      </c>
    </row>
    <row r="1860" spans="1:9" x14ac:dyDescent="0.15">
      <c r="A1860" s="9">
        <v>1859</v>
      </c>
      <c r="B1860" s="9" t="s">
        <v>9</v>
      </c>
      <c r="C1860" s="9">
        <v>1920</v>
      </c>
      <c r="D1860" s="10">
        <v>45677</v>
      </c>
      <c r="E1860" s="13" t="str">
        <f>+HYPERLINK("http://trademark.i-assist.jp/data/china/image_1920th/81738452.pdf","81738452")</f>
        <v>81738452</v>
      </c>
      <c r="F1860" s="12" t="s">
        <v>5078</v>
      </c>
      <c r="G1860" s="12" t="s">
        <v>5079</v>
      </c>
      <c r="H1860" s="9" t="s">
        <v>5080</v>
      </c>
      <c r="I1860" s="10">
        <v>45598</v>
      </c>
    </row>
    <row r="1861" spans="1:9" x14ac:dyDescent="0.15">
      <c r="A1861" s="9">
        <v>1860</v>
      </c>
      <c r="B1861" s="9" t="s">
        <v>9</v>
      </c>
      <c r="C1861" s="9">
        <v>1920</v>
      </c>
      <c r="D1861" s="10">
        <v>45677</v>
      </c>
      <c r="E1861" s="13" t="str">
        <f>+HYPERLINK("http://trademark.i-assist.jp/data/china/image_1920th/81738750.pdf","81738750")</f>
        <v>81738750</v>
      </c>
      <c r="F1861" s="9" t="s">
        <v>5081</v>
      </c>
      <c r="G1861" s="9" t="s">
        <v>5082</v>
      </c>
      <c r="H1861" s="9" t="s">
        <v>5083</v>
      </c>
      <c r="I1861" s="10">
        <v>45598</v>
      </c>
    </row>
    <row r="1862" spans="1:9" x14ac:dyDescent="0.15">
      <c r="A1862" s="9">
        <v>1861</v>
      </c>
      <c r="B1862" s="9" t="s">
        <v>9</v>
      </c>
      <c r="C1862" s="9">
        <v>1920</v>
      </c>
      <c r="D1862" s="10">
        <v>45677</v>
      </c>
      <c r="E1862" s="13" t="str">
        <f>+HYPERLINK("http://trademark.i-assist.jp/data/china/image_1920th/81739136.pdf","81739136")</f>
        <v>81739136</v>
      </c>
      <c r="F1862" s="9" t="s">
        <v>5084</v>
      </c>
      <c r="G1862" s="12" t="s">
        <v>5085</v>
      </c>
      <c r="H1862" s="9" t="s">
        <v>5086</v>
      </c>
      <c r="I1862" s="10">
        <v>45598</v>
      </c>
    </row>
    <row r="1863" spans="1:9" x14ac:dyDescent="0.15">
      <c r="A1863" s="9">
        <v>1862</v>
      </c>
      <c r="B1863" s="9" t="s">
        <v>9</v>
      </c>
      <c r="C1863" s="9">
        <v>1920</v>
      </c>
      <c r="D1863" s="10">
        <v>45677</v>
      </c>
      <c r="E1863" s="13" t="str">
        <f>+HYPERLINK("http://trademark.i-assist.jp/data/china/image_1920th/81739737.pdf","81739737")</f>
        <v>81739737</v>
      </c>
      <c r="F1863" s="9" t="s">
        <v>5087</v>
      </c>
      <c r="G1863" s="9" t="s">
        <v>5088</v>
      </c>
      <c r="H1863" s="9" t="s">
        <v>5089</v>
      </c>
      <c r="I1863" s="10">
        <v>45598</v>
      </c>
    </row>
    <row r="1864" spans="1:9" x14ac:dyDescent="0.15">
      <c r="A1864" s="9">
        <v>1863</v>
      </c>
      <c r="B1864" s="9" t="s">
        <v>9</v>
      </c>
      <c r="C1864" s="9">
        <v>1920</v>
      </c>
      <c r="D1864" s="10">
        <v>45677</v>
      </c>
      <c r="E1864" s="13" t="str">
        <f>+HYPERLINK("http://trademark.i-assist.jp/data/china/image_1920th/81740254.pdf","81740254")</f>
        <v>81740254</v>
      </c>
      <c r="F1864" s="9" t="s">
        <v>5090</v>
      </c>
      <c r="G1864" s="12" t="s">
        <v>5091</v>
      </c>
      <c r="H1864" s="9" t="s">
        <v>5092</v>
      </c>
      <c r="I1864" s="10">
        <v>45598</v>
      </c>
    </row>
    <row r="1865" spans="1:9" x14ac:dyDescent="0.15">
      <c r="A1865" s="9">
        <v>1864</v>
      </c>
      <c r="B1865" s="9" t="s">
        <v>9</v>
      </c>
      <c r="C1865" s="9">
        <v>1920</v>
      </c>
      <c r="D1865" s="10">
        <v>45677</v>
      </c>
      <c r="E1865" s="13" t="str">
        <f>+HYPERLINK("http://trademark.i-assist.jp/data/china/image_1920th/81740797.pdf","81740797")</f>
        <v>81740797</v>
      </c>
      <c r="F1865" s="9" t="s">
        <v>5093</v>
      </c>
      <c r="G1865" s="9" t="s">
        <v>5094</v>
      </c>
      <c r="H1865" s="12" t="s">
        <v>5095</v>
      </c>
      <c r="I1865" s="10">
        <v>45598</v>
      </c>
    </row>
    <row r="1866" spans="1:9" x14ac:dyDescent="0.15">
      <c r="A1866" s="9">
        <v>1865</v>
      </c>
      <c r="B1866" s="9" t="s">
        <v>9</v>
      </c>
      <c r="C1866" s="9">
        <v>1920</v>
      </c>
      <c r="D1866" s="10">
        <v>45677</v>
      </c>
      <c r="E1866" s="13" t="str">
        <f>+HYPERLINK("http://trademark.i-assist.jp/data/china/image_1920th/81740943.pdf","81740943")</f>
        <v>81740943</v>
      </c>
      <c r="F1866" s="9" t="s">
        <v>5096</v>
      </c>
      <c r="G1866" s="9" t="s">
        <v>5097</v>
      </c>
      <c r="H1866" s="9" t="s">
        <v>5098</v>
      </c>
      <c r="I1866" s="10">
        <v>45598</v>
      </c>
    </row>
    <row r="1867" spans="1:9" x14ac:dyDescent="0.15">
      <c r="A1867" s="9">
        <v>1866</v>
      </c>
      <c r="B1867" s="9" t="s">
        <v>9</v>
      </c>
      <c r="C1867" s="9">
        <v>1920</v>
      </c>
      <c r="D1867" s="10">
        <v>45677</v>
      </c>
      <c r="E1867" s="13" t="str">
        <f>+HYPERLINK("http://trademark.i-assist.jp/data/china/image_1920th/81741122.pdf","81741122")</f>
        <v>81741122</v>
      </c>
      <c r="F1867" s="12" t="s">
        <v>5099</v>
      </c>
      <c r="G1867" s="9" t="s">
        <v>5100</v>
      </c>
      <c r="H1867" s="9" t="s">
        <v>5101</v>
      </c>
      <c r="I1867" s="10">
        <v>45598</v>
      </c>
    </row>
    <row r="1868" spans="1:9" x14ac:dyDescent="0.15">
      <c r="A1868" s="9">
        <v>1867</v>
      </c>
      <c r="B1868" s="9" t="s">
        <v>9</v>
      </c>
      <c r="C1868" s="9">
        <v>1920</v>
      </c>
      <c r="D1868" s="10">
        <v>45677</v>
      </c>
      <c r="E1868" s="13" t="str">
        <f>+HYPERLINK("http://trademark.i-assist.jp/data/china/image_1920th/81741632.pdf","81741632")</f>
        <v>81741632</v>
      </c>
      <c r="F1868" s="12" t="s">
        <v>5102</v>
      </c>
      <c r="G1868" s="9" t="s">
        <v>5103</v>
      </c>
      <c r="H1868" s="9" t="s">
        <v>5104</v>
      </c>
      <c r="I1868" s="10">
        <v>45598</v>
      </c>
    </row>
    <row r="1869" spans="1:9" x14ac:dyDescent="0.15">
      <c r="A1869" s="9">
        <v>1868</v>
      </c>
      <c r="B1869" s="9" t="s">
        <v>9</v>
      </c>
      <c r="C1869" s="9">
        <v>1920</v>
      </c>
      <c r="D1869" s="10">
        <v>45677</v>
      </c>
      <c r="E1869" s="13" t="str">
        <f>+HYPERLINK("http://trademark.i-assist.jp/data/china/image_1920th/81742081.pdf","81742081")</f>
        <v>81742081</v>
      </c>
      <c r="F1869" s="9" t="s">
        <v>5105</v>
      </c>
      <c r="G1869" s="9" t="s">
        <v>5106</v>
      </c>
      <c r="H1869" s="9" t="s">
        <v>5107</v>
      </c>
      <c r="I1869" s="10">
        <v>45599</v>
      </c>
    </row>
    <row r="1870" spans="1:9" x14ac:dyDescent="0.15">
      <c r="A1870" s="9">
        <v>1869</v>
      </c>
      <c r="B1870" s="9" t="s">
        <v>9</v>
      </c>
      <c r="C1870" s="9">
        <v>1920</v>
      </c>
      <c r="D1870" s="10">
        <v>45677</v>
      </c>
      <c r="E1870" s="13" t="str">
        <f>+HYPERLINK("http://trademark.i-assist.jp/data/china/image_1920th/81742706.pdf","81742706")</f>
        <v>81742706</v>
      </c>
      <c r="F1870" s="9" t="s">
        <v>5108</v>
      </c>
      <c r="G1870" s="9" t="s">
        <v>5109</v>
      </c>
      <c r="H1870" s="12" t="s">
        <v>5110</v>
      </c>
      <c r="I1870" s="10">
        <v>45599</v>
      </c>
    </row>
    <row r="1871" spans="1:9" x14ac:dyDescent="0.15">
      <c r="A1871" s="9">
        <v>1870</v>
      </c>
      <c r="B1871" s="9" t="s">
        <v>9</v>
      </c>
      <c r="C1871" s="9">
        <v>1920</v>
      </c>
      <c r="D1871" s="10">
        <v>45677</v>
      </c>
      <c r="E1871" s="13" t="str">
        <f>+HYPERLINK("http://trademark.i-assist.jp/data/china/image_1920th/81743256.pdf","81743256")</f>
        <v>81743256</v>
      </c>
      <c r="F1871" s="9" t="s">
        <v>5111</v>
      </c>
      <c r="G1871" s="9" t="s">
        <v>5112</v>
      </c>
      <c r="H1871" s="9" t="s">
        <v>5113</v>
      </c>
      <c r="I1871" s="10">
        <v>45599</v>
      </c>
    </row>
    <row r="1872" spans="1:9" x14ac:dyDescent="0.15">
      <c r="A1872" s="9">
        <v>1871</v>
      </c>
      <c r="B1872" s="9" t="s">
        <v>9</v>
      </c>
      <c r="C1872" s="9">
        <v>1920</v>
      </c>
      <c r="D1872" s="10">
        <v>45677</v>
      </c>
      <c r="E1872" s="13" t="str">
        <f>+HYPERLINK("http://trademark.i-assist.jp/data/china/image_1920th/81743524.pdf","81743524")</f>
        <v>81743524</v>
      </c>
      <c r="F1872" s="9" t="s">
        <v>5114</v>
      </c>
      <c r="G1872" s="9" t="s">
        <v>5115</v>
      </c>
      <c r="H1872" s="9" t="s">
        <v>5116</v>
      </c>
      <c r="I1872" s="10">
        <v>45599</v>
      </c>
    </row>
    <row r="1873" spans="1:9" x14ac:dyDescent="0.15">
      <c r="A1873" s="9">
        <v>1872</v>
      </c>
      <c r="B1873" s="9" t="s">
        <v>9</v>
      </c>
      <c r="C1873" s="9">
        <v>1920</v>
      </c>
      <c r="D1873" s="10">
        <v>45677</v>
      </c>
      <c r="E1873" s="13" t="str">
        <f>+HYPERLINK("http://trademark.i-assist.jp/data/china/image_1920th/81744005.pdf","81744005")</f>
        <v>81744005</v>
      </c>
      <c r="F1873" s="9" t="s">
        <v>5117</v>
      </c>
      <c r="G1873" s="9" t="s">
        <v>5118</v>
      </c>
      <c r="H1873" s="9" t="s">
        <v>5119</v>
      </c>
      <c r="I1873" s="10">
        <v>45599</v>
      </c>
    </row>
    <row r="1874" spans="1:9" x14ac:dyDescent="0.15">
      <c r="A1874" s="9">
        <v>1873</v>
      </c>
      <c r="B1874" s="9" t="s">
        <v>9</v>
      </c>
      <c r="C1874" s="9">
        <v>1920</v>
      </c>
      <c r="D1874" s="10">
        <v>45677</v>
      </c>
      <c r="E1874" s="13" t="str">
        <f>+HYPERLINK("http://trademark.i-assist.jp/data/china/image_1920th/81744151.pdf","81744151")</f>
        <v>81744151</v>
      </c>
      <c r="F1874" s="9" t="s">
        <v>5120</v>
      </c>
      <c r="G1874" s="9" t="s">
        <v>5121</v>
      </c>
      <c r="H1874" s="9" t="s">
        <v>5122</v>
      </c>
      <c r="I1874" s="10">
        <v>45600</v>
      </c>
    </row>
    <row r="1875" spans="1:9" x14ac:dyDescent="0.15">
      <c r="A1875" s="9">
        <v>1874</v>
      </c>
      <c r="B1875" s="9" t="s">
        <v>9</v>
      </c>
      <c r="C1875" s="9">
        <v>1920</v>
      </c>
      <c r="D1875" s="10">
        <v>45677</v>
      </c>
      <c r="E1875" s="13" t="str">
        <f>+HYPERLINK("http://trademark.i-assist.jp/data/china/image_1920th/81744318.pdf","81744318")</f>
        <v>81744318</v>
      </c>
      <c r="F1875" s="12" t="s">
        <v>12</v>
      </c>
      <c r="G1875" s="9" t="s">
        <v>21</v>
      </c>
      <c r="H1875" s="9" t="s">
        <v>5123</v>
      </c>
      <c r="I1875" s="10">
        <v>45600</v>
      </c>
    </row>
    <row r="1876" spans="1:9" x14ac:dyDescent="0.15">
      <c r="A1876" s="9">
        <v>1875</v>
      </c>
      <c r="B1876" s="9" t="s">
        <v>9</v>
      </c>
      <c r="C1876" s="9">
        <v>1920</v>
      </c>
      <c r="D1876" s="10">
        <v>45677</v>
      </c>
      <c r="E1876" s="13" t="str">
        <f>+HYPERLINK("http://trademark.i-assist.jp/data/china/image_1920th/81744818.pdf","81744818")</f>
        <v>81744818</v>
      </c>
      <c r="F1876" s="9" t="s">
        <v>5124</v>
      </c>
      <c r="G1876" s="9" t="s">
        <v>5125</v>
      </c>
      <c r="H1876" s="9" t="s">
        <v>5126</v>
      </c>
      <c r="I1876" s="10">
        <v>45601</v>
      </c>
    </row>
    <row r="1877" spans="1:9" x14ac:dyDescent="0.15">
      <c r="A1877" s="9">
        <v>1876</v>
      </c>
      <c r="B1877" s="9" t="s">
        <v>9</v>
      </c>
      <c r="C1877" s="9">
        <v>1920</v>
      </c>
      <c r="D1877" s="10">
        <v>45677</v>
      </c>
      <c r="E1877" s="13" t="str">
        <f>+HYPERLINK("http://trademark.i-assist.jp/data/china/image_1920th/81745293.pdf","81745293")</f>
        <v>81745293</v>
      </c>
      <c r="F1877" s="9" t="s">
        <v>5127</v>
      </c>
      <c r="G1877" s="9" t="s">
        <v>5128</v>
      </c>
      <c r="H1877" s="9" t="s">
        <v>5129</v>
      </c>
      <c r="I1877" s="10">
        <v>45600</v>
      </c>
    </row>
    <row r="1878" spans="1:9" x14ac:dyDescent="0.15">
      <c r="A1878" s="9">
        <v>1877</v>
      </c>
      <c r="B1878" s="9" t="s">
        <v>9</v>
      </c>
      <c r="C1878" s="9">
        <v>1920</v>
      </c>
      <c r="D1878" s="10">
        <v>45677</v>
      </c>
      <c r="E1878" s="13" t="str">
        <f>+HYPERLINK("http://trademark.i-assist.jp/data/china/image_1920th/81745657.pdf","81745657")</f>
        <v>81745657</v>
      </c>
      <c r="F1878" s="9" t="s">
        <v>5130</v>
      </c>
      <c r="G1878" s="9" t="s">
        <v>5131</v>
      </c>
      <c r="H1878" s="9" t="s">
        <v>5132</v>
      </c>
      <c r="I1878" s="10">
        <v>45600</v>
      </c>
    </row>
    <row r="1879" spans="1:9" x14ac:dyDescent="0.15">
      <c r="A1879" s="9">
        <v>1878</v>
      </c>
      <c r="B1879" s="9" t="s">
        <v>9</v>
      </c>
      <c r="C1879" s="9">
        <v>1920</v>
      </c>
      <c r="D1879" s="10">
        <v>45677</v>
      </c>
      <c r="E1879" s="13" t="str">
        <f>+HYPERLINK("http://trademark.i-assist.jp/data/china/image_1920th/81746747.pdf","81746747")</f>
        <v>81746747</v>
      </c>
      <c r="F1879" s="12" t="s">
        <v>5133</v>
      </c>
      <c r="G1879" s="9" t="s">
        <v>5134</v>
      </c>
      <c r="H1879" s="9" t="s">
        <v>5135</v>
      </c>
      <c r="I1879" s="10">
        <v>45600</v>
      </c>
    </row>
    <row r="1880" spans="1:9" x14ac:dyDescent="0.15">
      <c r="A1880" s="9">
        <v>1879</v>
      </c>
      <c r="B1880" s="9" t="s">
        <v>9</v>
      </c>
      <c r="C1880" s="9">
        <v>1920</v>
      </c>
      <c r="D1880" s="10">
        <v>45677</v>
      </c>
      <c r="E1880" s="13" t="str">
        <f>+HYPERLINK("http://trademark.i-assist.jp/data/china/image_1920th/81746929.pdf","81746929")</f>
        <v>81746929</v>
      </c>
      <c r="F1880" s="12" t="s">
        <v>5136</v>
      </c>
      <c r="G1880" s="9" t="s">
        <v>5137</v>
      </c>
      <c r="H1880" s="9" t="s">
        <v>5138</v>
      </c>
      <c r="I1880" s="10">
        <v>45600</v>
      </c>
    </row>
    <row r="1881" spans="1:9" x14ac:dyDescent="0.15">
      <c r="A1881" s="9">
        <v>1880</v>
      </c>
      <c r="B1881" s="9" t="s">
        <v>9</v>
      </c>
      <c r="C1881" s="9">
        <v>1920</v>
      </c>
      <c r="D1881" s="10">
        <v>45677</v>
      </c>
      <c r="E1881" s="13" t="str">
        <f>+HYPERLINK("http://trademark.i-assist.jp/data/china/image_1920th/81747037.pdf","81747037")</f>
        <v>81747037</v>
      </c>
      <c r="F1881" s="12" t="s">
        <v>5139</v>
      </c>
      <c r="G1881" s="12" t="s">
        <v>5140</v>
      </c>
      <c r="H1881" s="12" t="s">
        <v>5141</v>
      </c>
      <c r="I1881" s="10">
        <v>45600</v>
      </c>
    </row>
    <row r="1882" spans="1:9" x14ac:dyDescent="0.15">
      <c r="A1882" s="9">
        <v>1881</v>
      </c>
      <c r="B1882" s="9" t="s">
        <v>9</v>
      </c>
      <c r="C1882" s="9">
        <v>1920</v>
      </c>
      <c r="D1882" s="10">
        <v>45677</v>
      </c>
      <c r="E1882" s="13" t="str">
        <f>+HYPERLINK("http://trademark.i-assist.jp/data/china/image_1920th/81747059.pdf","81747059")</f>
        <v>81747059</v>
      </c>
      <c r="F1882" s="12" t="s">
        <v>5142</v>
      </c>
      <c r="G1882" s="9" t="s">
        <v>5137</v>
      </c>
      <c r="H1882" s="9" t="s">
        <v>5143</v>
      </c>
      <c r="I1882" s="10">
        <v>45600</v>
      </c>
    </row>
    <row r="1883" spans="1:9" x14ac:dyDescent="0.15">
      <c r="A1883" s="9">
        <v>1882</v>
      </c>
      <c r="B1883" s="9" t="s">
        <v>9</v>
      </c>
      <c r="C1883" s="9">
        <v>1920</v>
      </c>
      <c r="D1883" s="10">
        <v>45677</v>
      </c>
      <c r="E1883" s="13" t="str">
        <f>+HYPERLINK("http://trademark.i-assist.jp/data/china/image_1920th/81747392.pdf","81747392")</f>
        <v>81747392</v>
      </c>
      <c r="F1883" s="9" t="s">
        <v>5144</v>
      </c>
      <c r="G1883" s="9" t="s">
        <v>5145</v>
      </c>
      <c r="H1883" s="9" t="s">
        <v>5146</v>
      </c>
      <c r="I1883" s="10">
        <v>45600</v>
      </c>
    </row>
    <row r="1884" spans="1:9" x14ac:dyDescent="0.15">
      <c r="A1884" s="9">
        <v>1883</v>
      </c>
      <c r="B1884" s="9" t="s">
        <v>9</v>
      </c>
      <c r="C1884" s="9">
        <v>1920</v>
      </c>
      <c r="D1884" s="10">
        <v>45677</v>
      </c>
      <c r="E1884" s="13" t="str">
        <f>+HYPERLINK("http://trademark.i-assist.jp/data/china/image_1920th/81748318.pdf","81748318")</f>
        <v>81748318</v>
      </c>
      <c r="F1884" s="12" t="s">
        <v>12</v>
      </c>
      <c r="G1884" s="9" t="s">
        <v>5147</v>
      </c>
      <c r="H1884" s="9" t="s">
        <v>5148</v>
      </c>
      <c r="I1884" s="10">
        <v>45600</v>
      </c>
    </row>
    <row r="1885" spans="1:9" x14ac:dyDescent="0.15">
      <c r="A1885" s="9">
        <v>1884</v>
      </c>
      <c r="B1885" s="9" t="s">
        <v>9</v>
      </c>
      <c r="C1885" s="9">
        <v>1920</v>
      </c>
      <c r="D1885" s="10">
        <v>45677</v>
      </c>
      <c r="E1885" s="13" t="str">
        <f>+HYPERLINK("http://trademark.i-assist.jp/data/china/image_1920th/81748580.pdf","81748580")</f>
        <v>81748580</v>
      </c>
      <c r="F1885" s="12" t="s">
        <v>5149</v>
      </c>
      <c r="G1885" s="9" t="s">
        <v>5150</v>
      </c>
      <c r="H1885" s="9" t="s">
        <v>5151</v>
      </c>
      <c r="I1885" s="10">
        <v>45600</v>
      </c>
    </row>
    <row r="1886" spans="1:9" x14ac:dyDescent="0.15">
      <c r="A1886" s="9">
        <v>1885</v>
      </c>
      <c r="B1886" s="9" t="s">
        <v>9</v>
      </c>
      <c r="C1886" s="9">
        <v>1920</v>
      </c>
      <c r="D1886" s="10">
        <v>45677</v>
      </c>
      <c r="E1886" s="13" t="str">
        <f>+HYPERLINK("http://trademark.i-assist.jp/data/china/image_1920th/81749065.pdf","81749065")</f>
        <v>81749065</v>
      </c>
      <c r="F1886" s="9" t="s">
        <v>5152</v>
      </c>
      <c r="G1886" s="9" t="s">
        <v>5153</v>
      </c>
      <c r="H1886" s="9" t="s">
        <v>5154</v>
      </c>
      <c r="I1886" s="10">
        <v>45600</v>
      </c>
    </row>
    <row r="1887" spans="1:9" x14ac:dyDescent="0.15">
      <c r="A1887" s="9">
        <v>1886</v>
      </c>
      <c r="B1887" s="9" t="s">
        <v>9</v>
      </c>
      <c r="C1887" s="9">
        <v>1920</v>
      </c>
      <c r="D1887" s="10">
        <v>45677</v>
      </c>
      <c r="E1887" s="13" t="str">
        <f>+HYPERLINK("http://trademark.i-assist.jp/data/china/image_1920th/81749222.pdf","81749222")</f>
        <v>81749222</v>
      </c>
      <c r="F1887" s="9" t="s">
        <v>5155</v>
      </c>
      <c r="G1887" s="9" t="s">
        <v>5156</v>
      </c>
      <c r="H1887" s="9" t="s">
        <v>5157</v>
      </c>
      <c r="I1887" s="10">
        <v>45600</v>
      </c>
    </row>
    <row r="1888" spans="1:9" x14ac:dyDescent="0.15">
      <c r="A1888" s="9">
        <v>1887</v>
      </c>
      <c r="B1888" s="9" t="s">
        <v>9</v>
      </c>
      <c r="C1888" s="9">
        <v>1920</v>
      </c>
      <c r="D1888" s="10">
        <v>45677</v>
      </c>
      <c r="E1888" s="13" t="str">
        <f>+HYPERLINK("http://trademark.i-assist.jp/data/china/image_1920th/81749645.pdf","81749645")</f>
        <v>81749645</v>
      </c>
      <c r="F1888" s="9" t="s">
        <v>5158</v>
      </c>
      <c r="G1888" s="9" t="s">
        <v>5137</v>
      </c>
      <c r="H1888" s="12" t="s">
        <v>5159</v>
      </c>
      <c r="I1888" s="10">
        <v>45600</v>
      </c>
    </row>
    <row r="1889" spans="1:9" x14ac:dyDescent="0.15">
      <c r="A1889" s="9">
        <v>1888</v>
      </c>
      <c r="B1889" s="9" t="s">
        <v>9</v>
      </c>
      <c r="C1889" s="9">
        <v>1920</v>
      </c>
      <c r="D1889" s="10">
        <v>45677</v>
      </c>
      <c r="E1889" s="13" t="str">
        <f>+HYPERLINK("http://trademark.i-assist.jp/data/china/image_1920th/81749926.pdf","81749926")</f>
        <v>81749926</v>
      </c>
      <c r="F1889" s="9" t="s">
        <v>5160</v>
      </c>
      <c r="G1889" s="9" t="s">
        <v>5161</v>
      </c>
      <c r="H1889" s="12" t="s">
        <v>5162</v>
      </c>
      <c r="I1889" s="10">
        <v>45600</v>
      </c>
    </row>
    <row r="1890" spans="1:9" x14ac:dyDescent="0.15">
      <c r="A1890" s="9">
        <v>1889</v>
      </c>
      <c r="B1890" s="9" t="s">
        <v>9</v>
      </c>
      <c r="C1890" s="9">
        <v>1920</v>
      </c>
      <c r="D1890" s="10">
        <v>45677</v>
      </c>
      <c r="E1890" s="13" t="str">
        <f>+HYPERLINK("http://trademark.i-assist.jp/data/china/image_1920th/81750429.pdf","81750429")</f>
        <v>81750429</v>
      </c>
      <c r="F1890" s="9" t="s">
        <v>5163</v>
      </c>
      <c r="G1890" s="9" t="s">
        <v>5164</v>
      </c>
      <c r="H1890" s="9" t="s">
        <v>5165</v>
      </c>
      <c r="I1890" s="10">
        <v>45600</v>
      </c>
    </row>
    <row r="1891" spans="1:9" x14ac:dyDescent="0.15">
      <c r="A1891" s="9">
        <v>1890</v>
      </c>
      <c r="B1891" s="9" t="s">
        <v>9</v>
      </c>
      <c r="C1891" s="9">
        <v>1920</v>
      </c>
      <c r="D1891" s="10">
        <v>45677</v>
      </c>
      <c r="E1891" s="13" t="str">
        <f>+HYPERLINK("http://trademark.i-assist.jp/data/china/image_1920th/81751872.pdf","81751872")</f>
        <v>81751872</v>
      </c>
      <c r="F1891" s="9" t="s">
        <v>5166</v>
      </c>
      <c r="G1891" s="9" t="s">
        <v>5167</v>
      </c>
      <c r="H1891" s="9" t="s">
        <v>5168</v>
      </c>
      <c r="I1891" s="10">
        <v>45600</v>
      </c>
    </row>
    <row r="1892" spans="1:9" x14ac:dyDescent="0.15">
      <c r="A1892" s="9">
        <v>1891</v>
      </c>
      <c r="B1892" s="9" t="s">
        <v>9</v>
      </c>
      <c r="C1892" s="9">
        <v>1920</v>
      </c>
      <c r="D1892" s="10">
        <v>45677</v>
      </c>
      <c r="E1892" s="13" t="str">
        <f>+HYPERLINK("http://trademark.i-assist.jp/data/china/image_1920th/81752301.pdf","81752301")</f>
        <v>81752301</v>
      </c>
      <c r="F1892" s="9" t="s">
        <v>5169</v>
      </c>
      <c r="G1892" s="9" t="s">
        <v>5170</v>
      </c>
      <c r="H1892" s="9" t="s">
        <v>5171</v>
      </c>
      <c r="I1892" s="10">
        <v>45600</v>
      </c>
    </row>
    <row r="1893" spans="1:9" x14ac:dyDescent="0.15">
      <c r="A1893" s="9">
        <v>1892</v>
      </c>
      <c r="B1893" s="9" t="s">
        <v>9</v>
      </c>
      <c r="C1893" s="9">
        <v>1920</v>
      </c>
      <c r="D1893" s="10">
        <v>45677</v>
      </c>
      <c r="E1893" s="13" t="str">
        <f>+HYPERLINK("http://trademark.i-assist.jp/data/china/image_1920th/81752965.pdf","81752965")</f>
        <v>81752965</v>
      </c>
      <c r="F1893" s="12" t="s">
        <v>5172</v>
      </c>
      <c r="G1893" s="9" t="s">
        <v>5173</v>
      </c>
      <c r="H1893" s="9" t="s">
        <v>5174</v>
      </c>
      <c r="I1893" s="10">
        <v>45600</v>
      </c>
    </row>
    <row r="1894" spans="1:9" x14ac:dyDescent="0.15">
      <c r="A1894" s="9">
        <v>1893</v>
      </c>
      <c r="B1894" s="9" t="s">
        <v>9</v>
      </c>
      <c r="C1894" s="9">
        <v>1920</v>
      </c>
      <c r="D1894" s="10">
        <v>45677</v>
      </c>
      <c r="E1894" s="13" t="str">
        <f>+HYPERLINK("http://trademark.i-assist.jp/data/china/image_1920th/81754056.pdf","81754056")</f>
        <v>81754056</v>
      </c>
      <c r="F1894" s="12" t="s">
        <v>5175</v>
      </c>
      <c r="G1894" s="12" t="s">
        <v>5176</v>
      </c>
      <c r="H1894" s="9" t="s">
        <v>5177</v>
      </c>
      <c r="I1894" s="10">
        <v>45601</v>
      </c>
    </row>
    <row r="1895" spans="1:9" x14ac:dyDescent="0.15">
      <c r="A1895" s="9">
        <v>1894</v>
      </c>
      <c r="B1895" s="9" t="s">
        <v>9</v>
      </c>
      <c r="C1895" s="9">
        <v>1920</v>
      </c>
      <c r="D1895" s="10">
        <v>45677</v>
      </c>
      <c r="E1895" s="13" t="str">
        <f>+HYPERLINK("http://trademark.i-assist.jp/data/china/image_1920th/81754607.pdf","81754607")</f>
        <v>81754607</v>
      </c>
      <c r="F1895" s="9" t="s">
        <v>5178</v>
      </c>
      <c r="G1895" s="9" t="s">
        <v>5125</v>
      </c>
      <c r="H1895" s="9" t="s">
        <v>5179</v>
      </c>
      <c r="I1895" s="10">
        <v>45601</v>
      </c>
    </row>
    <row r="1896" spans="1:9" x14ac:dyDescent="0.15">
      <c r="A1896" s="9">
        <v>1895</v>
      </c>
      <c r="B1896" s="9" t="s">
        <v>9</v>
      </c>
      <c r="C1896" s="9">
        <v>1920</v>
      </c>
      <c r="D1896" s="10">
        <v>45677</v>
      </c>
      <c r="E1896" s="13" t="str">
        <f>+HYPERLINK("http://trademark.i-assist.jp/data/china/image_1920th/81755168.pdf","81755168")</f>
        <v>81755168</v>
      </c>
      <c r="F1896" s="9" t="s">
        <v>5180</v>
      </c>
      <c r="G1896" s="9" t="s">
        <v>5181</v>
      </c>
      <c r="H1896" s="9" t="s">
        <v>5182</v>
      </c>
      <c r="I1896" s="10">
        <v>45600</v>
      </c>
    </row>
    <row r="1897" spans="1:9" x14ac:dyDescent="0.15">
      <c r="A1897" s="9">
        <v>1896</v>
      </c>
      <c r="B1897" s="9" t="s">
        <v>9</v>
      </c>
      <c r="C1897" s="9">
        <v>1920</v>
      </c>
      <c r="D1897" s="10">
        <v>45677</v>
      </c>
      <c r="E1897" s="13" t="str">
        <f>+HYPERLINK("http://trademark.i-assist.jp/data/china/image_1920th/81755339.pdf","81755339")</f>
        <v>81755339</v>
      </c>
      <c r="F1897" s="9" t="s">
        <v>5183</v>
      </c>
      <c r="G1897" s="9" t="s">
        <v>4522</v>
      </c>
      <c r="H1897" s="9" t="s">
        <v>5184</v>
      </c>
      <c r="I1897" s="10">
        <v>45600</v>
      </c>
    </row>
    <row r="1898" spans="1:9" x14ac:dyDescent="0.15">
      <c r="A1898" s="9">
        <v>1897</v>
      </c>
      <c r="B1898" s="9" t="s">
        <v>9</v>
      </c>
      <c r="C1898" s="9">
        <v>1920</v>
      </c>
      <c r="D1898" s="10">
        <v>45677</v>
      </c>
      <c r="E1898" s="13" t="str">
        <f>+HYPERLINK("http://trademark.i-assist.jp/data/china/image_1920th/81756534.pdf","81756534")</f>
        <v>81756534</v>
      </c>
      <c r="F1898" s="12" t="s">
        <v>5185</v>
      </c>
      <c r="G1898" s="9" t="s">
        <v>5186</v>
      </c>
      <c r="H1898" s="9" t="s">
        <v>5187</v>
      </c>
      <c r="I1898" s="10">
        <v>45600</v>
      </c>
    </row>
    <row r="1899" spans="1:9" x14ac:dyDescent="0.15">
      <c r="A1899" s="9">
        <v>1898</v>
      </c>
      <c r="B1899" s="9" t="s">
        <v>9</v>
      </c>
      <c r="C1899" s="9">
        <v>1920</v>
      </c>
      <c r="D1899" s="10">
        <v>45677</v>
      </c>
      <c r="E1899" s="13" t="str">
        <f>+HYPERLINK("http://trademark.i-assist.jp/data/china/image_1920th/81756872.pdf","81756872")</f>
        <v>81756872</v>
      </c>
      <c r="F1899" s="9" t="s">
        <v>5188</v>
      </c>
      <c r="G1899" s="9" t="s">
        <v>5189</v>
      </c>
      <c r="H1899" s="9" t="s">
        <v>5190</v>
      </c>
      <c r="I1899" s="10">
        <v>45600</v>
      </c>
    </row>
    <row r="1900" spans="1:9" x14ac:dyDescent="0.15">
      <c r="A1900" s="9">
        <v>1899</v>
      </c>
      <c r="B1900" s="9" t="s">
        <v>9</v>
      </c>
      <c r="C1900" s="9">
        <v>1920</v>
      </c>
      <c r="D1900" s="10">
        <v>45677</v>
      </c>
      <c r="E1900" s="13" t="str">
        <f>+HYPERLINK("http://trademark.i-assist.jp/data/china/image_1920th/81757253.pdf","81757253")</f>
        <v>81757253</v>
      </c>
      <c r="F1900" s="12" t="s">
        <v>5191</v>
      </c>
      <c r="G1900" s="9" t="s">
        <v>5192</v>
      </c>
      <c r="H1900" s="9" t="s">
        <v>5193</v>
      </c>
      <c r="I1900" s="10">
        <v>45601</v>
      </c>
    </row>
    <row r="1901" spans="1:9" x14ac:dyDescent="0.15">
      <c r="A1901" s="9">
        <v>1900</v>
      </c>
      <c r="B1901" s="9" t="s">
        <v>9</v>
      </c>
      <c r="C1901" s="9">
        <v>1920</v>
      </c>
      <c r="D1901" s="10">
        <v>45677</v>
      </c>
      <c r="E1901" s="13" t="str">
        <f>+HYPERLINK("http://trademark.i-assist.jp/data/china/image_1920th/81758266.pdf","81758266")</f>
        <v>81758266</v>
      </c>
      <c r="F1901" s="9" t="s">
        <v>5194</v>
      </c>
      <c r="G1901" s="9" t="s">
        <v>5195</v>
      </c>
      <c r="H1901" s="9" t="s">
        <v>5196</v>
      </c>
      <c r="I1901" s="10">
        <v>45600</v>
      </c>
    </row>
    <row r="1902" spans="1:9" x14ac:dyDescent="0.15">
      <c r="A1902" s="9">
        <v>1901</v>
      </c>
      <c r="B1902" s="9" t="s">
        <v>9</v>
      </c>
      <c r="C1902" s="9">
        <v>1920</v>
      </c>
      <c r="D1902" s="10">
        <v>45677</v>
      </c>
      <c r="E1902" s="13" t="str">
        <f>+HYPERLINK("http://trademark.i-assist.jp/data/china/image_1920th/81758525.pdf","81758525")</f>
        <v>81758525</v>
      </c>
      <c r="F1902" s="12" t="s">
        <v>5197</v>
      </c>
      <c r="G1902" s="9" t="s">
        <v>5137</v>
      </c>
      <c r="H1902" s="9" t="s">
        <v>5198</v>
      </c>
      <c r="I1902" s="10">
        <v>45600</v>
      </c>
    </row>
    <row r="1903" spans="1:9" x14ac:dyDescent="0.15">
      <c r="A1903" s="9">
        <v>1902</v>
      </c>
      <c r="B1903" s="9" t="s">
        <v>9</v>
      </c>
      <c r="C1903" s="9">
        <v>1920</v>
      </c>
      <c r="D1903" s="10">
        <v>45677</v>
      </c>
      <c r="E1903" s="13" t="str">
        <f>+HYPERLINK("http://trademark.i-assist.jp/data/china/image_1920th/81758556.pdf","81758556")</f>
        <v>81758556</v>
      </c>
      <c r="F1903" s="9" t="s">
        <v>5199</v>
      </c>
      <c r="G1903" s="9" t="s">
        <v>5137</v>
      </c>
      <c r="H1903" s="9" t="s">
        <v>5200</v>
      </c>
      <c r="I1903" s="10">
        <v>45600</v>
      </c>
    </row>
    <row r="1904" spans="1:9" x14ac:dyDescent="0.15">
      <c r="A1904" s="9">
        <v>1903</v>
      </c>
      <c r="B1904" s="9" t="s">
        <v>9</v>
      </c>
      <c r="C1904" s="9">
        <v>1920</v>
      </c>
      <c r="D1904" s="10">
        <v>45677</v>
      </c>
      <c r="E1904" s="13" t="str">
        <f>+HYPERLINK("http://trademark.i-assist.jp/data/china/image_1920th/81758635.pdf","81758635")</f>
        <v>81758635</v>
      </c>
      <c r="F1904" s="9" t="s">
        <v>5201</v>
      </c>
      <c r="G1904" s="9" t="s">
        <v>4522</v>
      </c>
      <c r="H1904" s="9" t="s">
        <v>5202</v>
      </c>
      <c r="I1904" s="10">
        <v>45600</v>
      </c>
    </row>
    <row r="1905" spans="1:9" x14ac:dyDescent="0.15">
      <c r="A1905" s="9">
        <v>1904</v>
      </c>
      <c r="B1905" s="9" t="s">
        <v>9</v>
      </c>
      <c r="C1905" s="9">
        <v>1920</v>
      </c>
      <c r="D1905" s="10">
        <v>45677</v>
      </c>
      <c r="E1905" s="13" t="str">
        <f>+HYPERLINK("http://trademark.i-assist.jp/data/china/image_1920th/81759353.pdf","81759353")</f>
        <v>81759353</v>
      </c>
      <c r="F1905" s="9" t="s">
        <v>5203</v>
      </c>
      <c r="G1905" s="9" t="s">
        <v>5204</v>
      </c>
      <c r="H1905" s="9" t="s">
        <v>5205</v>
      </c>
      <c r="I1905" s="10">
        <v>45601</v>
      </c>
    </row>
    <row r="1906" spans="1:9" x14ac:dyDescent="0.15">
      <c r="A1906" s="9">
        <v>1905</v>
      </c>
      <c r="B1906" s="9" t="s">
        <v>9</v>
      </c>
      <c r="C1906" s="9">
        <v>1920</v>
      </c>
      <c r="D1906" s="10">
        <v>45677</v>
      </c>
      <c r="E1906" s="13" t="str">
        <f>+HYPERLINK("http://trademark.i-assist.jp/data/china/image_1920th/81759967.pdf","81759967")</f>
        <v>81759967</v>
      </c>
      <c r="F1906" s="9" t="s">
        <v>5206</v>
      </c>
      <c r="G1906" s="9" t="s">
        <v>5207</v>
      </c>
      <c r="H1906" s="12" t="s">
        <v>5208</v>
      </c>
      <c r="I1906" s="10">
        <v>45601</v>
      </c>
    </row>
    <row r="1907" spans="1:9" x14ac:dyDescent="0.15">
      <c r="A1907" s="9">
        <v>1906</v>
      </c>
      <c r="B1907" s="9" t="s">
        <v>9</v>
      </c>
      <c r="C1907" s="9">
        <v>1920</v>
      </c>
      <c r="D1907" s="10">
        <v>45677</v>
      </c>
      <c r="E1907" s="13" t="str">
        <f>+HYPERLINK("http://trademark.i-assist.jp/data/china/image_1920th/81760060.pdf","81760060")</f>
        <v>81760060</v>
      </c>
      <c r="F1907" s="9" t="s">
        <v>5209</v>
      </c>
      <c r="G1907" s="9" t="s">
        <v>5210</v>
      </c>
      <c r="H1907" s="9" t="s">
        <v>5211</v>
      </c>
      <c r="I1907" s="10">
        <v>45601</v>
      </c>
    </row>
    <row r="1908" spans="1:9" x14ac:dyDescent="0.15">
      <c r="A1908" s="9">
        <v>1907</v>
      </c>
      <c r="B1908" s="9" t="s">
        <v>9</v>
      </c>
      <c r="C1908" s="9">
        <v>1920</v>
      </c>
      <c r="D1908" s="10">
        <v>45677</v>
      </c>
      <c r="E1908" s="13" t="str">
        <f>+HYPERLINK("http://trademark.i-assist.jp/data/china/image_1920th/81762160.pdf","81762160")</f>
        <v>81762160</v>
      </c>
      <c r="F1908" s="9" t="s">
        <v>5212</v>
      </c>
      <c r="G1908" s="12" t="s">
        <v>5213</v>
      </c>
      <c r="H1908" s="12" t="s">
        <v>5214</v>
      </c>
      <c r="I1908" s="10">
        <v>45601</v>
      </c>
    </row>
    <row r="1909" spans="1:9" x14ac:dyDescent="0.15">
      <c r="A1909" s="9">
        <v>1908</v>
      </c>
      <c r="B1909" s="9" t="s">
        <v>9</v>
      </c>
      <c r="C1909" s="9">
        <v>1920</v>
      </c>
      <c r="D1909" s="10">
        <v>45677</v>
      </c>
      <c r="E1909" s="13" t="str">
        <f>+HYPERLINK("http://trademark.i-assist.jp/data/china/image_1920th/81762885.pdf","81762885")</f>
        <v>81762885</v>
      </c>
      <c r="F1909" s="9" t="s">
        <v>5215</v>
      </c>
      <c r="G1909" s="9" t="s">
        <v>5216</v>
      </c>
      <c r="H1909" s="9" t="s">
        <v>5217</v>
      </c>
      <c r="I1909" s="10">
        <v>45601</v>
      </c>
    </row>
    <row r="1910" spans="1:9" x14ac:dyDescent="0.15">
      <c r="A1910" s="9">
        <v>1909</v>
      </c>
      <c r="B1910" s="9" t="s">
        <v>9</v>
      </c>
      <c r="C1910" s="9">
        <v>1920</v>
      </c>
      <c r="D1910" s="10">
        <v>45677</v>
      </c>
      <c r="E1910" s="13" t="str">
        <f>+HYPERLINK("http://trademark.i-assist.jp/data/china/image_1920th/81763339.pdf","81763339")</f>
        <v>81763339</v>
      </c>
      <c r="F1910" s="9" t="s">
        <v>5218</v>
      </c>
      <c r="G1910" s="9" t="s">
        <v>5219</v>
      </c>
      <c r="H1910" s="9" t="s">
        <v>5220</v>
      </c>
      <c r="I1910" s="10">
        <v>45601</v>
      </c>
    </row>
    <row r="1911" spans="1:9" x14ac:dyDescent="0.15">
      <c r="A1911" s="9">
        <v>1910</v>
      </c>
      <c r="B1911" s="9" t="s">
        <v>9</v>
      </c>
      <c r="C1911" s="9">
        <v>1920</v>
      </c>
      <c r="D1911" s="10">
        <v>45677</v>
      </c>
      <c r="E1911" s="13" t="str">
        <f>+HYPERLINK("http://trademark.i-assist.jp/data/china/image_1920th/81763374.pdf","81763374")</f>
        <v>81763374</v>
      </c>
      <c r="F1911" s="12" t="s">
        <v>12</v>
      </c>
      <c r="G1911" s="9" t="s">
        <v>5210</v>
      </c>
      <c r="H1911" s="9" t="s">
        <v>5221</v>
      </c>
      <c r="I1911" s="10">
        <v>45601</v>
      </c>
    </row>
    <row r="1912" spans="1:9" x14ac:dyDescent="0.15">
      <c r="A1912" s="9">
        <v>1911</v>
      </c>
      <c r="B1912" s="9" t="s">
        <v>9</v>
      </c>
      <c r="C1912" s="9">
        <v>1920</v>
      </c>
      <c r="D1912" s="10">
        <v>45677</v>
      </c>
      <c r="E1912" s="13" t="str">
        <f>+HYPERLINK("http://trademark.i-assist.jp/data/china/image_1920th/81763396.pdf","81763396")</f>
        <v>81763396</v>
      </c>
      <c r="F1912" s="9" t="s">
        <v>5222</v>
      </c>
      <c r="G1912" s="9" t="s">
        <v>5210</v>
      </c>
      <c r="H1912" s="9" t="s">
        <v>5223</v>
      </c>
      <c r="I1912" s="10">
        <v>45601</v>
      </c>
    </row>
    <row r="1913" spans="1:9" x14ac:dyDescent="0.15">
      <c r="A1913" s="9">
        <v>1912</v>
      </c>
      <c r="B1913" s="9" t="s">
        <v>9</v>
      </c>
      <c r="C1913" s="9">
        <v>1920</v>
      </c>
      <c r="D1913" s="10">
        <v>45677</v>
      </c>
      <c r="E1913" s="13" t="str">
        <f>+HYPERLINK("http://trademark.i-assist.jp/data/china/image_1920th/81765130.pdf","81765130")</f>
        <v>81765130</v>
      </c>
      <c r="F1913" s="12" t="s">
        <v>5224</v>
      </c>
      <c r="G1913" s="9" t="s">
        <v>5225</v>
      </c>
      <c r="H1913" s="9" t="s">
        <v>5226</v>
      </c>
      <c r="I1913" s="10">
        <v>45601</v>
      </c>
    </row>
    <row r="1914" spans="1:9" x14ac:dyDescent="0.15">
      <c r="A1914" s="9">
        <v>1913</v>
      </c>
      <c r="B1914" s="9" t="s">
        <v>9</v>
      </c>
      <c r="C1914" s="9">
        <v>1920</v>
      </c>
      <c r="D1914" s="10">
        <v>45677</v>
      </c>
      <c r="E1914" s="13" t="str">
        <f>+HYPERLINK("http://trademark.i-assist.jp/data/china/image_1920th/81765331.pdf","81765331")</f>
        <v>81765331</v>
      </c>
      <c r="F1914" s="9" t="s">
        <v>5227</v>
      </c>
      <c r="G1914" s="9" t="s">
        <v>5125</v>
      </c>
      <c r="H1914" s="9" t="s">
        <v>5228</v>
      </c>
      <c r="I1914" s="10">
        <v>45601</v>
      </c>
    </row>
    <row r="1915" spans="1:9" x14ac:dyDescent="0.15">
      <c r="A1915" s="9">
        <v>1914</v>
      </c>
      <c r="B1915" s="9" t="s">
        <v>9</v>
      </c>
      <c r="C1915" s="9">
        <v>1920</v>
      </c>
      <c r="D1915" s="10">
        <v>45677</v>
      </c>
      <c r="E1915" s="13" t="str">
        <f>+HYPERLINK("http://trademark.i-assist.jp/data/china/image_1920th/81765993.pdf","81765993")</f>
        <v>81765993</v>
      </c>
      <c r="F1915" s="9" t="s">
        <v>5229</v>
      </c>
      <c r="G1915" s="9" t="s">
        <v>5230</v>
      </c>
      <c r="H1915" s="9" t="s">
        <v>5231</v>
      </c>
      <c r="I1915" s="10">
        <v>45601</v>
      </c>
    </row>
    <row r="1916" spans="1:9" x14ac:dyDescent="0.15">
      <c r="A1916" s="9">
        <v>1915</v>
      </c>
      <c r="B1916" s="9" t="s">
        <v>9</v>
      </c>
      <c r="C1916" s="9">
        <v>1920</v>
      </c>
      <c r="D1916" s="10">
        <v>45677</v>
      </c>
      <c r="E1916" s="13" t="str">
        <f>+HYPERLINK("http://trademark.i-assist.jp/data/china/image_1920th/81767295.pdf","81767295")</f>
        <v>81767295</v>
      </c>
      <c r="F1916" s="9" t="s">
        <v>5232</v>
      </c>
      <c r="G1916" s="9" t="s">
        <v>5125</v>
      </c>
      <c r="H1916" s="9" t="s">
        <v>5233</v>
      </c>
      <c r="I1916" s="10">
        <v>45601</v>
      </c>
    </row>
    <row r="1917" spans="1:9" x14ac:dyDescent="0.15">
      <c r="A1917" s="9">
        <v>1916</v>
      </c>
      <c r="B1917" s="9" t="s">
        <v>9</v>
      </c>
      <c r="C1917" s="9">
        <v>1920</v>
      </c>
      <c r="D1917" s="10">
        <v>45677</v>
      </c>
      <c r="E1917" s="13" t="str">
        <f>+HYPERLINK("http://trademark.i-assist.jp/data/china/image_1920th/81767547.pdf","81767547")</f>
        <v>81767547</v>
      </c>
      <c r="F1917" s="9" t="s">
        <v>5234</v>
      </c>
      <c r="G1917" s="9" t="s">
        <v>5210</v>
      </c>
      <c r="H1917" s="9" t="s">
        <v>5235</v>
      </c>
      <c r="I1917" s="10">
        <v>45601</v>
      </c>
    </row>
    <row r="1918" spans="1:9" x14ac:dyDescent="0.15">
      <c r="A1918" s="9">
        <v>1917</v>
      </c>
      <c r="B1918" s="9" t="s">
        <v>9</v>
      </c>
      <c r="C1918" s="9">
        <v>1920</v>
      </c>
      <c r="D1918" s="10">
        <v>45677</v>
      </c>
      <c r="E1918" s="13" t="str">
        <f>+HYPERLINK("http://trademark.i-assist.jp/data/china/image_1920th/81768054.pdf","81768054")</f>
        <v>81768054</v>
      </c>
      <c r="F1918" s="12" t="s">
        <v>5236</v>
      </c>
      <c r="G1918" s="9" t="s">
        <v>5237</v>
      </c>
      <c r="H1918" s="9" t="s">
        <v>5238</v>
      </c>
      <c r="I1918" s="10">
        <v>45601</v>
      </c>
    </row>
    <row r="1919" spans="1:9" x14ac:dyDescent="0.15">
      <c r="A1919" s="9">
        <v>1918</v>
      </c>
      <c r="B1919" s="9" t="s">
        <v>9</v>
      </c>
      <c r="C1919" s="9">
        <v>1920</v>
      </c>
      <c r="D1919" s="10">
        <v>45677</v>
      </c>
      <c r="E1919" s="13" t="str">
        <f>+HYPERLINK("http://trademark.i-assist.jp/data/china/image_1920th/81768674.pdf","81768674")</f>
        <v>81768674</v>
      </c>
      <c r="F1919" s="12" t="s">
        <v>5239</v>
      </c>
      <c r="G1919" s="9" t="s">
        <v>5240</v>
      </c>
      <c r="H1919" s="9" t="s">
        <v>5241</v>
      </c>
      <c r="I1919" s="10">
        <v>45601</v>
      </c>
    </row>
    <row r="1920" spans="1:9" x14ac:dyDescent="0.15">
      <c r="A1920" s="9">
        <v>1919</v>
      </c>
      <c r="B1920" s="9" t="s">
        <v>9</v>
      </c>
      <c r="C1920" s="9">
        <v>1920</v>
      </c>
      <c r="D1920" s="10">
        <v>45677</v>
      </c>
      <c r="E1920" s="13" t="str">
        <f>+HYPERLINK("http://trademark.i-assist.jp/data/china/image_1920th/81771545.pdf","81771545")</f>
        <v>81771545</v>
      </c>
      <c r="F1920" s="9" t="s">
        <v>5242</v>
      </c>
      <c r="G1920" s="9" t="s">
        <v>5243</v>
      </c>
      <c r="H1920" s="12" t="s">
        <v>5244</v>
      </c>
      <c r="I1920" s="10">
        <v>45601</v>
      </c>
    </row>
    <row r="1921" spans="1:9" x14ac:dyDescent="0.15">
      <c r="A1921" s="9">
        <v>1920</v>
      </c>
      <c r="B1921" s="9" t="s">
        <v>9</v>
      </c>
      <c r="C1921" s="9">
        <v>1920</v>
      </c>
      <c r="D1921" s="10">
        <v>45677</v>
      </c>
      <c r="E1921" s="13" t="str">
        <f>+HYPERLINK("http://trademark.i-assist.jp/data/china/image_1920th/81772188.pdf","81772188")</f>
        <v>81772188</v>
      </c>
      <c r="F1921" s="9" t="s">
        <v>5245</v>
      </c>
      <c r="G1921" s="9" t="s">
        <v>5125</v>
      </c>
      <c r="H1921" s="9" t="s">
        <v>5246</v>
      </c>
      <c r="I1921" s="10">
        <v>45601</v>
      </c>
    </row>
    <row r="1922" spans="1:9" x14ac:dyDescent="0.15">
      <c r="A1922" s="9">
        <v>1921</v>
      </c>
      <c r="B1922" s="9" t="s">
        <v>9</v>
      </c>
      <c r="C1922" s="9">
        <v>1920</v>
      </c>
      <c r="D1922" s="10">
        <v>45677</v>
      </c>
      <c r="E1922" s="13" t="str">
        <f>+HYPERLINK("http://trademark.i-assist.jp/data/china/image_1920th/81774556.pdf","81774556")</f>
        <v>81774556</v>
      </c>
      <c r="F1922" s="9" t="s">
        <v>5247</v>
      </c>
      <c r="G1922" s="9" t="s">
        <v>5248</v>
      </c>
      <c r="H1922" s="9" t="s">
        <v>5249</v>
      </c>
      <c r="I1922" s="10">
        <v>45601</v>
      </c>
    </row>
    <row r="1923" spans="1:9" x14ac:dyDescent="0.15">
      <c r="A1923" s="9">
        <v>1922</v>
      </c>
      <c r="B1923" s="9" t="s">
        <v>9</v>
      </c>
      <c r="C1923" s="9">
        <v>1920</v>
      </c>
      <c r="D1923" s="10">
        <v>45677</v>
      </c>
      <c r="E1923" s="13" t="str">
        <f>+HYPERLINK("http://trademark.i-assist.jp/data/china/image_1920th/81774605.pdf","81774605")</f>
        <v>81774605</v>
      </c>
      <c r="F1923" s="9" t="s">
        <v>5250</v>
      </c>
      <c r="G1923" s="9" t="s">
        <v>5251</v>
      </c>
      <c r="H1923" s="9" t="s">
        <v>5252</v>
      </c>
      <c r="I1923" s="10">
        <v>45601</v>
      </c>
    </row>
    <row r="1924" spans="1:9" x14ac:dyDescent="0.15">
      <c r="A1924" s="9">
        <v>1923</v>
      </c>
      <c r="B1924" s="9" t="s">
        <v>9</v>
      </c>
      <c r="C1924" s="9">
        <v>1920</v>
      </c>
      <c r="D1924" s="10">
        <v>45677</v>
      </c>
      <c r="E1924" s="13" t="str">
        <f>+HYPERLINK("http://trademark.i-assist.jp/data/china/image_1920th/81776823.pdf","81776823")</f>
        <v>81776823</v>
      </c>
      <c r="F1924" s="9" t="s">
        <v>5253</v>
      </c>
      <c r="G1924" s="12" t="s">
        <v>5254</v>
      </c>
      <c r="H1924" s="12" t="s">
        <v>5255</v>
      </c>
      <c r="I1924" s="10">
        <v>45600</v>
      </c>
    </row>
    <row r="1925" spans="1:9" x14ac:dyDescent="0.15">
      <c r="A1925" s="9">
        <v>1924</v>
      </c>
      <c r="B1925" s="9" t="s">
        <v>9</v>
      </c>
      <c r="C1925" s="9">
        <v>1920</v>
      </c>
      <c r="D1925" s="10">
        <v>45677</v>
      </c>
      <c r="E1925" s="13" t="str">
        <f>+HYPERLINK("http://trademark.i-assist.jp/data/china/image_1920th/81777881.pdf","81777881")</f>
        <v>81777881</v>
      </c>
      <c r="F1925" s="9" t="s">
        <v>5256</v>
      </c>
      <c r="G1925" s="9" t="s">
        <v>5125</v>
      </c>
      <c r="H1925" s="9" t="s">
        <v>5257</v>
      </c>
      <c r="I1925" s="10">
        <v>45601</v>
      </c>
    </row>
    <row r="1926" spans="1:9" x14ac:dyDescent="0.15">
      <c r="A1926" s="9">
        <v>1925</v>
      </c>
      <c r="B1926" s="9" t="s">
        <v>9</v>
      </c>
      <c r="C1926" s="9">
        <v>1920</v>
      </c>
      <c r="D1926" s="10">
        <v>45677</v>
      </c>
      <c r="E1926" s="13" t="str">
        <f>+HYPERLINK("http://trademark.i-assist.jp/data/china/image_1920th/81778015.pdf","81778015")</f>
        <v>81778015</v>
      </c>
      <c r="F1926" s="9" t="s">
        <v>5258</v>
      </c>
      <c r="G1926" s="9" t="s">
        <v>5248</v>
      </c>
      <c r="H1926" s="9" t="s">
        <v>5259</v>
      </c>
      <c r="I1926" s="10">
        <v>45601</v>
      </c>
    </row>
    <row r="1927" spans="1:9" x14ac:dyDescent="0.15">
      <c r="A1927" s="9">
        <v>1926</v>
      </c>
      <c r="B1927" s="9" t="s">
        <v>9</v>
      </c>
      <c r="C1927" s="9">
        <v>1920</v>
      </c>
      <c r="D1927" s="10">
        <v>45677</v>
      </c>
      <c r="E1927" s="13" t="str">
        <f>+HYPERLINK("http://trademark.i-assist.jp/data/china/image_1920th/81778121.pdf","81778121")</f>
        <v>81778121</v>
      </c>
      <c r="F1927" s="12" t="s">
        <v>5260</v>
      </c>
      <c r="G1927" s="9" t="s">
        <v>5261</v>
      </c>
      <c r="H1927" s="9" t="s">
        <v>5262</v>
      </c>
      <c r="I1927" s="10">
        <v>45601</v>
      </c>
    </row>
    <row r="1928" spans="1:9" x14ac:dyDescent="0.15">
      <c r="A1928" s="9">
        <v>1927</v>
      </c>
      <c r="B1928" s="9" t="s">
        <v>9</v>
      </c>
      <c r="C1928" s="9">
        <v>1920</v>
      </c>
      <c r="D1928" s="10">
        <v>45677</v>
      </c>
      <c r="E1928" s="13" t="str">
        <f>+HYPERLINK("http://trademark.i-assist.jp/data/china/image_1920th/81778643.pdf","81778643")</f>
        <v>81778643</v>
      </c>
      <c r="F1928" s="9" t="s">
        <v>5263</v>
      </c>
      <c r="G1928" s="12" t="s">
        <v>5264</v>
      </c>
      <c r="H1928" s="12" t="s">
        <v>5265</v>
      </c>
      <c r="I1928" s="10">
        <v>45601</v>
      </c>
    </row>
    <row r="1929" spans="1:9" x14ac:dyDescent="0.15">
      <c r="A1929" s="9">
        <v>1928</v>
      </c>
      <c r="B1929" s="9" t="s">
        <v>9</v>
      </c>
      <c r="C1929" s="9">
        <v>1920</v>
      </c>
      <c r="D1929" s="10">
        <v>45677</v>
      </c>
      <c r="E1929" s="13" t="str">
        <f>+HYPERLINK("http://trademark.i-assist.jp/data/china/image_1920th/81778793.pdf","81778793")</f>
        <v>81778793</v>
      </c>
      <c r="F1929" s="9" t="s">
        <v>5266</v>
      </c>
      <c r="G1929" s="9" t="s">
        <v>5267</v>
      </c>
      <c r="H1929" s="9" t="s">
        <v>5268</v>
      </c>
      <c r="I1929" s="10">
        <v>45601</v>
      </c>
    </row>
    <row r="1930" spans="1:9" x14ac:dyDescent="0.15">
      <c r="A1930" s="9">
        <v>1929</v>
      </c>
      <c r="B1930" s="9" t="s">
        <v>9</v>
      </c>
      <c r="C1930" s="9">
        <v>1920</v>
      </c>
      <c r="D1930" s="10">
        <v>45677</v>
      </c>
      <c r="E1930" s="13" t="str">
        <f>+HYPERLINK("http://trademark.i-assist.jp/data/china/image_1920th/81779457.pdf","81779457")</f>
        <v>81779457</v>
      </c>
      <c r="F1930" s="12" t="s">
        <v>5269</v>
      </c>
      <c r="G1930" s="9" t="s">
        <v>5137</v>
      </c>
      <c r="H1930" s="12" t="s">
        <v>5270</v>
      </c>
      <c r="I1930" s="10">
        <v>45600</v>
      </c>
    </row>
    <row r="1931" spans="1:9" x14ac:dyDescent="0.15">
      <c r="A1931" s="9">
        <v>1930</v>
      </c>
      <c r="B1931" s="9" t="s">
        <v>9</v>
      </c>
      <c r="C1931" s="9">
        <v>1920</v>
      </c>
      <c r="D1931" s="10">
        <v>45677</v>
      </c>
      <c r="E1931" s="13" t="str">
        <f>+HYPERLINK("http://trademark.i-assist.jp/data/china/image_1920th/81780013.pdf","81780013")</f>
        <v>81780013</v>
      </c>
      <c r="F1931" s="9" t="s">
        <v>5271</v>
      </c>
      <c r="G1931" s="9" t="s">
        <v>5272</v>
      </c>
      <c r="H1931" s="9" t="s">
        <v>5273</v>
      </c>
      <c r="I1931" s="10">
        <v>45600</v>
      </c>
    </row>
    <row r="1932" spans="1:9" x14ac:dyDescent="0.15">
      <c r="A1932" s="9">
        <v>1931</v>
      </c>
      <c r="B1932" s="9" t="s">
        <v>9</v>
      </c>
      <c r="C1932" s="9">
        <v>1920</v>
      </c>
      <c r="D1932" s="10">
        <v>45677</v>
      </c>
      <c r="E1932" s="13" t="str">
        <f>+HYPERLINK("http://trademark.i-assist.jp/data/china/image_1920th/81780696.pdf","81780696")</f>
        <v>81780696</v>
      </c>
      <c r="F1932" s="12" t="s">
        <v>12</v>
      </c>
      <c r="G1932" s="9" t="s">
        <v>5274</v>
      </c>
      <c r="H1932" s="9" t="s">
        <v>5275</v>
      </c>
      <c r="I1932" s="10">
        <v>45600</v>
      </c>
    </row>
    <row r="1933" spans="1:9" x14ac:dyDescent="0.15">
      <c r="A1933" s="9">
        <v>1932</v>
      </c>
      <c r="B1933" s="9" t="s">
        <v>9</v>
      </c>
      <c r="C1933" s="9">
        <v>1920</v>
      </c>
      <c r="D1933" s="10">
        <v>45677</v>
      </c>
      <c r="E1933" s="13" t="str">
        <f>+HYPERLINK("http://trademark.i-assist.jp/data/china/image_1920th/81780865.pdf","81780865")</f>
        <v>81780865</v>
      </c>
      <c r="F1933" s="9" t="s">
        <v>5276</v>
      </c>
      <c r="G1933" s="9" t="s">
        <v>5277</v>
      </c>
      <c r="H1933" s="9" t="s">
        <v>5278</v>
      </c>
      <c r="I1933" s="10">
        <v>45601</v>
      </c>
    </row>
    <row r="1934" spans="1:9" x14ac:dyDescent="0.15">
      <c r="A1934" s="9">
        <v>1933</v>
      </c>
      <c r="B1934" s="9" t="s">
        <v>9</v>
      </c>
      <c r="C1934" s="9">
        <v>1920</v>
      </c>
      <c r="D1934" s="10">
        <v>45677</v>
      </c>
      <c r="E1934" s="13" t="str">
        <f>+HYPERLINK("http://trademark.i-assist.jp/data/china/image_1920th/81781071.pdf","81781071")</f>
        <v>81781071</v>
      </c>
      <c r="F1934" s="9" t="s">
        <v>5279</v>
      </c>
      <c r="G1934" s="9" t="s">
        <v>5280</v>
      </c>
      <c r="H1934" s="9" t="s">
        <v>5281</v>
      </c>
      <c r="I1934" s="10">
        <v>45600</v>
      </c>
    </row>
    <row r="1935" spans="1:9" x14ac:dyDescent="0.15">
      <c r="A1935" s="9">
        <v>1934</v>
      </c>
      <c r="B1935" s="9" t="s">
        <v>9</v>
      </c>
      <c r="C1935" s="9">
        <v>1920</v>
      </c>
      <c r="D1935" s="10">
        <v>45677</v>
      </c>
      <c r="E1935" s="13" t="str">
        <f>+HYPERLINK("http://trademark.i-assist.jp/data/china/image_1920th/81781102.pdf","81781102")</f>
        <v>81781102</v>
      </c>
      <c r="F1935" s="9" t="s">
        <v>5282</v>
      </c>
      <c r="G1935" s="9" t="s">
        <v>5283</v>
      </c>
      <c r="H1935" s="9" t="s">
        <v>5284</v>
      </c>
      <c r="I1935" s="10">
        <v>45600</v>
      </c>
    </row>
    <row r="1936" spans="1:9" x14ac:dyDescent="0.15">
      <c r="A1936" s="9">
        <v>1935</v>
      </c>
      <c r="B1936" s="9" t="s">
        <v>9</v>
      </c>
      <c r="C1936" s="9">
        <v>1920</v>
      </c>
      <c r="D1936" s="10">
        <v>45677</v>
      </c>
      <c r="E1936" s="13" t="str">
        <f>+HYPERLINK("http://trademark.i-assist.jp/data/china/image_1920th/81781468.pdf","81781468")</f>
        <v>81781468</v>
      </c>
      <c r="F1936" s="9" t="s">
        <v>5285</v>
      </c>
      <c r="G1936" s="9" t="s">
        <v>5286</v>
      </c>
      <c r="H1936" s="9" t="s">
        <v>5287</v>
      </c>
      <c r="I1936" s="10">
        <v>45600</v>
      </c>
    </row>
    <row r="1937" spans="1:9" x14ac:dyDescent="0.15">
      <c r="A1937" s="9">
        <v>1936</v>
      </c>
      <c r="B1937" s="9" t="s">
        <v>9</v>
      </c>
      <c r="C1937" s="9">
        <v>1920</v>
      </c>
      <c r="D1937" s="10">
        <v>45677</v>
      </c>
      <c r="E1937" s="13" t="str">
        <f>+HYPERLINK("http://trademark.i-assist.jp/data/china/image_1920th/81781633.pdf","81781633")</f>
        <v>81781633</v>
      </c>
      <c r="F1937" s="9" t="s">
        <v>5288</v>
      </c>
      <c r="G1937" s="9" t="s">
        <v>5289</v>
      </c>
      <c r="H1937" s="9" t="s">
        <v>5290</v>
      </c>
      <c r="I1937" s="10">
        <v>45600</v>
      </c>
    </row>
    <row r="1938" spans="1:9" x14ac:dyDescent="0.15">
      <c r="A1938" s="9">
        <v>1937</v>
      </c>
      <c r="B1938" s="9" t="s">
        <v>9</v>
      </c>
      <c r="C1938" s="9">
        <v>1920</v>
      </c>
      <c r="D1938" s="10">
        <v>45677</v>
      </c>
      <c r="E1938" s="13" t="str">
        <f>+HYPERLINK("http://trademark.i-assist.jp/data/china/image_1920th/81782554.pdf","81782554")</f>
        <v>81782554</v>
      </c>
      <c r="F1938" s="9" t="s">
        <v>5291</v>
      </c>
      <c r="G1938" s="9" t="s">
        <v>149</v>
      </c>
      <c r="H1938" s="9" t="s">
        <v>5292</v>
      </c>
      <c r="I1938" s="10">
        <v>45600</v>
      </c>
    </row>
    <row r="1939" spans="1:9" x14ac:dyDescent="0.15">
      <c r="A1939" s="9">
        <v>1938</v>
      </c>
      <c r="B1939" s="9" t="s">
        <v>9</v>
      </c>
      <c r="C1939" s="9">
        <v>1920</v>
      </c>
      <c r="D1939" s="10">
        <v>45677</v>
      </c>
      <c r="E1939" s="13" t="str">
        <f>+HYPERLINK("http://trademark.i-assist.jp/data/china/image_1920th/81782559.pdf","81782559")</f>
        <v>81782559</v>
      </c>
      <c r="F1939" s="9" t="s">
        <v>5293</v>
      </c>
      <c r="G1939" s="9" t="s">
        <v>149</v>
      </c>
      <c r="H1939" s="9" t="s">
        <v>5294</v>
      </c>
      <c r="I1939" s="10">
        <v>45600</v>
      </c>
    </row>
    <row r="1940" spans="1:9" x14ac:dyDescent="0.15">
      <c r="A1940" s="9">
        <v>1939</v>
      </c>
      <c r="B1940" s="9" t="s">
        <v>9</v>
      </c>
      <c r="C1940" s="9">
        <v>1920</v>
      </c>
      <c r="D1940" s="10">
        <v>45677</v>
      </c>
      <c r="E1940" s="13" t="str">
        <f>+HYPERLINK("http://trademark.i-assist.jp/data/china/image_1920th/81782632.pdf","81782632")</f>
        <v>81782632</v>
      </c>
      <c r="F1940" s="9" t="s">
        <v>5295</v>
      </c>
      <c r="G1940" s="12" t="s">
        <v>5296</v>
      </c>
      <c r="H1940" s="9" t="s">
        <v>5297</v>
      </c>
      <c r="I1940" s="10">
        <v>45600</v>
      </c>
    </row>
    <row r="1941" spans="1:9" x14ac:dyDescent="0.15">
      <c r="A1941" s="9">
        <v>1940</v>
      </c>
      <c r="B1941" s="9" t="s">
        <v>9</v>
      </c>
      <c r="C1941" s="9">
        <v>1920</v>
      </c>
      <c r="D1941" s="10">
        <v>45677</v>
      </c>
      <c r="E1941" s="13" t="str">
        <f>+HYPERLINK("http://trademark.i-assist.jp/data/china/image_1920th/81783992.pdf","81783992")</f>
        <v>81783992</v>
      </c>
      <c r="F1941" s="9" t="s">
        <v>5298</v>
      </c>
      <c r="G1941" s="9" t="s">
        <v>5299</v>
      </c>
      <c r="H1941" s="9" t="s">
        <v>5300</v>
      </c>
      <c r="I1941" s="10">
        <v>45600</v>
      </c>
    </row>
    <row r="1942" spans="1:9" x14ac:dyDescent="0.15">
      <c r="A1942" s="9">
        <v>1941</v>
      </c>
      <c r="B1942" s="9" t="s">
        <v>9</v>
      </c>
      <c r="C1942" s="9">
        <v>1920</v>
      </c>
      <c r="D1942" s="10">
        <v>45677</v>
      </c>
      <c r="E1942" s="13" t="str">
        <f>+HYPERLINK("http://trademark.i-assist.jp/data/china/image_1920th/81784136.pdf","81784136")</f>
        <v>81784136</v>
      </c>
      <c r="F1942" s="12" t="s">
        <v>5301</v>
      </c>
      <c r="G1942" s="9" t="s">
        <v>5153</v>
      </c>
      <c r="H1942" s="9" t="s">
        <v>5302</v>
      </c>
      <c r="I1942" s="10">
        <v>45600</v>
      </c>
    </row>
    <row r="1943" spans="1:9" x14ac:dyDescent="0.15">
      <c r="A1943" s="9">
        <v>1942</v>
      </c>
      <c r="B1943" s="9" t="s">
        <v>9</v>
      </c>
      <c r="C1943" s="9">
        <v>1920</v>
      </c>
      <c r="D1943" s="10">
        <v>45677</v>
      </c>
      <c r="E1943" s="13" t="str">
        <f>+HYPERLINK("http://trademark.i-assist.jp/data/china/image_1920th/81784264.pdf","81784264")</f>
        <v>81784264</v>
      </c>
      <c r="F1943" s="9" t="s">
        <v>5303</v>
      </c>
      <c r="G1943" s="9" t="s">
        <v>5304</v>
      </c>
      <c r="H1943" s="9" t="s">
        <v>5305</v>
      </c>
      <c r="I1943" s="10">
        <v>45600</v>
      </c>
    </row>
    <row r="1944" spans="1:9" x14ac:dyDescent="0.15">
      <c r="A1944" s="9">
        <v>1943</v>
      </c>
      <c r="B1944" s="9" t="s">
        <v>9</v>
      </c>
      <c r="C1944" s="9">
        <v>1920</v>
      </c>
      <c r="D1944" s="10">
        <v>45677</v>
      </c>
      <c r="E1944" s="13" t="str">
        <f>+HYPERLINK("http://trademark.i-assist.jp/data/china/image_1920th/81784577.pdf","81784577")</f>
        <v>81784577</v>
      </c>
      <c r="F1944" s="9" t="s">
        <v>5306</v>
      </c>
      <c r="G1944" s="9" t="s">
        <v>5307</v>
      </c>
      <c r="H1944" s="9" t="s">
        <v>5308</v>
      </c>
      <c r="I1944" s="10">
        <v>45600</v>
      </c>
    </row>
    <row r="1945" spans="1:9" x14ac:dyDescent="0.15">
      <c r="A1945" s="9">
        <v>1944</v>
      </c>
      <c r="B1945" s="9" t="s">
        <v>9</v>
      </c>
      <c r="C1945" s="9">
        <v>1920</v>
      </c>
      <c r="D1945" s="10">
        <v>45677</v>
      </c>
      <c r="E1945" s="13" t="str">
        <f>+HYPERLINK("http://trademark.i-assist.jp/data/china/image_1920th/81784914.pdf","81784914")</f>
        <v>81784914</v>
      </c>
      <c r="F1945" s="12" t="s">
        <v>5309</v>
      </c>
      <c r="G1945" s="12" t="s">
        <v>5310</v>
      </c>
      <c r="H1945" s="9" t="s">
        <v>5311</v>
      </c>
      <c r="I1945" s="10">
        <v>45601</v>
      </c>
    </row>
    <row r="1946" spans="1:9" x14ac:dyDescent="0.15">
      <c r="A1946" s="9">
        <v>1945</v>
      </c>
      <c r="B1946" s="9" t="s">
        <v>9</v>
      </c>
      <c r="C1946" s="9">
        <v>1920</v>
      </c>
      <c r="D1946" s="10">
        <v>45677</v>
      </c>
      <c r="E1946" s="13" t="str">
        <f>+HYPERLINK("http://trademark.i-assist.jp/data/china/image_1920th/81785297.pdf","81785297")</f>
        <v>81785297</v>
      </c>
      <c r="F1946" s="9" t="s">
        <v>5312</v>
      </c>
      <c r="G1946" s="9" t="s">
        <v>5313</v>
      </c>
      <c r="H1946" s="9" t="s">
        <v>5314</v>
      </c>
      <c r="I1946" s="10">
        <v>45600</v>
      </c>
    </row>
    <row r="1947" spans="1:9" x14ac:dyDescent="0.15">
      <c r="A1947" s="9">
        <v>1946</v>
      </c>
      <c r="B1947" s="9" t="s">
        <v>9</v>
      </c>
      <c r="C1947" s="9">
        <v>1920</v>
      </c>
      <c r="D1947" s="10">
        <v>45677</v>
      </c>
      <c r="E1947" s="13" t="str">
        <f>+HYPERLINK("http://trademark.i-assist.jp/data/china/image_1920th/81786351.pdf","81786351")</f>
        <v>81786351</v>
      </c>
      <c r="F1947" s="9" t="s">
        <v>5315</v>
      </c>
      <c r="G1947" s="9" t="s">
        <v>5316</v>
      </c>
      <c r="H1947" s="9" t="s">
        <v>5317</v>
      </c>
      <c r="I1947" s="10">
        <v>45600</v>
      </c>
    </row>
    <row r="1948" spans="1:9" x14ac:dyDescent="0.15">
      <c r="A1948" s="9">
        <v>1947</v>
      </c>
      <c r="B1948" s="9" t="s">
        <v>9</v>
      </c>
      <c r="C1948" s="9">
        <v>1920</v>
      </c>
      <c r="D1948" s="10">
        <v>45677</v>
      </c>
      <c r="E1948" s="13" t="str">
        <f>+HYPERLINK("http://trademark.i-assist.jp/data/china/image_1920th/81786571.pdf","81786571")</f>
        <v>81786571</v>
      </c>
      <c r="F1948" s="9" t="s">
        <v>5318</v>
      </c>
      <c r="G1948" s="9" t="s">
        <v>5319</v>
      </c>
      <c r="H1948" s="9" t="s">
        <v>5320</v>
      </c>
      <c r="I1948" s="10">
        <v>45600</v>
      </c>
    </row>
    <row r="1949" spans="1:9" x14ac:dyDescent="0.15">
      <c r="A1949" s="9">
        <v>1948</v>
      </c>
      <c r="B1949" s="9" t="s">
        <v>9</v>
      </c>
      <c r="C1949" s="9">
        <v>1920</v>
      </c>
      <c r="D1949" s="10">
        <v>45677</v>
      </c>
      <c r="E1949" s="13" t="str">
        <f>+HYPERLINK("http://trademark.i-assist.jp/data/china/image_1920th/81786723.pdf","81786723")</f>
        <v>81786723</v>
      </c>
      <c r="F1949" s="9" t="s">
        <v>5321</v>
      </c>
      <c r="G1949" s="9" t="s">
        <v>5322</v>
      </c>
      <c r="H1949" s="9" t="s">
        <v>5323</v>
      </c>
      <c r="I1949" s="10">
        <v>45600</v>
      </c>
    </row>
    <row r="1950" spans="1:9" x14ac:dyDescent="0.15">
      <c r="A1950" s="9">
        <v>1949</v>
      </c>
      <c r="B1950" s="9" t="s">
        <v>9</v>
      </c>
      <c r="C1950" s="9">
        <v>1920</v>
      </c>
      <c r="D1950" s="10">
        <v>45677</v>
      </c>
      <c r="E1950" s="13" t="str">
        <f>+HYPERLINK("http://trademark.i-assist.jp/data/china/image_1920th/81787440.pdf","81787440")</f>
        <v>81787440</v>
      </c>
      <c r="F1950" s="12" t="s">
        <v>12</v>
      </c>
      <c r="G1950" s="9" t="s">
        <v>5324</v>
      </c>
      <c r="H1950" s="9" t="s">
        <v>5325</v>
      </c>
      <c r="I1950" s="10">
        <v>45600</v>
      </c>
    </row>
    <row r="1951" spans="1:9" x14ac:dyDescent="0.15">
      <c r="A1951" s="9">
        <v>1950</v>
      </c>
      <c r="B1951" s="9" t="s">
        <v>9</v>
      </c>
      <c r="C1951" s="9">
        <v>1920</v>
      </c>
      <c r="D1951" s="10">
        <v>45677</v>
      </c>
      <c r="E1951" s="13" t="str">
        <f>+HYPERLINK("http://trademark.i-assist.jp/data/china/image_1920th/81787546.pdf","81787546")</f>
        <v>81787546</v>
      </c>
      <c r="F1951" s="12" t="s">
        <v>5326</v>
      </c>
      <c r="G1951" s="9" t="s">
        <v>5327</v>
      </c>
      <c r="H1951" s="9" t="s">
        <v>5328</v>
      </c>
      <c r="I1951" s="10">
        <v>45600</v>
      </c>
    </row>
    <row r="1952" spans="1:9" x14ac:dyDescent="0.15">
      <c r="A1952" s="9">
        <v>1951</v>
      </c>
      <c r="B1952" s="9" t="s">
        <v>9</v>
      </c>
      <c r="C1952" s="9">
        <v>1920</v>
      </c>
      <c r="D1952" s="10">
        <v>45677</v>
      </c>
      <c r="E1952" s="13" t="str">
        <f>+HYPERLINK("http://trademark.i-assist.jp/data/china/image_1920th/81787552.pdf","81787552")</f>
        <v>81787552</v>
      </c>
      <c r="F1952" s="9" t="s">
        <v>5329</v>
      </c>
      <c r="G1952" s="9" t="s">
        <v>5330</v>
      </c>
      <c r="H1952" s="9" t="s">
        <v>5331</v>
      </c>
      <c r="I1952" s="10">
        <v>45600</v>
      </c>
    </row>
    <row r="1953" spans="1:9" x14ac:dyDescent="0.15">
      <c r="A1953" s="9">
        <v>1952</v>
      </c>
      <c r="B1953" s="9" t="s">
        <v>9</v>
      </c>
      <c r="C1953" s="9">
        <v>1920</v>
      </c>
      <c r="D1953" s="10">
        <v>45677</v>
      </c>
      <c r="E1953" s="13" t="str">
        <f>+HYPERLINK("http://trademark.i-assist.jp/data/china/image_1920th/81787923.pdf","81787923")</f>
        <v>81787923</v>
      </c>
      <c r="F1953" s="9" t="s">
        <v>5332</v>
      </c>
      <c r="G1953" s="12" t="s">
        <v>5333</v>
      </c>
      <c r="H1953" s="9" t="s">
        <v>5334</v>
      </c>
      <c r="I1953" s="10">
        <v>45600</v>
      </c>
    </row>
    <row r="1954" spans="1:9" x14ac:dyDescent="0.15">
      <c r="A1954" s="9">
        <v>1953</v>
      </c>
      <c r="B1954" s="9" t="s">
        <v>9</v>
      </c>
      <c r="C1954" s="9">
        <v>1920</v>
      </c>
      <c r="D1954" s="10">
        <v>45677</v>
      </c>
      <c r="E1954" s="13" t="str">
        <f>+HYPERLINK("http://trademark.i-assist.jp/data/china/image_1920th/81788395.pdf","81788395")</f>
        <v>81788395</v>
      </c>
      <c r="F1954" s="12" t="s">
        <v>5335</v>
      </c>
      <c r="G1954" s="9" t="s">
        <v>5336</v>
      </c>
      <c r="H1954" s="9" t="s">
        <v>5337</v>
      </c>
      <c r="I1954" s="10">
        <v>45600</v>
      </c>
    </row>
    <row r="1955" spans="1:9" x14ac:dyDescent="0.15">
      <c r="A1955" s="9">
        <v>1954</v>
      </c>
      <c r="B1955" s="9" t="s">
        <v>9</v>
      </c>
      <c r="C1955" s="9">
        <v>1920</v>
      </c>
      <c r="D1955" s="10">
        <v>45677</v>
      </c>
      <c r="E1955" s="13" t="str">
        <f>+HYPERLINK("http://trademark.i-assist.jp/data/china/image_1920th/81788916.pdf","81788916")</f>
        <v>81788916</v>
      </c>
      <c r="F1955" s="12" t="s">
        <v>12</v>
      </c>
      <c r="G1955" s="9" t="s">
        <v>5338</v>
      </c>
      <c r="H1955" s="9" t="s">
        <v>5339</v>
      </c>
      <c r="I1955" s="10">
        <v>45600</v>
      </c>
    </row>
    <row r="1956" spans="1:9" x14ac:dyDescent="0.15">
      <c r="A1956" s="9">
        <v>1955</v>
      </c>
      <c r="B1956" s="9" t="s">
        <v>9</v>
      </c>
      <c r="C1956" s="9">
        <v>1920</v>
      </c>
      <c r="D1956" s="10">
        <v>45677</v>
      </c>
      <c r="E1956" s="13" t="str">
        <f>+HYPERLINK("http://trademark.i-assist.jp/data/china/image_1920th/81789513.pdf","81789513")</f>
        <v>81789513</v>
      </c>
      <c r="F1956" s="9" t="s">
        <v>5340</v>
      </c>
      <c r="G1956" s="9" t="s">
        <v>5341</v>
      </c>
      <c r="H1956" s="9" t="s">
        <v>5342</v>
      </c>
      <c r="I1956" s="10">
        <v>45600</v>
      </c>
    </row>
    <row r="1957" spans="1:9" x14ac:dyDescent="0.15">
      <c r="A1957" s="9">
        <v>1956</v>
      </c>
      <c r="B1957" s="9" t="s">
        <v>9</v>
      </c>
      <c r="C1957" s="9">
        <v>1920</v>
      </c>
      <c r="D1957" s="10">
        <v>45677</v>
      </c>
      <c r="E1957" s="13" t="str">
        <f>+HYPERLINK("http://trademark.i-assist.jp/data/china/image_1920th/81789814.pdf","81789814")</f>
        <v>81789814</v>
      </c>
      <c r="F1957" s="12" t="s">
        <v>5343</v>
      </c>
      <c r="G1957" s="9" t="s">
        <v>5150</v>
      </c>
      <c r="H1957" s="9" t="s">
        <v>5344</v>
      </c>
      <c r="I1957" s="10">
        <v>45600</v>
      </c>
    </row>
    <row r="1958" spans="1:9" x14ac:dyDescent="0.15">
      <c r="A1958" s="9">
        <v>1957</v>
      </c>
      <c r="B1958" s="9" t="s">
        <v>9</v>
      </c>
      <c r="C1958" s="9">
        <v>1920</v>
      </c>
      <c r="D1958" s="10">
        <v>45677</v>
      </c>
      <c r="E1958" s="13" t="str">
        <f>+HYPERLINK("http://trademark.i-assist.jp/data/china/image_1920th/81790892.pdf","81790892")</f>
        <v>81790892</v>
      </c>
      <c r="F1958" s="9" t="s">
        <v>5345</v>
      </c>
      <c r="G1958" s="9" t="s">
        <v>5316</v>
      </c>
      <c r="H1958" s="9" t="s">
        <v>5346</v>
      </c>
      <c r="I1958" s="10">
        <v>45600</v>
      </c>
    </row>
    <row r="1959" spans="1:9" x14ac:dyDescent="0.15">
      <c r="A1959" s="9">
        <v>1958</v>
      </c>
      <c r="B1959" s="9" t="s">
        <v>9</v>
      </c>
      <c r="C1959" s="9">
        <v>1920</v>
      </c>
      <c r="D1959" s="10">
        <v>45677</v>
      </c>
      <c r="E1959" s="13" t="str">
        <f>+HYPERLINK("http://trademark.i-assist.jp/data/china/image_1920th/81791406.pdf","81791406")</f>
        <v>81791406</v>
      </c>
      <c r="F1959" s="9" t="s">
        <v>5347</v>
      </c>
      <c r="G1959" s="9" t="s">
        <v>5137</v>
      </c>
      <c r="H1959" s="9" t="s">
        <v>5348</v>
      </c>
      <c r="I1959" s="10">
        <v>45600</v>
      </c>
    </row>
    <row r="1960" spans="1:9" x14ac:dyDescent="0.15">
      <c r="A1960" s="9">
        <v>1959</v>
      </c>
      <c r="B1960" s="9" t="s">
        <v>9</v>
      </c>
      <c r="C1960" s="9">
        <v>1920</v>
      </c>
      <c r="D1960" s="10">
        <v>45677</v>
      </c>
      <c r="E1960" s="13" t="str">
        <f>+HYPERLINK("http://trademark.i-assist.jp/data/china/image_1920th/81799788.pdf","81799788")</f>
        <v>81799788</v>
      </c>
      <c r="F1960" s="9" t="s">
        <v>5349</v>
      </c>
      <c r="G1960" s="9" t="s">
        <v>5350</v>
      </c>
      <c r="H1960" s="9" t="s">
        <v>5351</v>
      </c>
      <c r="I1960" s="10">
        <v>45602</v>
      </c>
    </row>
    <row r="1961" spans="1:9" x14ac:dyDescent="0.15">
      <c r="A1961" s="9">
        <v>1960</v>
      </c>
      <c r="B1961" s="9" t="s">
        <v>9</v>
      </c>
      <c r="C1961" s="9">
        <v>1920</v>
      </c>
      <c r="D1961" s="10">
        <v>45677</v>
      </c>
      <c r="E1961" s="13" t="str">
        <f>+HYPERLINK("http://trademark.i-assist.jp/data/china/image_1920th/81805135.pdf","81805135")</f>
        <v>81805135</v>
      </c>
      <c r="F1961" s="9" t="s">
        <v>5352</v>
      </c>
      <c r="G1961" s="9" t="s">
        <v>5350</v>
      </c>
      <c r="H1961" s="9" t="s">
        <v>5353</v>
      </c>
      <c r="I1961" s="10">
        <v>45602</v>
      </c>
    </row>
    <row r="1962" spans="1:9" x14ac:dyDescent="0.15">
      <c r="A1962" s="9">
        <v>1961</v>
      </c>
      <c r="B1962" s="9" t="s">
        <v>9</v>
      </c>
      <c r="C1962" s="9">
        <v>1920</v>
      </c>
      <c r="D1962" s="10">
        <v>45677</v>
      </c>
      <c r="E1962" s="13" t="str">
        <f>+HYPERLINK("http://trademark.i-assist.jp/data/china/image_1920th/81817562.pdf","81817562")</f>
        <v>81817562</v>
      </c>
      <c r="F1962" s="9" t="s">
        <v>5354</v>
      </c>
      <c r="G1962" s="9" t="s">
        <v>5355</v>
      </c>
      <c r="H1962" s="9" t="s">
        <v>5356</v>
      </c>
      <c r="I1962" s="10">
        <v>45603</v>
      </c>
    </row>
  </sheetData>
  <autoFilter ref="A1:I1" xr:uid="{3B0FB343-47C0-4CE0-8FAB-E7608847F386}"/>
  <phoneticPr fontId="2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1920th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IA-99</cp:lastModifiedBy>
  <dcterms:created xsi:type="dcterms:W3CDTF">2018-08-31T07:51:48Z</dcterms:created>
  <dcterms:modified xsi:type="dcterms:W3CDTF">2025-03-25T06:53:52Z</dcterms:modified>
</cp:coreProperties>
</file>