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IA-99\Desktop\1918\"/>
    </mc:Choice>
  </mc:AlternateContent>
  <xr:revisionPtr revIDLastSave="0" documentId="13_ncr:1_{9923E701-3E68-4842-97CF-E1A94B18C6FC}" xr6:coauthVersionLast="47" xr6:coauthVersionMax="47" xr10:uidLastSave="{00000000-0000-0000-0000-000000000000}"/>
  <bookViews>
    <workbookView xWindow="1005" yWindow="1830" windowWidth="24165" windowHeight="13230" xr2:uid="{00000000-000D-0000-FFFF-FFFF00000000}"/>
  </bookViews>
  <sheets>
    <sheet name="1918th" sheetId="2" r:id="rId1"/>
  </sheets>
  <definedNames>
    <definedName name="_xlnm._FilterDatabase" localSheetId="0" hidden="1">'1918th'!$A$1:$I$1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02" i="2" l="1"/>
  <c r="E1501" i="2"/>
  <c r="E1500" i="2"/>
  <c r="E1499" i="2"/>
  <c r="E1498" i="2"/>
  <c r="E1497" i="2"/>
  <c r="E1496" i="2"/>
  <c r="E1495" i="2"/>
  <c r="E1494" i="2"/>
  <c r="E1493" i="2"/>
  <c r="E1492" i="2"/>
  <c r="E1491" i="2"/>
  <c r="E1490" i="2"/>
  <c r="E1489" i="2"/>
  <c r="E1488" i="2"/>
  <c r="E1487" i="2"/>
  <c r="E1486" i="2"/>
  <c r="E1485" i="2"/>
  <c r="E1484" i="2"/>
  <c r="E1483" i="2"/>
  <c r="E1482" i="2"/>
  <c r="E1481" i="2"/>
  <c r="E1480" i="2"/>
  <c r="E1479" i="2"/>
  <c r="E1478" i="2"/>
  <c r="E1477" i="2"/>
  <c r="E1476" i="2"/>
  <c r="E1475" i="2"/>
  <c r="E1474" i="2"/>
  <c r="E1473" i="2"/>
  <c r="E1472" i="2"/>
  <c r="E1471" i="2"/>
  <c r="E1470" i="2"/>
  <c r="E1469" i="2"/>
  <c r="E1468" i="2"/>
  <c r="E1467" i="2"/>
  <c r="E1466" i="2"/>
  <c r="E1465" i="2"/>
  <c r="E1464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4" i="2"/>
  <c r="E1423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97" i="2"/>
  <c r="E1396" i="2"/>
  <c r="E1395" i="2"/>
  <c r="E1394" i="2"/>
  <c r="E1393" i="2"/>
  <c r="E1392" i="2"/>
  <c r="E1391" i="2"/>
  <c r="E1390" i="2"/>
  <c r="E1389" i="2"/>
  <c r="E1388" i="2"/>
  <c r="E1387" i="2"/>
  <c r="E1386" i="2"/>
  <c r="E1385" i="2"/>
  <c r="E1384" i="2"/>
  <c r="E1383" i="2"/>
  <c r="E1382" i="2"/>
  <c r="E1381" i="2"/>
  <c r="E1380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6" i="2"/>
  <c r="E1355" i="2"/>
  <c r="E1354" i="2"/>
  <c r="E1353" i="2"/>
  <c r="E1352" i="2"/>
  <c r="E1351" i="2"/>
  <c r="E1350" i="2"/>
  <c r="E1349" i="2"/>
  <c r="E1348" i="2"/>
  <c r="E1347" i="2"/>
  <c r="E1346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30" i="2"/>
  <c r="E1329" i="2"/>
  <c r="E1328" i="2"/>
  <c r="E1327" i="2"/>
  <c r="E1326" i="2"/>
  <c r="E1325" i="2"/>
  <c r="E1324" i="2"/>
  <c r="E1323" i="2"/>
  <c r="E1322" i="2"/>
  <c r="E1321" i="2"/>
  <c r="E1320" i="2"/>
  <c r="E1319" i="2"/>
  <c r="E1318" i="2"/>
  <c r="E1317" i="2"/>
  <c r="E1316" i="2"/>
  <c r="E1315" i="2"/>
  <c r="E1314" i="2"/>
  <c r="E1313" i="2"/>
  <c r="E1312" i="2"/>
  <c r="E1311" i="2"/>
  <c r="E1310" i="2"/>
  <c r="E1309" i="2"/>
  <c r="E1308" i="2"/>
  <c r="E1307" i="2"/>
  <c r="E1306" i="2"/>
  <c r="E1305" i="2"/>
  <c r="E1304" i="2"/>
  <c r="E1303" i="2"/>
  <c r="E1302" i="2"/>
  <c r="E1301" i="2"/>
  <c r="E1300" i="2"/>
  <c r="E1299" i="2"/>
  <c r="E1298" i="2"/>
  <c r="E1297" i="2"/>
  <c r="E1296" i="2"/>
  <c r="E1295" i="2"/>
  <c r="E1294" i="2"/>
  <c r="E1293" i="2"/>
  <c r="E1292" i="2"/>
  <c r="E1291" i="2"/>
  <c r="E1290" i="2"/>
  <c r="E1289" i="2"/>
  <c r="E1288" i="2"/>
  <c r="E1287" i="2"/>
  <c r="E1286" i="2"/>
  <c r="E1285" i="2"/>
  <c r="E1284" i="2"/>
  <c r="E1283" i="2"/>
  <c r="E1282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9" i="2"/>
  <c r="E1268" i="2"/>
  <c r="E1267" i="2"/>
  <c r="E1266" i="2"/>
  <c r="E1265" i="2"/>
  <c r="E1264" i="2"/>
  <c r="E1263" i="2"/>
  <c r="E1262" i="2"/>
  <c r="E1261" i="2"/>
  <c r="E1260" i="2"/>
  <c r="E1259" i="2"/>
  <c r="E1258" i="2"/>
  <c r="E1257" i="2"/>
  <c r="E1256" i="2"/>
  <c r="E1255" i="2"/>
  <c r="E1254" i="2"/>
  <c r="E1253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9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4" i="2"/>
  <c r="E1203" i="2"/>
  <c r="E1202" i="2"/>
  <c r="E1201" i="2"/>
  <c r="E1200" i="2"/>
  <c r="E1199" i="2"/>
  <c r="E1198" i="2"/>
  <c r="E1197" i="2"/>
  <c r="E1196" i="2"/>
  <c r="E1195" i="2"/>
  <c r="E1194" i="2"/>
  <c r="E1193" i="2"/>
  <c r="E1192" i="2"/>
  <c r="E1191" i="2"/>
  <c r="E1190" i="2"/>
  <c r="E1189" i="2"/>
  <c r="E1188" i="2"/>
  <c r="E1187" i="2"/>
  <c r="E1186" i="2"/>
  <c r="E1185" i="2"/>
  <c r="E1184" i="2"/>
  <c r="E1183" i="2"/>
  <c r="E1182" i="2"/>
  <c r="E1181" i="2"/>
  <c r="E1180" i="2"/>
  <c r="E1179" i="2"/>
  <c r="E1178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5" i="2"/>
  <c r="E1154" i="2"/>
  <c r="E1153" i="2"/>
  <c r="E1152" i="2"/>
  <c r="E1151" i="2"/>
  <c r="E1150" i="2"/>
  <c r="E1149" i="2"/>
  <c r="E1148" i="2"/>
  <c r="E1147" i="2"/>
  <c r="E1146" i="2"/>
  <c r="E1145" i="2"/>
  <c r="E1144" i="2"/>
  <c r="E1143" i="2"/>
  <c r="E1142" i="2"/>
  <c r="E1141" i="2"/>
  <c r="E1140" i="2"/>
  <c r="E1139" i="2"/>
  <c r="E1138" i="2"/>
  <c r="E1137" i="2"/>
  <c r="E1136" i="2"/>
  <c r="E1135" i="2"/>
  <c r="E1134" i="2"/>
  <c r="E1133" i="2"/>
  <c r="E1132" i="2"/>
  <c r="E1131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5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70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6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5" i="2"/>
  <c r="E904" i="2"/>
  <c r="E903" i="2"/>
  <c r="E902" i="2"/>
  <c r="E901" i="2"/>
  <c r="E900" i="2"/>
  <c r="E899" i="2"/>
  <c r="E898" i="2"/>
  <c r="E897" i="2"/>
  <c r="E896" i="2"/>
  <c r="E895" i="2"/>
  <c r="E894" i="2"/>
  <c r="E893" i="2"/>
  <c r="E892" i="2"/>
  <c r="E891" i="2"/>
  <c r="E890" i="2"/>
  <c r="E889" i="2"/>
  <c r="E888" i="2"/>
  <c r="E887" i="2"/>
  <c r="E886" i="2"/>
  <c r="E885" i="2"/>
  <c r="E884" i="2"/>
  <c r="E883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8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6" i="2"/>
  <c r="E775" i="2"/>
  <c r="E774" i="2"/>
  <c r="E773" i="2"/>
  <c r="E772" i="2"/>
  <c r="E771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4" i="2"/>
  <c r="E623" i="2"/>
  <c r="E622" i="2"/>
  <c r="E621" i="2"/>
  <c r="E620" i="2"/>
  <c r="E619" i="2"/>
  <c r="E618" i="2"/>
  <c r="E617" i="2"/>
  <c r="E616" i="2"/>
  <c r="E615" i="2"/>
  <c r="E614" i="2"/>
  <c r="E613" i="2"/>
  <c r="E612" i="2"/>
  <c r="E611" i="2"/>
  <c r="E610" i="2"/>
  <c r="E609" i="2"/>
  <c r="E608" i="2"/>
  <c r="E607" i="2"/>
  <c r="E606" i="2"/>
  <c r="E605" i="2"/>
  <c r="E604" i="2"/>
  <c r="E603" i="2"/>
  <c r="E602" i="2"/>
  <c r="E601" i="2"/>
  <c r="E600" i="2"/>
  <c r="E599" i="2"/>
  <c r="E598" i="2"/>
  <c r="E597" i="2"/>
  <c r="E596" i="2"/>
  <c r="E595" i="2"/>
  <c r="E594" i="2"/>
  <c r="E593" i="2"/>
  <c r="E592" i="2"/>
  <c r="E591" i="2"/>
  <c r="E590" i="2"/>
  <c r="E589" i="2"/>
  <c r="E588" i="2"/>
  <c r="E587" i="2"/>
  <c r="E586" i="2"/>
  <c r="E585" i="2"/>
  <c r="E584" i="2"/>
  <c r="E583" i="2"/>
  <c r="E582" i="2"/>
  <c r="E581" i="2"/>
  <c r="E580" i="2"/>
  <c r="E579" i="2"/>
  <c r="E578" i="2"/>
  <c r="E577" i="2"/>
  <c r="E576" i="2"/>
  <c r="E575" i="2"/>
  <c r="E574" i="2"/>
  <c r="E573" i="2"/>
  <c r="E572" i="2"/>
  <c r="E571" i="2"/>
  <c r="E570" i="2"/>
  <c r="E569" i="2"/>
  <c r="E568" i="2"/>
  <c r="E567" i="2"/>
  <c r="E566" i="2"/>
  <c r="E565" i="2"/>
  <c r="E564" i="2"/>
  <c r="E563" i="2"/>
  <c r="E562" i="2"/>
  <c r="E561" i="2"/>
  <c r="E560" i="2"/>
  <c r="E559" i="2"/>
  <c r="E558" i="2"/>
  <c r="E557" i="2"/>
  <c r="E556" i="2"/>
  <c r="E555" i="2"/>
  <c r="E554" i="2"/>
  <c r="E553" i="2"/>
  <c r="E552" i="2"/>
  <c r="E551" i="2"/>
  <c r="E550" i="2"/>
  <c r="E549" i="2"/>
  <c r="E548" i="2"/>
  <c r="E547" i="2"/>
  <c r="E546" i="2"/>
  <c r="E545" i="2"/>
  <c r="E544" i="2"/>
  <c r="E543" i="2"/>
  <c r="E542" i="2"/>
  <c r="E541" i="2"/>
  <c r="E540" i="2"/>
  <c r="E539" i="2"/>
  <c r="E538" i="2"/>
  <c r="E537" i="2"/>
  <c r="E536" i="2"/>
  <c r="E535" i="2"/>
  <c r="E534" i="2"/>
  <c r="E533" i="2"/>
  <c r="E532" i="2"/>
  <c r="E531" i="2"/>
  <c r="E530" i="2"/>
  <c r="E529" i="2"/>
  <c r="E528" i="2"/>
  <c r="E527" i="2"/>
  <c r="E526" i="2"/>
  <c r="E525" i="2"/>
  <c r="E524" i="2"/>
  <c r="E523" i="2"/>
  <c r="E522" i="2"/>
  <c r="E521" i="2"/>
  <c r="E520" i="2"/>
  <c r="E519" i="2"/>
  <c r="E518" i="2"/>
  <c r="E517" i="2"/>
  <c r="E516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6" i="2"/>
  <c r="E485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8" i="2"/>
  <c r="E467" i="2"/>
  <c r="E466" i="2"/>
  <c r="E465" i="2"/>
  <c r="E464" i="2"/>
  <c r="E463" i="2"/>
  <c r="E462" i="2"/>
  <c r="E461" i="2"/>
  <c r="E460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41" i="2"/>
  <c r="E440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<sst xmlns="http://schemas.openxmlformats.org/spreadsheetml/2006/main" count="6013" uniqueCount="4087">
  <si>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</si>
  <si>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</si>
  <si>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</si>
  <si>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</si>
  <si>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</si>
  <si>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</si>
  <si>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</si>
  <si>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</si>
  <si>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</si>
  <si>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</si>
  <si>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葡萄酒</t>
  </si>
  <si>
    <t>白酒</t>
  </si>
  <si>
    <r>
      <t>图</t>
    </r>
    <r>
      <rPr>
        <sz val="11"/>
        <color theme="1"/>
        <rFont val="ＭＳ Ｐゴシック"/>
        <family val="3"/>
        <charset val="128"/>
        <scheme val="minor"/>
      </rPr>
      <t>形</t>
    </r>
  </si>
  <si>
    <r>
      <t>河南仰韶酒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</si>
  <si>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州董酒股份有限公司</t>
    </r>
  </si>
  <si>
    <r>
      <t>舍得酒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</si>
  <si>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景阳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</si>
  <si>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州老窖股份有限公司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</si>
  <si>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食品工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</si>
  <si>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t>吴昊</t>
  </si>
  <si>
    <r>
      <t>中国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州茅台酒厂（集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</si>
  <si>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t>张龙</t>
  </si>
  <si>
    <r>
      <t>保定醇源酒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</si>
  <si>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亳州中支酒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</si>
  <si>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金生</t>
    </r>
  </si>
  <si>
    <r>
      <t>环</t>
    </r>
    <r>
      <rPr>
        <sz val="11"/>
        <color theme="1"/>
        <rFont val="ＭＳ Ｐゴシック"/>
        <family val="3"/>
        <charset val="128"/>
        <scheme val="minor"/>
      </rPr>
      <t>球佳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</si>
  <si>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北京十方界酒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</si>
  <si>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吴超</t>
  </si>
  <si>
    <r>
      <t>茂名市体育</t>
    </r>
    <r>
      <rPr>
        <sz val="11"/>
        <color theme="1"/>
        <rFont val="ＭＳ Ｐゴシック"/>
        <family val="3"/>
        <charset val="134"/>
        <scheme val="minor"/>
      </rPr>
      <t>场馆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</si>
  <si>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t>果酒（含酒精）</t>
  </si>
  <si>
    <r>
      <t>内蒙古</t>
    </r>
    <r>
      <rPr>
        <sz val="11"/>
        <color theme="1"/>
        <rFont val="ＭＳ Ｐゴシック"/>
        <family val="3"/>
        <charset val="134"/>
        <scheme val="minor"/>
      </rPr>
      <t>乌</t>
    </r>
    <r>
      <rPr>
        <sz val="11"/>
        <color theme="1"/>
        <rFont val="ＭＳ Ｐゴシック"/>
        <family val="3"/>
        <charset val="128"/>
        <scheme val="minor"/>
      </rPr>
      <t>素</t>
    </r>
    <r>
      <rPr>
        <sz val="11"/>
        <color theme="1"/>
        <rFont val="ＭＳ Ｐゴシック"/>
        <family val="3"/>
        <charset val="134"/>
        <scheme val="minor"/>
      </rPr>
      <t>图</t>
    </r>
    <r>
      <rPr>
        <sz val="11"/>
        <color theme="1"/>
        <rFont val="ＭＳ Ｐゴシック"/>
        <family val="3"/>
        <charset val="128"/>
        <scheme val="minor"/>
      </rPr>
      <t>腰</t>
    </r>
    <r>
      <rPr>
        <sz val="11"/>
        <color theme="1"/>
        <rFont val="ＭＳ Ｐゴシック"/>
        <family val="3"/>
        <charset val="134"/>
        <scheme val="minor"/>
      </rPr>
      <t>窝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</si>
  <si>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雨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</si>
  <si>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杰浩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</si>
  <si>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天下酒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</si>
  <si>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何小娟</t>
  </si>
  <si>
    <t>京极</t>
  </si>
  <si>
    <r>
      <t>新</t>
    </r>
    <r>
      <rPr>
        <sz val="11"/>
        <color theme="1"/>
        <rFont val="ＭＳ Ｐゴシック"/>
        <family val="3"/>
        <charset val="134"/>
        <scheme val="minor"/>
      </rPr>
      <t>华桥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</si>
  <si>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星霖</t>
    </r>
  </si>
  <si>
    <t>卢莹</t>
  </si>
  <si>
    <r>
      <t>乔</t>
    </r>
    <r>
      <rPr>
        <sz val="11"/>
        <color theme="1"/>
        <rFont val="ＭＳ Ｐゴシック"/>
        <family val="3"/>
        <charset val="128"/>
        <scheme val="minor"/>
      </rPr>
      <t>玉文</t>
    </r>
  </si>
  <si>
    <r>
      <t>杰卡斯（深圳）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</si>
  <si>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t>杭州命运之旅科技有限公司</t>
  </si>
  <si>
    <r>
      <t>酒涌盛（山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</si>
  <si>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t>廖解英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</si>
  <si>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州鼎</t>
    </r>
    <r>
      <rPr>
        <sz val="11"/>
        <color theme="1"/>
        <rFont val="ＭＳ Ｐゴシック"/>
        <family val="3"/>
        <charset val="134"/>
        <scheme val="minor"/>
      </rPr>
      <t>颖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</si>
  <si>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t>曾阳洋</t>
  </si>
  <si>
    <r>
      <t>成都香城桂湖酒文化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</si>
  <si>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婷婷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</si>
  <si>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玉姝</t>
    </r>
  </si>
  <si>
    <r>
      <t>徐</t>
    </r>
    <r>
      <rPr>
        <sz val="11"/>
        <color theme="1"/>
        <rFont val="ＭＳ Ｐゴシック"/>
        <family val="3"/>
        <charset val="134"/>
        <scheme val="minor"/>
      </rPr>
      <t>显维</t>
    </r>
  </si>
  <si>
    <r>
      <t>四川省古川酒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</si>
  <si>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李素英</t>
  </si>
  <si>
    <r>
      <t>上海有</t>
    </r>
    <r>
      <rPr>
        <sz val="11"/>
        <color theme="1"/>
        <rFont val="ＭＳ Ｐゴシック"/>
        <family val="3"/>
        <charset val="134"/>
        <scheme val="minor"/>
      </rPr>
      <t>弹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</si>
  <si>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上海食</t>
    </r>
    <r>
      <rPr>
        <sz val="11"/>
        <color theme="1"/>
        <rFont val="ＭＳ Ｐゴシック"/>
        <family val="3"/>
        <charset val="134"/>
        <scheme val="minor"/>
      </rPr>
      <t>锦贸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</si>
  <si>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上海沪申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酒人酒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</si>
  <si>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李斌</t>
  </si>
  <si>
    <r>
      <t>云天行旅游（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</si>
  <si>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北京酒追誉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</si>
  <si>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井</t>
    </r>
    <r>
      <rPr>
        <sz val="11"/>
        <color theme="1"/>
        <rFont val="ＭＳ Ｐゴシック"/>
        <family val="3"/>
        <charset val="134"/>
        <scheme val="minor"/>
      </rPr>
      <t>焕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</si>
  <si>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>冉桄</t>
    </r>
    <r>
      <rPr>
        <sz val="11"/>
        <color theme="1"/>
        <rFont val="ＭＳ Ｐゴシック"/>
        <family val="3"/>
        <charset val="134"/>
        <scheme val="minor"/>
      </rPr>
      <t>铭</t>
    </r>
  </si>
  <si>
    <t>余波</t>
  </si>
  <si>
    <r>
      <t>北京</t>
    </r>
    <r>
      <rPr>
        <sz val="11"/>
        <color theme="1"/>
        <rFont val="ＭＳ Ｐゴシック"/>
        <family val="3"/>
        <charset val="129"/>
        <scheme val="minor"/>
      </rPr>
      <t>漷</t>
    </r>
    <r>
      <rPr>
        <sz val="11"/>
        <color theme="1"/>
        <rFont val="ＭＳ Ｐゴシック"/>
        <family val="3"/>
        <charset val="128"/>
        <scheme val="minor"/>
      </rPr>
      <t>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</si>
  <si>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D</t>
  </si>
  <si>
    <r>
      <t>喜力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酒厂有限公司</t>
    </r>
  </si>
  <si>
    <r>
      <t>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</si>
  <si>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兰</t>
    </r>
  </si>
  <si>
    <t>王彬</t>
  </si>
  <si>
    <r>
      <t>北京青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士其文化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</si>
  <si>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美</t>
    </r>
    <r>
      <rPr>
        <sz val="11"/>
        <color theme="1"/>
        <rFont val="ＭＳ Ｐゴシック"/>
        <family val="3"/>
        <charset val="134"/>
        <scheme val="minor"/>
      </rPr>
      <t>婵</t>
    </r>
  </si>
  <si>
    <t>宁波月湖文化研究院</t>
  </si>
  <si>
    <r>
      <t>何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成</t>
    </r>
  </si>
  <si>
    <t>王占昌</t>
  </si>
  <si>
    <r>
      <t>刘桂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</si>
  <si>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</si>
  <si>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酒之</t>
    </r>
    <r>
      <rPr>
        <sz val="11"/>
        <color theme="1"/>
        <rFont val="ＭＳ Ｐゴシック"/>
        <family val="3"/>
        <charset val="134"/>
        <scheme val="minor"/>
      </rPr>
      <t>酝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</si>
  <si>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t>中惠大健康有限公司</t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</si>
  <si>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</si>
  <si>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西秦洋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</si>
  <si>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上海沐</t>
    </r>
    <r>
      <rPr>
        <sz val="11"/>
        <color theme="1"/>
        <rFont val="ＭＳ Ｐゴシック"/>
        <family val="3"/>
        <charset val="134"/>
        <scheme val="minor"/>
      </rPr>
      <t>兑锜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</si>
  <si>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宋云峰</t>
  </si>
  <si>
    <r>
      <t>福州市台江区仙</t>
    </r>
    <r>
      <rPr>
        <sz val="11"/>
        <color theme="1"/>
        <rFont val="ＭＳ Ｐゴシック"/>
        <family val="3"/>
        <charset val="134"/>
        <scheme val="minor"/>
      </rPr>
      <t>缘门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商行（个体工商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</si>
  <si>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香液酒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</si>
  <si>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原小春</t>
  </si>
  <si>
    <r>
      <t>深圳市卧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社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</si>
  <si>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石姚庭</t>
  </si>
  <si>
    <r>
      <t>北海富宝商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</si>
  <si>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贾</t>
    </r>
    <r>
      <rPr>
        <sz val="11"/>
        <color theme="1"/>
        <rFont val="ＭＳ Ｐゴシック"/>
        <family val="3"/>
        <charset val="128"/>
        <scheme val="minor"/>
      </rPr>
      <t>彦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</si>
  <si>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安徽九五至尊酒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</si>
  <si>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巧枝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</si>
  <si>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现辉</t>
    </r>
  </si>
  <si>
    <r>
      <t>锡</t>
    </r>
    <r>
      <rPr>
        <sz val="11"/>
        <color theme="1"/>
        <rFont val="ＭＳ Ｐゴシック"/>
        <family val="3"/>
        <charset val="128"/>
        <scheme val="minor"/>
      </rPr>
      <t>山区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北塘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娜</t>
    </r>
    <r>
      <rPr>
        <sz val="11"/>
        <color theme="1"/>
        <rFont val="ＭＳ Ｐゴシック"/>
        <family val="3"/>
        <charset val="134"/>
        <scheme val="minor"/>
      </rPr>
      <t>农场</t>
    </r>
    <r>
      <rPr>
        <sz val="11"/>
        <color theme="1"/>
        <rFont val="ＭＳ Ｐゴシック"/>
        <family val="3"/>
        <charset val="128"/>
        <scheme val="minor"/>
      </rPr>
      <t>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</si>
  <si>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州匡家企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</si>
  <si>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寨</t>
    </r>
  </si>
  <si>
    <r>
      <t>北京高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雍振商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</si>
  <si>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白干酒（中国白酒）; 烈酒; 果酒; 威士忌; 葡萄酒; 清酒;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</si>
  <si>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TCHAIKOVSKY 柴可夫斯基</t>
  </si>
  <si>
    <t>最佳葡萄酒有限公司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</si>
  <si>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食用酒精; 白酒; 威士忌;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</si>
  <si>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BLUE BLOX</t>
  </si>
  <si>
    <t>王洪亮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</si>
  <si>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利口酒;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</t>
    </r>
  </si>
  <si>
    <r>
      <t>人民小酒</t>
    </r>
    <r>
      <rPr>
        <sz val="11"/>
        <color theme="1"/>
        <rFont val="ＭＳ Ｐゴシック"/>
        <family val="3"/>
        <charset val="134"/>
        <scheme val="minor"/>
      </rPr>
      <t>剑</t>
    </r>
    <r>
      <rPr>
        <sz val="11"/>
        <color theme="1"/>
        <rFont val="ＭＳ Ｐゴシック"/>
        <family val="3"/>
        <charset val="128"/>
        <scheme val="minor"/>
      </rPr>
      <t>来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</si>
  <si>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州岩博酒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</si>
  <si>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甜酒; 果酒（含酒精）;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葡萄酒; 高粱酒</t>
    </r>
  </si>
  <si>
    <r>
      <t>穆</t>
    </r>
    <r>
      <rPr>
        <sz val="11"/>
        <color theme="1"/>
        <rFont val="ＭＳ Ｐゴシック"/>
        <family val="3"/>
        <charset val="134"/>
        <scheme val="minor"/>
      </rPr>
      <t>坞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</si>
  <si>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溪市穆</t>
    </r>
    <r>
      <rPr>
        <sz val="11"/>
        <color theme="1"/>
        <rFont val="ＭＳ Ｐゴシック"/>
        <family val="3"/>
        <charset val="134"/>
        <scheme val="minor"/>
      </rPr>
      <t>坞</t>
    </r>
    <r>
      <rPr>
        <sz val="11"/>
        <color theme="1"/>
        <rFont val="ＭＳ Ｐゴシック"/>
        <family val="3"/>
        <charset val="128"/>
        <scheme val="minor"/>
      </rPr>
      <t>果木</t>
    </r>
    <r>
      <rPr>
        <sz val="11"/>
        <color theme="1"/>
        <rFont val="ＭＳ Ｐゴシック"/>
        <family val="3"/>
        <charset val="134"/>
        <scheme val="minor"/>
      </rPr>
      <t>场</t>
    </r>
  </si>
  <si>
    <r>
      <t>含酒精的气泡水; 不起泡葡萄酒;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甜果酒;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甘蔗汁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预调</t>
    </r>
    <r>
      <rPr>
        <sz val="11"/>
        <color theme="1"/>
        <rFont val="ＭＳ Ｐゴシック"/>
        <family val="3"/>
        <charset val="128"/>
        <scheme val="minor"/>
      </rPr>
      <t>甜酒</t>
    </r>
  </si>
  <si>
    <t>CONVENIENCE DENNIS D 便利丹 全家人的丹尼斯</t>
  </si>
  <si>
    <r>
      <t>郑</t>
    </r>
    <r>
      <rPr>
        <sz val="11"/>
        <color theme="1"/>
        <rFont val="ＭＳ Ｐゴシック"/>
        <family val="3"/>
        <charset val="128"/>
        <scheme val="minor"/>
      </rPr>
      <t>州丹尼斯百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</si>
  <si>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杜松子酒;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食用酒精; 茴芹酒（利口酒）; 餐后酒（利口酒和烈酒）;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蜂蜜酒; 梨酒; 朗姆酒; 伏特加酒;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青稞酒; 黄酒; 果酒（...</t>
    </r>
  </si>
  <si>
    <t>D 便利丹 CONVENIENCE DANNIS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</si>
  <si>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果酒（含酒精）; 清酒（日本米酒）; 苦味酒;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伏特加酒; 含酒精的气泡水; 黄酒; 食用酒精; 酸酒（低等葡萄酒）;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苹果酒; 杜松子酒;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朗姆酒;...</t>
    </r>
  </si>
  <si>
    <r>
      <t>曲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</si>
  <si>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</si>
  <si>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家味</t>
    </r>
  </si>
  <si>
    <t>上海坤灵厨道品牌管理有限公司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</si>
  <si>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高粱酒; 葡萄酒; 黄酒;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米酒; 白酒; 露酒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</si>
  <si>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骊吖</t>
    </r>
    <r>
      <rPr>
        <sz val="11"/>
        <color theme="1"/>
        <rFont val="ＭＳ Ｐゴシック"/>
        <family val="3"/>
        <charset val="128"/>
        <scheme val="minor"/>
      </rPr>
      <t>米酒</t>
    </r>
  </si>
  <si>
    <r>
      <t>延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嘉燕国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</si>
  <si>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米酒;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汽酒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</si>
  <si>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富溪</t>
    </r>
  </si>
  <si>
    <r>
      <t>平利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富溪种养殖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</si>
  <si>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 xml:space="preserve">薄荷酒; 苦味酒; 茴芹酒（利口酒）; 茴香酒（利口酒）;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果酒（含酒精）; 开胃酒;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</si>
  <si>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小醉仙坊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</si>
  <si>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小醉仙酒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</si>
  <si>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青梅酒;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米酒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</si>
  <si>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省第十七届运</t>
    </r>
    <r>
      <rPr>
        <sz val="11"/>
        <color theme="1"/>
        <rFont val="ＭＳ Ｐゴシック"/>
        <family val="3"/>
        <charset val="134"/>
        <scheme val="minor"/>
      </rPr>
      <t>动</t>
    </r>
    <r>
      <rPr>
        <sz val="11"/>
        <color theme="1"/>
        <rFont val="ＭＳ Ｐゴシック"/>
        <family val="3"/>
        <charset val="128"/>
        <scheme val="minor"/>
      </rPr>
      <t>会 茂名 2026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</si>
  <si>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清酒（日本米酒）;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</t>
    </r>
  </si>
  <si>
    <t>粮窖坊</t>
  </si>
  <si>
    <r>
      <t>卢锡</t>
    </r>
    <r>
      <rPr>
        <sz val="11"/>
        <color theme="1"/>
        <rFont val="ＭＳ Ｐゴシック"/>
        <family val="3"/>
        <charset val="128"/>
        <scheme val="minor"/>
      </rPr>
      <t>磊*****************X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</si>
  <si>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白酒;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</t>
    </r>
  </si>
  <si>
    <t>喜王 HHHH</t>
  </si>
  <si>
    <r>
      <t>痛王集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</si>
  <si>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米酒; 露酒; 食用酒精; 黄酒; 蜂蜜酒; 果酒</t>
    </r>
  </si>
  <si>
    <t>容介</t>
  </si>
  <si>
    <t>容介（江西）生物科技有限公司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</si>
  <si>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葡萄酒; 米酒; 食用酒精; 高粱酒</t>
    </r>
  </si>
  <si>
    <t>嘎嘎吉吉</t>
  </si>
  <si>
    <r>
      <t>西藏藏遇文化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</si>
  <si>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葡萄酒;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汽酒; 米酒; 青稞酒; 果酒; 清酒; 烈酒</t>
    </r>
  </si>
  <si>
    <t>迎春沟</t>
  </si>
  <si>
    <t>王晨岩</t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</si>
  <si>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</t>
    </r>
  </si>
  <si>
    <r>
      <t>希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</si>
  <si>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白酒;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</t>
    </r>
  </si>
  <si>
    <r>
      <t>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葡萄酒;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</si>
  <si>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旭然金白干</t>
  </si>
  <si>
    <t>衡水旭然金高粱酒庄有限公司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</si>
  <si>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苦味酒;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</si>
  <si>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C 上辰</t>
  </si>
  <si>
    <r>
      <t>四川大居小舍企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</si>
  <si>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水果汽酒;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</si>
  <si>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爱</t>
    </r>
    <r>
      <rPr>
        <sz val="11"/>
        <color theme="1"/>
        <rFont val="ＭＳ Ｐゴシック"/>
        <family val="3"/>
        <charset val="128"/>
        <scheme val="minor"/>
      </rPr>
      <t>主珏</t>
    </r>
  </si>
  <si>
    <t>深圳威富云数科技有限公司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</si>
  <si>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</si>
  <si>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滇</t>
    </r>
    <r>
      <rPr>
        <sz val="11"/>
        <color theme="1"/>
        <rFont val="ＭＳ Ｐゴシック"/>
        <family val="3"/>
        <charset val="134"/>
        <scheme val="minor"/>
      </rPr>
      <t>药馆</t>
    </r>
    <r>
      <rPr>
        <sz val="11"/>
        <color theme="1"/>
        <rFont val="ＭＳ Ｐゴシック"/>
        <family val="3"/>
        <charset val="128"/>
        <scheme val="minor"/>
      </rPr>
      <t>（云南）</t>
    </r>
    <r>
      <rPr>
        <sz val="11"/>
        <color theme="1"/>
        <rFont val="ＭＳ Ｐゴシック"/>
        <family val="3"/>
        <charset val="134"/>
        <scheme val="minor"/>
      </rPr>
      <t>药业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</si>
  <si>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</si>
  <si>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凰皖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牌酒</t>
    </r>
  </si>
  <si>
    <r>
      <t>亳州市功臣池酒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</si>
  <si>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白酒;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</si>
  <si>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GOLDREIF BY POGGENPOHL</t>
  </si>
  <si>
    <r>
      <t>九牧厨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</si>
  <si>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</si>
  <si>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宝藏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</si>
  <si>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平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</si>
  <si>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黄酒; 汽酒; 果酒（含酒精）; 餐后酒（利口酒和烈酒）; 食用酒精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</si>
  <si>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塘江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</si>
  <si>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贡亲</t>
    </r>
    <r>
      <rPr>
        <sz val="11"/>
        <color theme="1"/>
        <rFont val="ＭＳ Ｐゴシック"/>
        <family val="3"/>
        <charset val="128"/>
        <scheme val="minor"/>
      </rPr>
      <t>旺生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食品科技有限公司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</si>
  <si>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米酒; 果酒（含酒精）</t>
    </r>
  </si>
  <si>
    <t>勐象</t>
  </si>
  <si>
    <t>景洪勐嘉食品商行</t>
  </si>
  <si>
    <r>
      <t xml:space="preserve">白酒; 高粱酒; 米酒;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白干酒（中国白酒）; 烈酒;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</t>
    </r>
  </si>
  <si>
    <r>
      <t>钱缘</t>
    </r>
    <r>
      <rPr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3"/>
        <charset val="134"/>
        <scheme val="minor"/>
      </rPr>
      <t>钱</t>
    </r>
  </si>
  <si>
    <r>
      <t>郭</t>
    </r>
    <r>
      <rPr>
        <sz val="11"/>
        <color theme="1"/>
        <rFont val="ＭＳ Ｐゴシック"/>
        <family val="3"/>
        <charset val="134"/>
        <scheme val="minor"/>
      </rPr>
      <t>锋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</si>
  <si>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露酒; 清酒; 葡萄酒; 白酒; 蜂蜜酒</t>
    </r>
  </si>
  <si>
    <t>景斛春</t>
  </si>
  <si>
    <r>
      <t>航翎（洛阳）供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</si>
  <si>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米酒; 清酒（日本米酒）;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汽酒</t>
    </r>
  </si>
  <si>
    <t>二谷斤</t>
  </si>
  <si>
    <r>
      <t>山西小汾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</si>
  <si>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</si>
  <si>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意</t>
    </r>
    <r>
      <rPr>
        <sz val="11"/>
        <color theme="1"/>
        <rFont val="ＭＳ Ｐゴシック"/>
        <family val="3"/>
        <charset val="134"/>
        <scheme val="minor"/>
      </rPr>
      <t>满</t>
    </r>
    <r>
      <rPr>
        <sz val="11"/>
        <color theme="1"/>
        <rFont val="ＭＳ Ｐゴシック"/>
        <family val="3"/>
        <charset val="128"/>
        <scheme val="minor"/>
      </rPr>
      <t>梨</t>
    </r>
  </si>
  <si>
    <r>
      <t>云和</t>
    </r>
    <r>
      <rPr>
        <sz val="11"/>
        <color theme="1"/>
        <rFont val="ＭＳ Ｐゴシック"/>
        <family val="3"/>
        <charset val="134"/>
        <scheme val="minor"/>
      </rPr>
      <t>县红绿</t>
    </r>
    <r>
      <rPr>
        <sz val="11"/>
        <color theme="1"/>
        <rFont val="ＭＳ Ｐゴシック"/>
        <family val="3"/>
        <charset val="128"/>
        <scheme val="minor"/>
      </rPr>
      <t>融合文化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</si>
  <si>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水果汽酒; 梨酒;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</si>
  <si>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雾</t>
    </r>
    <r>
      <rPr>
        <sz val="11"/>
        <color theme="1"/>
        <rFont val="ＭＳ Ｐゴシック"/>
        <family val="3"/>
        <charset val="128"/>
        <scheme val="minor"/>
      </rPr>
      <t>影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</si>
  <si>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市李遇酒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</si>
  <si>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桃原古</t>
    </r>
    <r>
      <rPr>
        <sz val="11"/>
        <color theme="1"/>
        <rFont val="ＭＳ Ｐゴシック"/>
        <family val="3"/>
        <charset val="134"/>
        <scheme val="minor"/>
      </rPr>
      <t>酿</t>
    </r>
  </si>
  <si>
    <t>黄峰</t>
  </si>
  <si>
    <r>
      <t>利口酒; 苹果酒;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</si>
  <si>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WINE HOME BROTHERS</t>
  </si>
  <si>
    <r>
      <t>深圳市酒之家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</si>
  <si>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果酒（含酒精）; 米酒; 蒸煮提取物（利口酒和烈酒）; 白酒; 葡萄酒;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</si>
  <si>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孟浩然 酒</t>
  </si>
  <si>
    <t>孟令洲******************</t>
  </si>
  <si>
    <r>
      <t>蜂蜜酒;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</si>
  <si>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水洛天河</t>
  </si>
  <si>
    <r>
      <t>桂林督府雅院酒店管理有限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</si>
  <si>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食用酒精; 白酒; 果酒（含酒精）; 开胃酒; 米酒</t>
    </r>
  </si>
  <si>
    <r>
      <t>戎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</si>
  <si>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州戎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</si>
  <si>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开胃酒;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黄酒; 清酒（日本米酒）</t>
    </r>
  </si>
  <si>
    <r>
      <t xml:space="preserve">白酒; 清酒（日本米酒）;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蜂蜜酒; 开胃酒</t>
    </r>
  </si>
  <si>
    <t>酒都一刘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</si>
  <si>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市茅台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台窖酒厂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</si>
  <si>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清酒; 果酒; 烈酒;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伏特加酒; 黄酒</t>
    </r>
  </si>
  <si>
    <t>超多口</t>
  </si>
  <si>
    <t>叶福民</t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</si>
  <si>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食用酒精; 白酒; 烈酒</t>
    </r>
  </si>
  <si>
    <r>
      <t>润泽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</si>
  <si>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</si>
  <si>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冷</t>
    </r>
    <r>
      <rPr>
        <sz val="11"/>
        <color theme="1"/>
        <rFont val="ＭＳ Ｐゴシック"/>
        <family val="3"/>
        <charset val="134"/>
        <scheme val="minor"/>
      </rPr>
      <t>冻</t>
    </r>
    <r>
      <rPr>
        <sz val="11"/>
        <color theme="1"/>
        <rFont val="ＭＳ Ｐゴシック"/>
        <family val="3"/>
        <charset val="128"/>
        <scheme val="minor"/>
      </rPr>
      <t>凝胶状的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汽酒; 青梅酒; 黄酒; 露酒; 白酒; 高粱酒; 米酒</t>
    </r>
  </si>
  <si>
    <t>奘樽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</si>
  <si>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烈酒; 白酒; 开胃酒; 果酒（含酒精）; 清酒（日本米酒）</t>
    </r>
  </si>
  <si>
    <r>
      <t>臻礼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牌酎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</si>
  <si>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双喜集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</si>
  <si>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黄酒; 果酒; 白酒; 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</si>
  <si>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GOOGLY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</si>
  <si>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</t>
    </r>
  </si>
  <si>
    <t>HARMONIE</t>
  </si>
  <si>
    <r>
      <t>美好控股集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</si>
  <si>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</si>
  <si>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创</t>
    </r>
    <r>
      <rPr>
        <sz val="11"/>
        <color theme="1"/>
        <rFont val="ＭＳ Ｐゴシック"/>
        <family val="3"/>
        <charset val="128"/>
        <scheme val="minor"/>
      </rPr>
      <t>宏</t>
    </r>
    <r>
      <rPr>
        <sz val="11"/>
        <color theme="1"/>
        <rFont val="ＭＳ Ｐゴシック"/>
        <family val="3"/>
        <charset val="129"/>
        <scheme val="minor"/>
      </rPr>
      <t>胜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</si>
  <si>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宏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</si>
  <si>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</si>
  <si>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鼎丰恒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</si>
  <si>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</t>
    </r>
  </si>
  <si>
    <r>
      <t>巧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姑 子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梅醉</t>
    </r>
  </si>
  <si>
    <r>
      <t>成都巧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姑文化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</si>
  <si>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高粱酒; 梅酒; 露酒;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食用酒精; 青梅酒; 白酒; 草莓酒; 果酒</t>
    </r>
  </si>
  <si>
    <r>
      <t>闹</t>
    </r>
    <r>
      <rPr>
        <sz val="11"/>
        <color theme="1"/>
        <rFont val="ＭＳ Ｐゴシック"/>
        <family val="3"/>
        <charset val="128"/>
        <scheme val="minor"/>
      </rPr>
      <t>格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</si>
  <si>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肃闹</t>
    </r>
    <r>
      <rPr>
        <sz val="11"/>
        <color theme="1"/>
        <rFont val="ＭＳ Ｐゴシック"/>
        <family val="3"/>
        <charset val="128"/>
        <scheme val="minor"/>
      </rPr>
      <t>格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食品开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</si>
  <si>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青稞酒; 威士忌; 白酒;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</si>
  <si>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大同精</t>
  </si>
  <si>
    <t>何菊云</t>
  </si>
  <si>
    <r>
      <t>白酒; 果酒（含酒精）;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</si>
  <si>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湖南丰日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源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气股份有限公司</t>
    </r>
  </si>
  <si>
    <r>
      <t xml:space="preserve">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威士忌</t>
    </r>
  </si>
  <si>
    <t>XU FU JI</t>
  </si>
  <si>
    <r>
      <t>徐福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控股集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</si>
  <si>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含酒精的气泡水;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朗姆酒</t>
    </r>
  </si>
  <si>
    <t>密氏金</t>
  </si>
  <si>
    <r>
      <t>临</t>
    </r>
    <r>
      <rPr>
        <sz val="11"/>
        <color theme="1"/>
        <rFont val="ＭＳ Ｐゴシック"/>
        <family val="3"/>
        <charset val="128"/>
        <scheme val="minor"/>
      </rPr>
      <t>沂市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山区密家膏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</si>
  <si>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 xml:space="preserve">米酒;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黄酒;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</si>
  <si>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诚</t>
    </r>
    <r>
      <rPr>
        <sz val="11"/>
        <color theme="1"/>
        <rFont val="ＭＳ Ｐゴシック"/>
        <family val="3"/>
        <charset val="128"/>
        <scheme val="minor"/>
      </rPr>
      <t>信</t>
    </r>
    <r>
      <rPr>
        <sz val="11"/>
        <color theme="1"/>
        <rFont val="ＭＳ Ｐゴシック"/>
        <family val="3"/>
        <charset val="134"/>
        <scheme val="minor"/>
      </rPr>
      <t>龙</t>
    </r>
  </si>
  <si>
    <t>李永涛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</si>
  <si>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甘蔗制烈酒;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</t>
    </r>
  </si>
  <si>
    <t>念如意</t>
  </si>
  <si>
    <t>施雨村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</si>
  <si>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白酒;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</si>
  <si>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老幺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</si>
  <si>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市昌茂酒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</si>
  <si>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果酒; 露酒; 烈酒; 白干酒（中国白酒）;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</t>
    </r>
  </si>
  <si>
    <t>草原小牛牛</t>
  </si>
  <si>
    <r>
      <t>内蒙古启</t>
    </r>
    <r>
      <rPr>
        <sz val="11"/>
        <color theme="1"/>
        <rFont val="ＭＳ Ｐゴシック"/>
        <family val="3"/>
        <charset val="134"/>
        <scheme val="minor"/>
      </rPr>
      <t>尧</t>
    </r>
    <r>
      <rPr>
        <sz val="11"/>
        <color theme="1"/>
        <rFont val="ＭＳ Ｐゴシック"/>
        <family val="3"/>
        <charset val="128"/>
        <scheme val="minor"/>
      </rPr>
      <t>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</si>
  <si>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</si>
  <si>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丰生</t>
    </r>
  </si>
  <si>
    <r>
      <t>高州市金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果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</si>
  <si>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清酒;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</si>
  <si>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秦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</si>
  <si>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岛华</t>
    </r>
    <r>
      <rPr>
        <sz val="11"/>
        <color theme="1"/>
        <rFont val="ＭＳ Ｐゴシック"/>
        <family val="3"/>
        <charset val="128"/>
        <scheme val="minor"/>
      </rPr>
      <t>奇食品生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</si>
  <si>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</si>
  <si>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世家恒丰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</si>
  <si>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州柒泉世家酒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</si>
  <si>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甜果酒; 汽酒; 白干酒（中国白酒）;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</si>
  <si>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金幸福牌 金幸福酒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</si>
  <si>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米酒; 清酒; 黄酒; 烈酒</t>
    </r>
  </si>
  <si>
    <r>
      <t>铁</t>
    </r>
    <r>
      <rPr>
        <sz val="11"/>
        <color theme="1"/>
        <rFont val="ＭＳ Ｐゴシック"/>
        <family val="3"/>
        <charset val="128"/>
        <scheme val="minor"/>
      </rPr>
      <t>路味</t>
    </r>
  </si>
  <si>
    <r>
      <t>伍佳零生活文化（厦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</si>
  <si>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苹果酒; 威士忌;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</si>
  <si>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星羡</t>
  </si>
  <si>
    <r>
      <t xml:space="preserve">果酒（含酒精）; 开胃酒;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</si>
  <si>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鸭</t>
    </r>
    <r>
      <rPr>
        <sz val="11"/>
        <color theme="1"/>
        <rFont val="ＭＳ Ｐゴシック"/>
        <family val="3"/>
        <charset val="128"/>
        <scheme val="minor"/>
      </rPr>
      <t>子演唱</t>
    </r>
    <r>
      <rPr>
        <sz val="11"/>
        <color theme="1"/>
        <rFont val="ＭＳ Ｐゴシック"/>
        <family val="3"/>
        <charset val="134"/>
        <scheme val="minor"/>
      </rPr>
      <t>组</t>
    </r>
  </si>
  <si>
    <r>
      <t>知</t>
    </r>
    <r>
      <rPr>
        <sz val="11"/>
        <color theme="1"/>
        <rFont val="ＭＳ Ｐゴシック"/>
        <family val="3"/>
        <charset val="134"/>
        <scheme val="minor"/>
      </rPr>
      <t>艺时</t>
    </r>
    <r>
      <rPr>
        <sz val="11"/>
        <color theme="1"/>
        <rFont val="ＭＳ Ｐゴシック"/>
        <family val="3"/>
        <charset val="128"/>
        <scheme val="minor"/>
      </rPr>
      <t>代（北京）文化科技有限公司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</si>
  <si>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汽酒; 蜂蜜酒;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</t>
    </r>
  </si>
  <si>
    <t>鸿凤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</si>
  <si>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玺畅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</si>
  <si>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</si>
  <si>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浅醺猫</t>
  </si>
  <si>
    <r>
      <t>潘福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</si>
  <si>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葡萄酒;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白葡萄酒; 开胃酒; 白酒; 薄荷酒</t>
    </r>
  </si>
  <si>
    <t>ZHEN YI HAO</t>
  </si>
  <si>
    <r>
      <t>克拉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依区震益号茶禅道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</si>
  <si>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高粱酒; 蜂蜜酒;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</si>
  <si>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树长</t>
    </r>
    <r>
      <rPr>
        <sz val="11"/>
        <color theme="1"/>
        <rFont val="ＭＳ Ｐゴシック"/>
        <family val="3"/>
        <charset val="128"/>
        <scheme val="minor"/>
      </rPr>
      <t>高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</si>
  <si>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沂泓恩医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</si>
  <si>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清酒; 酸酒（低等葡萄酒）;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</si>
  <si>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驭</t>
    </r>
    <r>
      <rPr>
        <sz val="11"/>
        <color theme="1"/>
        <rFont val="ＭＳ Ｐゴシック"/>
        <family val="3"/>
        <charset val="128"/>
        <scheme val="minor"/>
      </rPr>
      <t>窖</t>
    </r>
  </si>
  <si>
    <t>郭六秀</t>
  </si>
  <si>
    <r>
      <t xml:space="preserve">果酒; 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汽酒; 白酒; 葡萄酒; 米酒; 清酒</t>
    </r>
  </si>
  <si>
    <r>
      <t>四</t>
    </r>
    <r>
      <rPr>
        <sz val="11"/>
        <color theme="1"/>
        <rFont val="ＭＳ Ｐゴシック"/>
        <family val="3"/>
        <charset val="134"/>
        <scheme val="minor"/>
      </rPr>
      <t>坝桥</t>
    </r>
  </si>
  <si>
    <r>
      <t>武威中穗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</si>
  <si>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果酒（含酒精）; 青稞酒; 米酒; 葡萄酒; 酸酒（低等葡萄酒）;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</si>
  <si>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今朝王者 TODAY'S KING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</si>
  <si>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葡萄酒; 甜酒; 白酒; 果酒; 黄酒; 米酒</t>
    </r>
  </si>
  <si>
    <t>重丘会盟</t>
  </si>
  <si>
    <r>
      <t>茌平</t>
    </r>
    <r>
      <rPr>
        <sz val="11"/>
        <color theme="1"/>
        <rFont val="ＭＳ Ｐゴシック"/>
        <family val="3"/>
        <charset val="134"/>
        <scheme val="minor"/>
      </rPr>
      <t>县亿</t>
    </r>
    <r>
      <rPr>
        <sz val="11"/>
        <color theme="1"/>
        <rFont val="ＭＳ Ｐゴシック"/>
        <family val="3"/>
        <charset val="128"/>
        <scheme val="minor"/>
      </rPr>
      <t>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</si>
  <si>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汽酒; 白葡萄酒; 葡萄酒;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黄酒; 米酒</t>
    </r>
  </si>
  <si>
    <r>
      <t>康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玉</t>
    </r>
  </si>
  <si>
    <r>
      <t>亳州魏</t>
    </r>
    <r>
      <rPr>
        <sz val="11"/>
        <color theme="1"/>
        <rFont val="ＭＳ Ｐゴシック"/>
        <family val="3"/>
        <charset val="134"/>
        <scheme val="minor"/>
      </rPr>
      <t>贡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</si>
  <si>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开胃酒; 食用酒精;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葡萄酒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</si>
  <si>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荫</t>
    </r>
    <r>
      <rPr>
        <sz val="11"/>
        <color theme="1"/>
        <rFont val="ＭＳ Ｐゴシック"/>
        <family val="3"/>
        <charset val="128"/>
        <scheme val="minor"/>
      </rPr>
      <t>楠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</si>
  <si>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</si>
  <si>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ROVENPRINCELING</t>
  </si>
  <si>
    <t>刘娜</t>
  </si>
  <si>
    <r>
      <t xml:space="preserve">威士忌;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开胃酒</t>
    </r>
  </si>
  <si>
    <t>康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</si>
  <si>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</si>
  <si>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野</t>
    </r>
    <r>
      <rPr>
        <sz val="11"/>
        <color theme="1"/>
        <rFont val="ＭＳ Ｐゴシック"/>
        <family val="3"/>
        <charset val="134"/>
        <scheme val="minor"/>
      </rPr>
      <t>鸭</t>
    </r>
    <r>
      <rPr>
        <sz val="11"/>
        <color theme="1"/>
        <rFont val="ＭＳ Ｐゴシック"/>
        <family val="3"/>
        <charset val="128"/>
        <scheme val="minor"/>
      </rPr>
      <t>墩</t>
    </r>
  </si>
  <si>
    <t>安徽涂工涂装机械有限公司</t>
  </si>
  <si>
    <r>
      <t>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果酒（含酒精）; 高粱酒; 葡萄酒;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</si>
  <si>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t>云南三秋田食品有限公司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</si>
  <si>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</si>
  <si>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蒸煮提取物（利口酒和烈酒）;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</si>
  <si>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r>
      <t>山西南</t>
    </r>
    <r>
      <rPr>
        <sz val="11"/>
        <color theme="1"/>
        <rFont val="ＭＳ Ｐゴシック"/>
        <family val="3"/>
        <charset val="134"/>
        <scheme val="minor"/>
      </rPr>
      <t>绍</t>
    </r>
    <r>
      <rPr>
        <sz val="11"/>
        <color theme="1"/>
        <rFont val="ＭＳ Ｐゴシック"/>
        <family val="3"/>
        <charset val="128"/>
        <scheme val="minor"/>
      </rPr>
      <t>北代酒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</si>
  <si>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</si>
  <si>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晚成</t>
  </si>
  <si>
    <r>
      <t>马</t>
    </r>
    <r>
      <rPr>
        <sz val="11"/>
        <color theme="1"/>
        <rFont val="ＭＳ Ｐゴシック"/>
        <family val="3"/>
        <charset val="128"/>
        <scheme val="minor"/>
      </rPr>
      <t>磊</t>
    </r>
  </si>
  <si>
    <r>
      <t>威士忌; 果酒（含酒精）;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</si>
  <si>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r>
      <t>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蒸煮提取物（利口酒和烈酒）</t>
    </r>
  </si>
  <si>
    <r>
      <t>郡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治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</si>
  <si>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平</t>
    </r>
    <r>
      <rPr>
        <sz val="11"/>
        <color theme="1"/>
        <rFont val="ＭＳ Ｐゴシック"/>
        <family val="3"/>
        <charset val="134"/>
        <scheme val="minor"/>
      </rPr>
      <t>县鲁</t>
    </r>
    <r>
      <rPr>
        <sz val="11"/>
        <color theme="1"/>
        <rFont val="ＭＳ Ｐゴシック"/>
        <family val="3"/>
        <charset val="128"/>
        <scheme val="minor"/>
      </rPr>
      <t>泰阳光影</t>
    </r>
    <r>
      <rPr>
        <sz val="11"/>
        <color theme="1"/>
        <rFont val="ＭＳ Ｐゴシック"/>
        <family val="3"/>
        <charset val="134"/>
        <scheme val="minor"/>
      </rPr>
      <t>视传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</si>
  <si>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</si>
  <si>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MIXEDRINKS</t>
  </si>
  <si>
    <r>
      <t>广州上昇无限餐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</si>
  <si>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烈酒; 伏特加酒; 果酒;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</si>
  <si>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养鹿状元</t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</si>
  <si>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春市鹿</t>
    </r>
    <r>
      <rPr>
        <sz val="11"/>
        <color theme="1"/>
        <rFont val="ＭＳ Ｐゴシック"/>
        <family val="3"/>
        <charset val="134"/>
        <scheme val="minor"/>
      </rPr>
      <t>乡华</t>
    </r>
    <r>
      <rPr>
        <sz val="11"/>
        <color theme="1"/>
        <rFont val="ＭＳ Ｐゴシック"/>
        <family val="3"/>
        <charset val="128"/>
        <scheme val="minor"/>
      </rPr>
      <t>泰生物科技有限公司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</si>
  <si>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果酒（含酒精）; 利口酒;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</si>
  <si>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r>
      <t>腾讯</t>
    </r>
    <r>
      <rPr>
        <sz val="11"/>
        <color theme="1"/>
        <rFont val="ＭＳ Ｐゴシック"/>
        <family val="3"/>
        <charset val="128"/>
        <scheme val="minor"/>
      </rPr>
      <t>音</t>
    </r>
    <r>
      <rPr>
        <sz val="11"/>
        <color theme="1"/>
        <rFont val="ＭＳ Ｐゴシック"/>
        <family val="3"/>
        <charset val="134"/>
        <scheme val="minor"/>
      </rPr>
      <t>乐娱乐</t>
    </r>
    <r>
      <rPr>
        <sz val="11"/>
        <color theme="1"/>
        <rFont val="ＭＳ Ｐゴシック"/>
        <family val="3"/>
        <charset val="128"/>
        <scheme val="minor"/>
      </rPr>
      <t>科技（深圳）有限公司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</si>
  <si>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</si>
  <si>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一品鹿</t>
  </si>
  <si>
    <r>
      <t>王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晶</t>
    </r>
  </si>
  <si>
    <r>
      <t xml:space="preserve">白酒; 葡萄酒; 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</si>
  <si>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今大坊</t>
  </si>
  <si>
    <t>李春爰</t>
  </si>
  <si>
    <r>
      <t>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白酒; 果酒（含酒精）; 威士忌;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</si>
  <si>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晟信酒坊</t>
  </si>
  <si>
    <r>
      <t>成都鼎晟坊商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</si>
  <si>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米酒;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</si>
  <si>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粮游</t>
    </r>
    <r>
      <rPr>
        <sz val="11"/>
        <color theme="1"/>
        <rFont val="ＭＳ Ｐゴシック"/>
        <family val="3"/>
        <charset val="134"/>
        <scheme val="minor"/>
      </rPr>
      <t>记</t>
    </r>
  </si>
  <si>
    <r>
      <t>河南</t>
    </r>
    <r>
      <rPr>
        <sz val="11"/>
        <color theme="1"/>
        <rFont val="ＭＳ Ｐゴシック"/>
        <family val="3"/>
        <charset val="134"/>
        <scheme val="minor"/>
      </rPr>
      <t>闹乐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</si>
  <si>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蒸煮提取物（利口酒和烈酒）; 葡萄酒</t>
    </r>
  </si>
  <si>
    <t>FISCHER QUALITY MATTERS</t>
  </si>
  <si>
    <r>
      <t>鼎信泰国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易（江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</si>
  <si>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葡萄潘趣酒; 天然汽酒;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白酒; 黄酒</t>
    </r>
  </si>
  <si>
    <r>
      <t>皇宴</t>
    </r>
    <r>
      <rPr>
        <sz val="11"/>
        <color theme="1"/>
        <rFont val="ＭＳ Ｐゴシック"/>
        <family val="3"/>
        <charset val="134"/>
        <scheme val="minor"/>
      </rPr>
      <t>龙腾</t>
    </r>
  </si>
  <si>
    <t>冶建国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</si>
  <si>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利口酒; 白酒; 米酒; 威士忌;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</si>
  <si>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秦供</t>
  </si>
  <si>
    <r>
      <t>秦皇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市供</t>
    </r>
    <r>
      <rPr>
        <sz val="11"/>
        <color theme="1"/>
        <rFont val="ＭＳ Ｐゴシック"/>
        <family val="3"/>
        <charset val="134"/>
        <scheme val="minor"/>
      </rPr>
      <t>销资产经营</t>
    </r>
    <r>
      <rPr>
        <sz val="11"/>
        <color theme="1"/>
        <rFont val="ＭＳ Ｐゴシック"/>
        <family val="3"/>
        <charset val="128"/>
        <scheme val="minor"/>
      </rPr>
      <t>管理集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</si>
  <si>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朗姆酒; 黄酒; 白酒;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</si>
  <si>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烎</t>
    </r>
    <r>
      <rPr>
        <sz val="11"/>
        <color theme="1"/>
        <rFont val="ＭＳ Ｐゴシック"/>
        <family val="3"/>
        <charset val="134"/>
        <scheme val="minor"/>
      </rPr>
      <t>绍</t>
    </r>
  </si>
  <si>
    <t>浙江种草咖啡有限公司</t>
  </si>
  <si>
    <r>
      <t>开胃酒;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薄荷酒; 葡萄酒;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</si>
  <si>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引</t>
    </r>
  </si>
  <si>
    <r>
      <t>朱超</t>
    </r>
    <r>
      <rPr>
        <sz val="11"/>
        <color theme="1"/>
        <rFont val="ＭＳ Ｐゴシック"/>
        <family val="3"/>
        <charset val="134"/>
        <scheme val="minor"/>
      </rPr>
      <t>玮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</si>
  <si>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葡萄酒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</si>
  <si>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氏美</t>
    </r>
  </si>
  <si>
    <r>
      <t xml:space="preserve">清酒; 烈酒;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葡萄酒; 白酒;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</si>
  <si>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伍零木本</t>
  </si>
  <si>
    <r>
      <t>广州正盈医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器械有限公司</t>
    </r>
  </si>
  <si>
    <r>
      <t xml:space="preserve">果酒（含酒精）; 朗姆酒;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露酒; 白酒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</si>
  <si>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厦炎黄</t>
    </r>
  </si>
  <si>
    <r>
      <t>侯街</t>
    </r>
    <r>
      <rPr>
        <sz val="11"/>
        <color theme="1"/>
        <rFont val="ＭＳ Ｐゴシック"/>
        <family val="3"/>
        <charset val="134"/>
        <scheme val="minor"/>
      </rPr>
      <t>莲</t>
    </r>
  </si>
  <si>
    <r>
      <t>黄酒; 威士忌;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蜂蜜酒;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</si>
  <si>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清照芳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 xml:space="preserve"> FANGHUA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</si>
  <si>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百脉泉酒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</si>
  <si>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苹果酒; 葡萄酒; 汽酒;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开胃酒; 酸酒（低等葡萄酒）; 果酒（含酒精）</t>
    </r>
  </si>
  <si>
    <r>
      <t>浙江艾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斯山酒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</si>
  <si>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清酒; 烈酒; 威士忌; 白酒; 朗姆酒;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</si>
  <si>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州白酒交易所股份有限公司</t>
    </r>
  </si>
  <si>
    <r>
      <t>汽酒; 高粱酒;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</si>
  <si>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和茗馥</t>
    </r>
  </si>
  <si>
    <t>李奇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</si>
  <si>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酸酒（低等葡萄酒）; 果酒（含酒精）; 黄酒; 蒸煮提取物（利口酒和烈酒）;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</si>
  <si>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乾口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</si>
  <si>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祖林</t>
    </r>
  </si>
  <si>
    <r>
      <t>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</si>
  <si>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京酒小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瓶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</si>
  <si>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立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</si>
  <si>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威士忌;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</si>
  <si>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AGYTCLUB永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阳吉</t>
    </r>
  </si>
  <si>
    <r>
      <t>深圳市永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阳吉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</si>
  <si>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白葡萄酒; 青梅酒;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清酒; 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</si>
  <si>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海</t>
    </r>
    <r>
      <rPr>
        <sz val="11"/>
        <color theme="1"/>
        <rFont val="ＭＳ Ｐゴシック"/>
        <family val="3"/>
        <charset val="134"/>
        <scheme val="minor"/>
      </rPr>
      <t>铭</t>
    </r>
    <r>
      <rPr>
        <sz val="11"/>
        <color theme="1"/>
        <rFont val="ＭＳ Ｐゴシック"/>
        <family val="3"/>
        <charset val="128"/>
        <scheme val="minor"/>
      </rPr>
      <t>星</t>
    </r>
  </si>
  <si>
    <r>
      <t>新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金粮酒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</si>
  <si>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米酒</t>
    </r>
  </si>
  <si>
    <t>古关中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</si>
  <si>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西省关中酒有限公司</t>
    </r>
  </si>
  <si>
    <r>
      <t>果酒（含酒精）;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食用酒精;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</si>
  <si>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 xml:space="preserve">JOHN FAMILY </t>
    </r>
    <r>
      <rPr>
        <sz val="11"/>
        <color theme="1"/>
        <rFont val="ＭＳ Ｐゴシック"/>
        <family val="3"/>
        <charset val="134"/>
        <scheme val="minor"/>
      </rPr>
      <t>约</t>
    </r>
    <r>
      <rPr>
        <sz val="11"/>
        <color theme="1"/>
        <rFont val="ＭＳ Ｐゴシック"/>
        <family val="3"/>
        <charset val="128"/>
        <scheme val="minor"/>
      </rPr>
      <t>翰家族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</si>
  <si>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迷恩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</si>
  <si>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梨酒;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伏特加酒; 薄荷酒;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</t>
    </r>
  </si>
  <si>
    <t>好杞力</t>
  </si>
  <si>
    <r>
      <t>马</t>
    </r>
    <r>
      <rPr>
        <sz val="11"/>
        <color theme="1"/>
        <rFont val="ＭＳ Ｐゴシック"/>
        <family val="3"/>
        <charset val="128"/>
        <scheme val="minor"/>
      </rPr>
      <t>笑培</t>
    </r>
  </si>
  <si>
    <r>
      <t>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</si>
  <si>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深圳市和富酒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</si>
  <si>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烈性干酒; 葡萄酒; 威士忌;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加烈葡萄酒;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利口酒; 伏特加酒</t>
    </r>
  </si>
  <si>
    <t>江南丰收</t>
  </si>
  <si>
    <r>
      <t>陆</t>
    </r>
    <r>
      <rPr>
        <sz val="11"/>
        <color theme="1"/>
        <rFont val="ＭＳ Ｐゴシック"/>
        <family val="3"/>
        <charset val="128"/>
        <scheme val="minor"/>
      </rPr>
      <t>国琴******************</t>
    </r>
  </si>
  <si>
    <r>
      <t xml:space="preserve">果酒（含酒精）; 茴香酒（利口酒）; 米酒; 柑香酒;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</si>
  <si>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AMOROSO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</si>
  <si>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吉隆</t>
    </r>
    <r>
      <rPr>
        <sz val="11"/>
        <color theme="1"/>
        <rFont val="ＭＳ Ｐゴシック"/>
        <family val="3"/>
        <charset val="134"/>
        <scheme val="minor"/>
      </rPr>
      <t>桩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</si>
  <si>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</si>
  <si>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翼梦熊猫</t>
  </si>
  <si>
    <r>
      <t>河南百融商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</si>
  <si>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伏特加酒</t>
    </r>
  </si>
  <si>
    <t>麉</t>
  </si>
  <si>
    <r>
      <t>张</t>
    </r>
    <r>
      <rPr>
        <sz val="11"/>
        <color theme="1"/>
        <rFont val="ＭＳ Ｐゴシック"/>
        <family val="3"/>
        <charset val="128"/>
        <scheme val="minor"/>
      </rPr>
      <t>惠惠</t>
    </r>
  </si>
  <si>
    <r>
      <t>黄酒; 蒸煮提取物（利口酒和烈酒）; 食用酒精;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</t>
    </r>
  </si>
  <si>
    <t>MCB</t>
  </si>
  <si>
    <t>李阳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</si>
  <si>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青稞酒; 威士忌;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</si>
  <si>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桂花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</si>
  <si>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王运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</si>
  <si>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苦味酒; 露酒; 青稞酒; 米酒; 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葡萄酒; 白酒; 汽酒; 黄酒</t>
    </r>
  </si>
  <si>
    <t>年份往事</t>
  </si>
  <si>
    <r>
      <t>保定市玖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</si>
  <si>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伏特加酒;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</si>
  <si>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HANHELIN</t>
  </si>
  <si>
    <r>
      <t>韩</t>
    </r>
    <r>
      <rPr>
        <sz val="11"/>
        <color theme="1"/>
        <rFont val="ＭＳ Ｐゴシック"/>
        <family val="3"/>
        <charset val="128"/>
        <scheme val="minor"/>
      </rPr>
      <t>和林</t>
    </r>
  </si>
  <si>
    <r>
      <t>葡萄酒;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</si>
  <si>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t>HEZHUANG</t>
  </si>
  <si>
    <r>
      <t>海口一棵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</si>
  <si>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</si>
  <si>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平郡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 xml:space="preserve"> 386</t>
    </r>
  </si>
  <si>
    <t>德明神州生物工程（北京）有限公司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</si>
  <si>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食用酒精; 果酒（含酒精）;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葡萄酒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</si>
  <si>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轴</t>
    </r>
  </si>
  <si>
    <t>北京正沃科技有限公司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</si>
  <si>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威士忌</t>
    </r>
  </si>
  <si>
    <t>GZMOUJIU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</si>
  <si>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食用酒精; 果酒; 黄酒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</si>
  <si>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醉天山</t>
    </r>
  </si>
  <si>
    <r>
      <t>新疆小白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</si>
  <si>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</t>
    </r>
  </si>
  <si>
    <t>FARADAY X</t>
  </si>
  <si>
    <t>法拉第未来公司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</si>
  <si>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伏特加酒; 葡萄酒;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</si>
  <si>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之蔚</t>
    </r>
    <r>
      <rPr>
        <sz val="11"/>
        <color theme="1"/>
        <rFont val="ＭＳ Ｐゴシック"/>
        <family val="3"/>
        <charset val="134"/>
        <scheme val="minor"/>
      </rPr>
      <t>蓝</t>
    </r>
  </si>
  <si>
    <r>
      <t>陈晓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</si>
  <si>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米酒; 果酒（含酒精）; 威士忌; 开胃酒</t>
    </r>
  </si>
  <si>
    <r>
      <t>石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山</t>
    </r>
  </si>
  <si>
    <t>古星民</t>
  </si>
  <si>
    <r>
      <t xml:space="preserve">白干酒（中国白酒）; 白酒; 开胃酒; 高粱酒; 米酒; 葡萄酒;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</t>
    </r>
  </si>
  <si>
    <t>桑浦世家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</si>
  <si>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紫</t>
    </r>
    <r>
      <rPr>
        <sz val="11"/>
        <color theme="1"/>
        <rFont val="ＭＳ Ｐゴシック"/>
        <family val="3"/>
        <charset val="134"/>
        <scheme val="minor"/>
      </rPr>
      <t>荆</t>
    </r>
    <r>
      <rPr>
        <sz val="11"/>
        <color theme="1"/>
        <rFont val="ＭＳ Ｐゴシック"/>
        <family val="3"/>
        <charset val="128"/>
        <scheme val="minor"/>
      </rPr>
      <t>教育投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</si>
  <si>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高粱酒; 果酒（含酒精）; 葡萄酒; 黄酒; 烈酒; 利口酒</t>
    </r>
  </si>
  <si>
    <t>武振官田</t>
  </si>
  <si>
    <r>
      <t>赣</t>
    </r>
    <r>
      <rPr>
        <sz val="11"/>
        <color theme="1"/>
        <rFont val="ＭＳ Ｐゴシック"/>
        <family val="3"/>
        <charset val="128"/>
        <scheme val="minor"/>
      </rPr>
      <t>州市武振官田文旅有限公司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</si>
  <si>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清酒（日本米酒）</t>
    </r>
  </si>
  <si>
    <t>XIAO YING NABAIGU MANOR</t>
  </si>
  <si>
    <r>
      <t>广州市</t>
    </r>
    <r>
      <rPr>
        <sz val="11"/>
        <color theme="1"/>
        <rFont val="ＭＳ Ｐゴシック"/>
        <family val="3"/>
        <charset val="134"/>
        <scheme val="minor"/>
      </rPr>
      <t>侨</t>
    </r>
    <r>
      <rPr>
        <sz val="11"/>
        <color theme="1"/>
        <rFont val="ＭＳ Ｐゴシック"/>
        <family val="3"/>
        <charset val="128"/>
        <scheme val="minor"/>
      </rPr>
      <t>心文化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</si>
  <si>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威士忌; 白葡萄酒; 葡萄酒; 烈酒;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起泡白葡萄酒;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加烈葡萄酒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</si>
  <si>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府</t>
    </r>
    <r>
      <rPr>
        <sz val="11"/>
        <color theme="1"/>
        <rFont val="ＭＳ Ｐゴシック"/>
        <family val="3"/>
        <charset val="134"/>
        <scheme val="minor"/>
      </rPr>
      <t>临门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</si>
  <si>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果酒（含酒精）; 开胃酒;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青稞酒</t>
    </r>
  </si>
  <si>
    <r>
      <t>笤</t>
    </r>
    <r>
      <rPr>
        <sz val="11"/>
        <color theme="1"/>
        <rFont val="ＭＳ Ｐゴシック"/>
        <family val="3"/>
        <charset val="128"/>
        <scheme val="minor"/>
      </rPr>
      <t>苗醇</t>
    </r>
  </si>
  <si>
    <r>
      <t>内蒙古思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</si>
  <si>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</si>
  <si>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宝源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庄</t>
    </r>
  </si>
  <si>
    <t>宁夏宝源大地酒庄有限公司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</si>
  <si>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</si>
  <si>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老嘴香周眯子</t>
  </si>
  <si>
    <r>
      <t>湖北江国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</si>
  <si>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果酒（含酒精）</t>
    </r>
  </si>
  <si>
    <r>
      <t>招</t>
    </r>
    <r>
      <rPr>
        <sz val="11"/>
        <color theme="1"/>
        <rFont val="ＭＳ Ｐゴシック"/>
        <family val="3"/>
        <charset val="134"/>
        <scheme val="minor"/>
      </rPr>
      <t>传</t>
    </r>
  </si>
  <si>
    <r>
      <t>招商玖</t>
    </r>
    <r>
      <rPr>
        <sz val="11"/>
        <color theme="1"/>
        <rFont val="ＭＳ Ｐゴシック"/>
        <family val="3"/>
        <charset val="134"/>
        <scheme val="minor"/>
      </rPr>
      <t>选</t>
    </r>
    <r>
      <rPr>
        <sz val="11"/>
        <color theme="1"/>
        <rFont val="ＭＳ Ｐゴシック"/>
        <family val="3"/>
        <charset val="128"/>
        <scheme val="minor"/>
      </rPr>
      <t>（深圳）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</si>
  <si>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含酒精的气泡水; 黄酒; 米酒; 苹果酒</t>
    </r>
  </si>
  <si>
    <r>
      <t>吾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五行</t>
    </r>
  </si>
  <si>
    <r>
      <t>陈伟</t>
    </r>
    <r>
      <rPr>
        <sz val="11"/>
        <color theme="1"/>
        <rFont val="ＭＳ Ｐゴシック"/>
        <family val="3"/>
        <charset val="128"/>
        <scheme val="minor"/>
      </rPr>
      <t>民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</si>
  <si>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</si>
  <si>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夏九品先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</si>
  <si>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州醉康酒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</si>
  <si>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汽酒; 餐后酒（利口酒和烈酒）; 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清酒; 葡萄酒; 烈酒; 果酒</t>
    </r>
  </si>
  <si>
    <t>族至尊</t>
  </si>
  <si>
    <r>
      <t>陈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</si>
  <si>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米酒; 果酒（含酒精）;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伏特加酒;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</si>
  <si>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t>舍粱</t>
  </si>
  <si>
    <t>李俊萍******************</t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</si>
  <si>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</si>
  <si>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老同老</t>
  </si>
  <si>
    <r>
      <t>何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文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</si>
  <si>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</si>
  <si>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湖黑</t>
    </r>
    <r>
      <rPr>
        <sz val="11"/>
        <color theme="1"/>
        <rFont val="ＭＳ Ｐゴシック"/>
        <family val="3"/>
        <charset val="134"/>
        <scheme val="minor"/>
      </rPr>
      <t>骏马</t>
    </r>
  </si>
  <si>
    <r>
      <t>顾</t>
    </r>
    <r>
      <rPr>
        <sz val="11"/>
        <color theme="1"/>
        <rFont val="ＭＳ Ｐゴシック"/>
        <family val="3"/>
        <charset val="128"/>
        <scheme val="minor"/>
      </rPr>
      <t>文彬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</si>
  <si>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白酒; 蜂蜜酒;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</t>
    </r>
  </si>
  <si>
    <t>炎黄九品匠心</t>
  </si>
  <si>
    <r>
      <t>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餐后酒（利口酒和烈酒）; 果酒; 烈酒; 葡萄酒; 黄酒; 清酒</t>
    </r>
  </si>
  <si>
    <r>
      <t>炎黄九品情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</si>
  <si>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葡萄酒; 白酒; 黄酒; 汽酒; 餐后酒（利口酒和烈酒）; 清酒; 烈酒;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</t>
    </r>
  </si>
  <si>
    <t>御养息</t>
  </si>
  <si>
    <r>
      <t>邯</t>
    </r>
    <r>
      <rPr>
        <sz val="11"/>
        <color theme="1"/>
        <rFont val="ＭＳ Ｐゴシック"/>
        <family val="3"/>
        <charset val="134"/>
        <scheme val="minor"/>
      </rPr>
      <t>郸</t>
    </r>
    <r>
      <rPr>
        <sz val="11"/>
        <color theme="1"/>
        <rFont val="ＭＳ Ｐゴシック"/>
        <family val="3"/>
        <charset val="128"/>
        <scheme val="minor"/>
      </rPr>
      <t>市中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常富食品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</si>
  <si>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白干酒（中国白酒）;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白葡萄酒;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</si>
  <si>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逢正酒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 xml:space="preserve"> FENGZHNEGJIUYE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</si>
  <si>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州逢正酒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</si>
  <si>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米酒; 果酒（含酒精）; 青稞酒;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威士忌</t>
    </r>
  </si>
  <si>
    <r>
      <t>嫡厂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</si>
  <si>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守煌</t>
    </r>
  </si>
  <si>
    <r>
      <t>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白酒; 黄酒; 米酒;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</si>
  <si>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海林市威虎山食品有限公司白酒厂</t>
  </si>
  <si>
    <r>
      <t>露酒;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朗姆酒;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白酒</t>
    </r>
  </si>
  <si>
    <t>行稻</t>
  </si>
  <si>
    <t>成都乾蔚科技有限公司</t>
  </si>
  <si>
    <r>
      <t xml:space="preserve">苹果酒; 白干酒（中国白酒）; 葡萄酒; 米酒; 果酒; 白酒;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</t>
    </r>
  </si>
  <si>
    <t>皖材</t>
  </si>
  <si>
    <r>
      <t>安徽功成世家酒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</si>
  <si>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</si>
  <si>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之方</t>
  </si>
  <si>
    <r>
      <t>四川方寸</t>
    </r>
    <r>
      <rPr>
        <sz val="11"/>
        <color theme="1"/>
        <rFont val="ＭＳ Ｐゴシック"/>
        <family val="3"/>
        <charset val="134"/>
        <scheme val="minor"/>
      </rPr>
      <t>间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</si>
  <si>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朗姆酒; 青梅酒; 茴香酒（利口酒）;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奶油利口酒; 草莓酒;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黄酒; 葡萄酒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</si>
  <si>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夏九品匠心</t>
    </r>
  </si>
  <si>
    <r>
      <t>黄酒;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汽酒; 果酒; 烈酒; 餐后酒（利口酒和烈酒）; 白酒; 清酒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</si>
  <si>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夏九品情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</si>
  <si>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白酒; 烈酒;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葡萄酒; 餐后酒（利口酒和烈酒）; 黄酒; 米酒; 清酒; 果酒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</si>
  <si>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夏九品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士</t>
    </r>
  </si>
  <si>
    <r>
      <t>清酒; 烈酒; 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果酒; 白酒; 汽酒; 葡萄酒</t>
    </r>
  </si>
  <si>
    <t>舌尖粮王</t>
  </si>
  <si>
    <r>
      <t>张</t>
    </r>
    <r>
      <rPr>
        <sz val="11"/>
        <color theme="1"/>
        <rFont val="ＭＳ Ｐゴシック"/>
        <family val="3"/>
        <charset val="128"/>
        <scheme val="minor"/>
      </rPr>
      <t>明亮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</si>
  <si>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</si>
  <si>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心路成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</si>
  <si>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州昕麓教育科技集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</si>
  <si>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青稞酒; 葡萄酒;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白干酒（中国白酒）; 高粱酒</t>
    </r>
  </si>
  <si>
    <r>
      <t>贩</t>
    </r>
    <r>
      <rPr>
        <sz val="11"/>
        <color theme="1"/>
        <rFont val="ＭＳ Ｐゴシック"/>
        <family val="3"/>
        <charset val="128"/>
        <scheme val="minor"/>
      </rPr>
      <t>四方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</si>
  <si>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俊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</si>
  <si>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</si>
  <si>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招商</t>
    </r>
    <r>
      <rPr>
        <sz val="11"/>
        <color theme="1"/>
        <rFont val="ＭＳ Ｐゴシック"/>
        <family val="3"/>
        <charset val="134"/>
        <scheme val="minor"/>
      </rPr>
      <t>玺</t>
    </r>
  </si>
  <si>
    <t>合肥九五之尊食品科技有限公司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</si>
  <si>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</si>
  <si>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LIAN YUXI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</si>
  <si>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遇曦品牌管理有限公司</t>
    </r>
  </si>
  <si>
    <r>
      <t xml:space="preserve">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白葡萄酒</t>
    </r>
  </si>
  <si>
    <t>金太医</t>
  </si>
  <si>
    <t>广州研乳仕食品科技有限公司</t>
  </si>
  <si>
    <r>
      <t>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果酒（含酒精）; 含酒精的气泡水</t>
    </r>
  </si>
  <si>
    <t>中娉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</si>
  <si>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市商台酒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</si>
  <si>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蒸煮提取物（利口酒和烈酒）; 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</si>
  <si>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炎黄九品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士</t>
    </r>
  </si>
  <si>
    <r>
      <t>葡萄酒; 餐后酒（利口酒和烈酒）; 黄酒; 白酒; 汽酒; 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果酒; 米酒</t>
    </r>
  </si>
  <si>
    <r>
      <t>炎黄九品先</t>
    </r>
    <r>
      <rPr>
        <sz val="11"/>
        <color theme="1"/>
        <rFont val="ＭＳ Ｐゴシック"/>
        <family val="3"/>
        <charset val="134"/>
        <scheme val="minor"/>
      </rPr>
      <t>锋</t>
    </r>
  </si>
  <si>
    <r>
      <t>白酒; 汽酒; 米酒; 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果酒; 餐后酒（利口酒和烈酒）; 黄酒; 烈酒</t>
    </r>
  </si>
  <si>
    <t>口咬津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</si>
  <si>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开胃酒; 含酒精的气泡水; 米酒</t>
    </r>
  </si>
  <si>
    <t>启扉</t>
  </si>
  <si>
    <r>
      <t>倪</t>
    </r>
    <r>
      <rPr>
        <sz val="11"/>
        <color theme="1"/>
        <rFont val="ＭＳ Ｐゴシック"/>
        <family val="3"/>
        <charset val="134"/>
        <scheme val="minor"/>
      </rPr>
      <t>显伟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</si>
  <si>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酸酒（低等葡萄酒）;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</si>
  <si>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词</t>
    </r>
    <r>
      <rPr>
        <sz val="11"/>
        <color theme="1"/>
        <rFont val="ＭＳ Ｐゴシック"/>
        <family val="3"/>
        <charset val="128"/>
        <scheme val="minor"/>
      </rPr>
      <t>咖</t>
    </r>
  </si>
  <si>
    <r>
      <t>开封清照文化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</si>
  <si>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白酒; 黄酒; 葡萄酒; 果酒; 清酒;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</si>
  <si>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晗堂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</si>
  <si>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阿</t>
    </r>
    <r>
      <rPr>
        <sz val="11"/>
        <color theme="1"/>
        <rFont val="ＭＳ Ｐゴシック"/>
        <family val="3"/>
        <charset val="134"/>
        <scheme val="minor"/>
      </rPr>
      <t>县鹤</t>
    </r>
    <r>
      <rPr>
        <sz val="11"/>
        <color theme="1"/>
        <rFont val="ＭＳ Ｐゴシック"/>
        <family val="3"/>
        <charset val="128"/>
        <scheme val="minor"/>
      </rPr>
      <t>寿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</si>
  <si>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汽酒</t>
    </r>
  </si>
  <si>
    <t>VIBRANT BUNCH</t>
  </si>
  <si>
    <r>
      <t>保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力加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师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</si>
  <si>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八里罕哈河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</si>
  <si>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伯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牧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</si>
  <si>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蒸煮提取物（利口酒和烈酒）; 食用酒精;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</si>
  <si>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君粮渡</t>
  </si>
  <si>
    <t>梁越</t>
  </si>
  <si>
    <r>
      <t xml:space="preserve">开胃酒; 烈酒; 威士忌;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清酒（日本米酒）; 黄酒</t>
    </r>
  </si>
  <si>
    <t>御井地一坊</t>
  </si>
  <si>
    <t>刘加波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</si>
  <si>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露酒</t>
    </r>
  </si>
  <si>
    <t>泊金湾</t>
  </si>
  <si>
    <r>
      <t>成都国基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</si>
  <si>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利口酒; 果酒（含酒精）; 苦味酒; 杜松子酒; 黄酒; 米酒; 葡萄酒;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</si>
  <si>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画</t>
    </r>
  </si>
  <si>
    <t>徐海虹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</si>
  <si>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</t>
    </r>
  </si>
  <si>
    <r>
      <t>最江</t>
    </r>
    <r>
      <rPr>
        <sz val="11"/>
        <color theme="1"/>
        <rFont val="ＭＳ Ｐゴシック"/>
        <family val="3"/>
        <charset val="134"/>
        <scheme val="minor"/>
      </rPr>
      <t>壶</t>
    </r>
  </si>
  <si>
    <r>
      <t>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葡萄酒; 烈酒; 果酒（含酒精）; 开胃酒; 白酒</t>
    </r>
  </si>
  <si>
    <t>初熙</t>
  </si>
  <si>
    <r>
      <t>成都智澳酒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</si>
  <si>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青稞酒;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</si>
  <si>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浙江才</t>
    </r>
    <r>
      <rPr>
        <sz val="11"/>
        <color theme="1"/>
        <rFont val="ＭＳ Ｐゴシック"/>
        <family val="3"/>
        <charset val="134"/>
        <scheme val="minor"/>
      </rPr>
      <t>鲲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</si>
  <si>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果酒（含酒精）</t>
    </r>
  </si>
  <si>
    <t>MASSIF J</t>
  </si>
  <si>
    <r>
      <t>餐后酒（利口酒和烈酒）; 米酒;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食用酒精</t>
    </r>
  </si>
  <si>
    <r>
      <t>和 和</t>
    </r>
    <r>
      <rPr>
        <sz val="11"/>
        <color theme="1"/>
        <rFont val="ＭＳ Ｐゴシック"/>
        <family val="3"/>
        <charset val="134"/>
        <scheme val="minor"/>
      </rPr>
      <t>记</t>
    </r>
    <r>
      <rPr>
        <sz val="11"/>
        <color theme="1"/>
        <rFont val="ＭＳ Ｐゴシック"/>
        <family val="3"/>
        <charset val="128"/>
        <scheme val="minor"/>
      </rPr>
      <t>小荣和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</si>
  <si>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洋******************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</si>
  <si>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米酒; 露酒; 白酒; 蒸煮提取物（利口酒和烈酒）; 白干酒（中国白酒）; 果酒</t>
    </r>
  </si>
  <si>
    <t>BAROSSADUKE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</si>
  <si>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斯卡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</si>
  <si>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威士忌;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汽酒</t>
    </r>
  </si>
  <si>
    <t>遵加大院</t>
  </si>
  <si>
    <t>冉慧</t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</si>
  <si>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高粱酒;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</t>
    </r>
  </si>
  <si>
    <t>宴粮君</t>
  </si>
  <si>
    <r>
      <t>葡萄酒; 开胃酒;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威士忌; 烈酒</t>
    </r>
  </si>
  <si>
    <t>萍聚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</si>
  <si>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鹭饮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</si>
  <si>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米酒; 果酒; 葡萄酒; 开胃酒; 白酒; 烈酒;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</si>
  <si>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襄</t>
    </r>
    <r>
      <rPr>
        <sz val="11"/>
        <color theme="1"/>
        <rFont val="ＭＳ Ｐゴシック"/>
        <family val="3"/>
        <charset val="134"/>
        <scheme val="minor"/>
      </rPr>
      <t>辉</t>
    </r>
  </si>
  <si>
    <t>丁立群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</si>
  <si>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</si>
  <si>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壮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瑶山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</si>
  <si>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广西桂味堂健康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</si>
  <si>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露酒; 白酒; 食用酒精</t>
    </r>
  </si>
  <si>
    <t>祥云百姓</t>
  </si>
  <si>
    <r>
      <t>祥云百姓健康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房</t>
    </r>
    <r>
      <rPr>
        <sz val="11"/>
        <color theme="1"/>
        <rFont val="ＭＳ Ｐゴシック"/>
        <family val="3"/>
        <charset val="134"/>
        <scheme val="minor"/>
      </rPr>
      <t>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</si>
  <si>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</si>
  <si>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伊留</t>
  </si>
  <si>
    <t>刘建福</t>
  </si>
  <si>
    <r>
      <t>果酒（含酒精）; 葡萄酒;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</si>
  <si>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柳至尊</t>
  </si>
  <si>
    <t>余林香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</si>
  <si>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</si>
  <si>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钟</t>
    </r>
    <r>
      <rPr>
        <sz val="11"/>
        <color theme="1"/>
        <rFont val="ＭＳ Ｐゴシック"/>
        <family val="3"/>
        <charset val="128"/>
        <scheme val="minor"/>
      </rPr>
      <t>酒涌盛</t>
    </r>
    <r>
      <rPr>
        <sz val="11"/>
        <color theme="1"/>
        <rFont val="ＭＳ Ｐゴシック"/>
        <family val="3"/>
        <charset val="134"/>
        <scheme val="minor"/>
      </rPr>
      <t>鲁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</si>
  <si>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开胃酒; 食用酒精</t>
    </r>
  </si>
  <si>
    <t>都朋</t>
  </si>
  <si>
    <r>
      <t>李</t>
    </r>
    <r>
      <rPr>
        <sz val="11"/>
        <color theme="1"/>
        <rFont val="ＭＳ Ｐゴシック"/>
        <family val="3"/>
        <charset val="134"/>
        <scheme val="minor"/>
      </rPr>
      <t>贵庆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</si>
  <si>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食用酒精;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葡萄酒; 果酒（含酒精）;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</si>
  <si>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淮百福</t>
  </si>
  <si>
    <r>
      <t>彭</t>
    </r>
    <r>
      <rPr>
        <sz val="11"/>
        <color theme="1"/>
        <rFont val="ＭＳ Ｐゴシック"/>
        <family val="3"/>
        <charset val="134"/>
        <scheme val="minor"/>
      </rPr>
      <t>灿</t>
    </r>
  </si>
  <si>
    <r>
      <t>果酒（含酒精）; 清酒（日本米酒）; 白酒; 食用酒精; 青稞酒;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</si>
  <si>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南成杰建筑装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</si>
  <si>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</t>
    </r>
  </si>
  <si>
    <t>卞哥</t>
  </si>
  <si>
    <r>
      <t>延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卞哥餐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</si>
  <si>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薄荷酒; 葡萄酒;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开胃酒;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</si>
  <si>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开胃酒; 果酒（含酒精）; 黄酒; 食用酒精;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</si>
  <si>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东边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</si>
  <si>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宁牛庄大曲酒厂</t>
    </r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</si>
  <si>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清酒; 米酒; 黄酒;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</si>
  <si>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t>伯湖山 酒</t>
  </si>
  <si>
    <r>
      <t>龙</t>
    </r>
    <r>
      <rPr>
        <sz val="11"/>
        <color theme="1"/>
        <rFont val="ＭＳ Ｐゴシック"/>
        <family val="3"/>
        <charset val="128"/>
        <scheme val="minor"/>
      </rPr>
      <t>岩市巨泰信息技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</si>
  <si>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</t>
    </r>
  </si>
  <si>
    <t>千谷喜</t>
  </si>
  <si>
    <r>
      <t>任宏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</si>
  <si>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</si>
  <si>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澈帝</t>
  </si>
  <si>
    <r>
      <t>何</t>
    </r>
    <r>
      <rPr>
        <sz val="11"/>
        <color theme="1"/>
        <rFont val="ＭＳ Ｐゴシック"/>
        <family val="3"/>
        <charset val="134"/>
        <scheme val="minor"/>
      </rPr>
      <t>则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</si>
  <si>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 xml:space="preserve">黄酒; 白酒; 开胃酒;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</t>
    </r>
  </si>
  <si>
    <r>
      <t>阿</t>
    </r>
    <r>
      <rPr>
        <sz val="11"/>
        <color theme="1"/>
        <rFont val="ＭＳ Ｐゴシック"/>
        <family val="3"/>
        <charset val="134"/>
        <scheme val="minor"/>
      </rPr>
      <t>萨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菜</t>
    </r>
  </si>
  <si>
    <r>
      <t>云南麦迪</t>
    </r>
    <r>
      <rPr>
        <sz val="11"/>
        <color theme="1"/>
        <rFont val="ＭＳ Ｐゴシック"/>
        <family val="3"/>
        <charset val="134"/>
        <scheme val="minor"/>
      </rPr>
      <t>纳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</si>
  <si>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白酒; 葡萄酒; 黄酒; 青稞酒; 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</si>
  <si>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谷中花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</si>
  <si>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</si>
  <si>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酒丐</t>
  </si>
  <si>
    <r>
      <t>河南双</t>
    </r>
    <r>
      <rPr>
        <sz val="11"/>
        <color theme="1"/>
        <rFont val="ＭＳ Ｐゴシック"/>
        <family val="3"/>
        <charset val="134"/>
        <scheme val="minor"/>
      </rPr>
      <t>连壶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</si>
  <si>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青稞酒; 薄荷酒;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</si>
  <si>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其</t>
    </r>
    <r>
      <rPr>
        <sz val="11"/>
        <color theme="1"/>
        <rFont val="ＭＳ Ｐゴシック"/>
        <family val="3"/>
        <charset val="134"/>
        <scheme val="minor"/>
      </rPr>
      <t>谚</t>
    </r>
    <r>
      <rPr>
        <sz val="11"/>
        <color theme="1"/>
        <rFont val="ＭＳ Ｐゴシック"/>
        <family val="3"/>
        <charset val="128"/>
        <scheme val="minor"/>
      </rPr>
      <t>私藏</t>
    </r>
  </si>
  <si>
    <r>
      <t>潘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媛</t>
    </r>
  </si>
  <si>
    <r>
      <t>白酒; 黄酒; 米酒; 果酒（含酒精）; 葡萄酒;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</si>
  <si>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甄丰</t>
  </si>
  <si>
    <r>
      <t>曾云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</si>
  <si>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葡萄酒;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白酒; 米酒; 高粱酒</t>
    </r>
  </si>
  <si>
    <r>
      <t>云南国恩企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</si>
  <si>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青稞酒;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朗姆酒;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</si>
  <si>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君朝圣品</t>
  </si>
  <si>
    <t>何琳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</si>
  <si>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白酒; 威士忌;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清酒（日本米酒）</t>
    </r>
  </si>
  <si>
    <r>
      <t>三笑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堂</t>
    </r>
  </si>
  <si>
    <t>吴敏</t>
  </si>
  <si>
    <r>
      <t xml:space="preserve">葡萄酒; 黄酒; 开胃酒;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食用酒精</t>
    </r>
  </si>
  <si>
    <t>DI 01</t>
  </si>
  <si>
    <r>
      <t>法国迪奥商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</si>
  <si>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</si>
  <si>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t>圣天尼</t>
  </si>
  <si>
    <t>张凯鹏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</si>
  <si>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果酒（含酒精）; 甜酒; 白酒; 高粱酒;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</si>
  <si>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稻村口</t>
  </si>
  <si>
    <r>
      <t>威士忌;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清酒（日本米酒）; 葡萄酒</t>
    </r>
  </si>
  <si>
    <t>厚功夫</t>
  </si>
  <si>
    <r>
      <t>王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国</t>
    </r>
  </si>
  <si>
    <r>
      <t>白酒; 果酒;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</si>
  <si>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淮酒沁香坊</t>
  </si>
  <si>
    <r>
      <t>淮安荣辰</t>
    </r>
    <r>
      <rPr>
        <sz val="11"/>
        <color theme="1"/>
        <rFont val="ＭＳ Ｐゴシック"/>
        <family val="3"/>
        <charset val="134"/>
        <scheme val="minor"/>
      </rPr>
      <t>实业发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</si>
  <si>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</t>
    </r>
  </si>
  <si>
    <r>
      <t>惠州喜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</si>
  <si>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食用酒精; 黄酒; 威士忌; 蜂蜜酒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</si>
  <si>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天兵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</si>
  <si>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利口酒</t>
    </r>
  </si>
  <si>
    <t>FAMSUING</t>
  </si>
  <si>
    <r>
      <t>江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林保健食品有限公司</t>
    </r>
  </si>
  <si>
    <r>
      <t xml:space="preserve">混合威士忌酒; 柑香酒;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威士忌; 利口酒; 伏特加酒;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</t>
    </r>
  </si>
  <si>
    <r>
      <t>祥云醉彝</t>
    </r>
    <r>
      <rPr>
        <sz val="11"/>
        <color theme="1"/>
        <rFont val="ＭＳ Ｐゴシック"/>
        <family val="3"/>
        <charset val="134"/>
        <scheme val="minor"/>
      </rPr>
      <t>乡</t>
    </r>
  </si>
  <si>
    <r>
      <t>李大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</si>
  <si>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 xml:space="preserve">烈酒; 清酒;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</si>
  <si>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双石丹</t>
  </si>
  <si>
    <r>
      <t>北京新</t>
    </r>
    <r>
      <rPr>
        <sz val="11"/>
        <color theme="1"/>
        <rFont val="ＭＳ Ｐゴシック"/>
        <family val="3"/>
        <charset val="134"/>
        <scheme val="minor"/>
      </rPr>
      <t>丝</t>
    </r>
    <r>
      <rPr>
        <sz val="11"/>
        <color theme="1"/>
        <rFont val="ＭＳ Ｐゴシック"/>
        <family val="3"/>
        <charset val="128"/>
        <scheme val="minor"/>
      </rPr>
      <t>路宜之德企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</si>
  <si>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清酒（日本米酒）;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</si>
  <si>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桂湖好礼</t>
  </si>
  <si>
    <r>
      <t xml:space="preserve">果酒; 烈酒;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黄酒; 蜂蜜酒; 清酒; 高粱酒</t>
    </r>
  </si>
  <si>
    <r>
      <t>今津弘高城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庄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</si>
  <si>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市八脉酒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</si>
  <si>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白酒; 葡萄酒; 黄酒; 米酒; 高粱酒; 白干酒（中国白酒）;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</si>
  <si>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盛芸瑞</t>
  </si>
  <si>
    <r>
      <t>林州市</t>
    </r>
    <r>
      <rPr>
        <sz val="11"/>
        <color theme="1"/>
        <rFont val="ＭＳ Ｐゴシック"/>
        <family val="3"/>
        <charset val="134"/>
        <scheme val="minor"/>
      </rPr>
      <t>纳杨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</si>
  <si>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</si>
  <si>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陈华</t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</si>
  <si>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</si>
  <si>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江粮酒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</si>
  <si>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果酒（含酒精）; 伏特加酒;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酸酒（低等葡萄酒）</t>
    </r>
  </si>
  <si>
    <t>富卿芝</t>
  </si>
  <si>
    <r>
      <t>旌德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谷村灵芝种植有限公司</t>
    </r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</si>
  <si>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食用酒精; 黄酒; 葡萄酒; 米酒; 青梅酒</t>
    </r>
  </si>
  <si>
    <r>
      <t>合</t>
    </r>
    <r>
      <rPr>
        <sz val="11"/>
        <color theme="1"/>
        <rFont val="ＭＳ Ｐゴシック"/>
        <family val="3"/>
        <charset val="134"/>
        <scheme val="minor"/>
      </rPr>
      <t>矿</t>
    </r>
  </si>
  <si>
    <r>
      <t>安徽合</t>
    </r>
    <r>
      <rPr>
        <sz val="11"/>
        <color theme="1"/>
        <rFont val="ＭＳ Ｐゴシック"/>
        <family val="3"/>
        <charset val="134"/>
        <scheme val="minor"/>
      </rPr>
      <t>矿</t>
    </r>
    <r>
      <rPr>
        <sz val="11"/>
        <color theme="1"/>
        <rFont val="ＭＳ Ｐゴシック"/>
        <family val="3"/>
        <charset val="128"/>
        <scheme val="minor"/>
      </rPr>
      <t>智能科技有限公司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</si>
  <si>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黑醋栗酒;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含酒精蛋奶酒;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蜂蜜酒</t>
    </r>
  </si>
  <si>
    <t>王茂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</si>
  <si>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米酒;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白葡萄酒; 高粱酒; 甜果酒;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</si>
  <si>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标</t>
    </r>
    <r>
      <rPr>
        <sz val="11"/>
        <color theme="1"/>
        <rFont val="ＭＳ Ｐゴシック"/>
        <family val="3"/>
        <charset val="128"/>
        <scheme val="minor"/>
      </rPr>
      <t>台酒庄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</si>
  <si>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州池窖坊酒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</si>
  <si>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</si>
  <si>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天禧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福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</si>
  <si>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涵珺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</si>
  <si>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</si>
  <si>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四川港投嘉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</si>
  <si>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露酒; 果酒（含酒精）; 白酒;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威士忌; 清酒（日本米酒）; 葡萄酒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</si>
  <si>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涵 JINHAN SPIRITS</t>
    </r>
  </si>
  <si>
    <r>
      <t>成都文德</t>
    </r>
    <r>
      <rPr>
        <sz val="11"/>
        <color theme="1"/>
        <rFont val="ＭＳ Ｐゴシック"/>
        <family val="3"/>
        <charset val="134"/>
        <scheme val="minor"/>
      </rPr>
      <t>职业</t>
    </r>
    <r>
      <rPr>
        <sz val="11"/>
        <color theme="1"/>
        <rFont val="ＭＳ Ｐゴシック"/>
        <family val="3"/>
        <charset val="128"/>
        <scheme val="minor"/>
      </rPr>
      <t>技能培</t>
    </r>
    <r>
      <rPr>
        <sz val="11"/>
        <color theme="1"/>
        <rFont val="ＭＳ Ｐゴシック"/>
        <family val="3"/>
        <charset val="134"/>
        <scheme val="minor"/>
      </rPr>
      <t>训</t>
    </r>
    <r>
      <rPr>
        <sz val="11"/>
        <color theme="1"/>
        <rFont val="ＭＳ Ｐゴシック"/>
        <family val="3"/>
        <charset val="128"/>
        <scheme val="minor"/>
      </rPr>
      <t>学校</t>
    </r>
  </si>
  <si>
    <r>
      <t>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</si>
  <si>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永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</si>
  <si>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果酒（含酒精）; 食用酒精; 葡萄酒; 白酒</t>
    </r>
  </si>
  <si>
    <r>
      <t>德</t>
    </r>
    <r>
      <rPr>
        <sz val="11"/>
        <color theme="1"/>
        <rFont val="ＭＳ Ｐゴシック"/>
        <family val="3"/>
        <charset val="134"/>
        <scheme val="minor"/>
      </rPr>
      <t>贤</t>
    </r>
    <r>
      <rPr>
        <sz val="11"/>
        <color theme="1"/>
        <rFont val="ＭＳ Ｐゴシック"/>
        <family val="3"/>
        <charset val="128"/>
        <scheme val="minor"/>
      </rPr>
      <t>堂卿品</t>
    </r>
  </si>
  <si>
    <r>
      <t>四川淳醇酒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</si>
  <si>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五加皮酒（中国混合烈酒）; 白酒;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烈酒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</si>
  <si>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有秀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</si>
  <si>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酸酒（低等葡萄酒）; 葡萄酒;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青稞酒</t>
    </r>
  </si>
  <si>
    <t>福合一堂</t>
  </si>
  <si>
    <r>
      <t>爱</t>
    </r>
    <r>
      <rPr>
        <sz val="11"/>
        <color theme="1"/>
        <rFont val="ＭＳ Ｐゴシック"/>
        <family val="3"/>
        <charset val="128"/>
        <scheme val="minor"/>
      </rPr>
      <t>合一堂企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管理（海口）有限公司</t>
    </r>
  </si>
  <si>
    <r>
      <t>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</si>
  <si>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帅</t>
    </r>
    <r>
      <rPr>
        <sz val="11"/>
        <color theme="1"/>
        <rFont val="ＭＳ Ｐゴシック"/>
        <family val="3"/>
        <charset val="128"/>
        <scheme val="minor"/>
      </rPr>
      <t>位</t>
    </r>
  </si>
  <si>
    <r>
      <t xml:space="preserve">米酒; 甘蔗制烈酒; 葡萄酒;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</si>
  <si>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康益全民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</si>
  <si>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市太阳神</t>
    </r>
    <r>
      <rPr>
        <sz val="11"/>
        <color theme="1"/>
        <rFont val="ＭＳ Ｐゴシック"/>
        <family val="3"/>
        <charset val="134"/>
        <scheme val="minor"/>
      </rPr>
      <t>专卖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</si>
  <si>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 xml:space="preserve">高粱酒; 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果酒; 米酒; 朗姆酒; 黄酒; 清酒</t>
    </r>
  </si>
  <si>
    <r>
      <t>毓</t>
    </r>
    <r>
      <rPr>
        <sz val="11"/>
        <color theme="1"/>
        <rFont val="ＭＳ Ｐゴシック"/>
        <family val="3"/>
        <charset val="134"/>
        <scheme val="minor"/>
      </rPr>
      <t>鸥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</si>
  <si>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盛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恒（北京）建筑工程有限公司</t>
    </r>
  </si>
  <si>
    <r>
      <t xml:space="preserve">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食用酒精; 果酒（含酒精）; 米酒; 白酒; 葡萄酒</t>
    </r>
  </si>
  <si>
    <r>
      <t>尊宴</t>
    </r>
    <r>
      <rPr>
        <sz val="11"/>
        <color theme="1"/>
        <rFont val="ＭＳ Ｐゴシック"/>
        <family val="3"/>
        <charset val="129"/>
        <scheme val="minor"/>
      </rPr>
      <t>怀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</si>
  <si>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米酒; 甘蔗制烈酒;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</si>
  <si>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中喜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</si>
  <si>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</si>
  <si>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</si>
  <si>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ABWI</t>
  </si>
  <si>
    <r>
      <t>张</t>
    </r>
    <r>
      <rPr>
        <sz val="11"/>
        <color theme="1"/>
        <rFont val="ＭＳ Ｐゴシック"/>
        <family val="3"/>
        <charset val="128"/>
        <scheme val="minor"/>
      </rPr>
      <t>大勇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</si>
  <si>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开胃酒; 葡萄酒; 威士忌;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</t>
    </r>
  </si>
  <si>
    <r>
      <t>三裕酒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</si>
  <si>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米酒; 果酒（含酒精）</t>
    </r>
  </si>
  <si>
    <r>
      <t>九州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</si>
  <si>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林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珍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</si>
  <si>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</si>
  <si>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喜哥</t>
    </r>
    <r>
      <rPr>
        <sz val="11"/>
        <color theme="1"/>
        <rFont val="ＭＳ Ｐゴシック"/>
        <family val="3"/>
        <charset val="134"/>
        <scheme val="minor"/>
      </rPr>
      <t>俩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</si>
  <si>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</si>
  <si>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祖卡迪茱莉</t>
  </si>
  <si>
    <r>
      <t>上海酒来</t>
    </r>
    <r>
      <rPr>
        <sz val="11"/>
        <color theme="1"/>
        <rFont val="ＭＳ Ｐゴシック"/>
        <family val="3"/>
        <charset val="134"/>
        <scheme val="minor"/>
      </rPr>
      <t>缘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</si>
  <si>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烈酒; 葡萄酒; 威士忌; 黄酒; 高粱酒; 甜酒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</si>
  <si>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东鸿钧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</si>
  <si>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白酒; 黄酒</t>
    </r>
  </si>
  <si>
    <r>
      <t>杭州向北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</si>
  <si>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米酒;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</si>
  <si>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美菜甄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</si>
  <si>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北京云杉世界信息技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</si>
  <si>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米酒; 开胃酒; 果酒（含酒精）</t>
    </r>
  </si>
  <si>
    <t>疆城城主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</si>
  <si>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庆华</t>
    </r>
    <r>
      <rPr>
        <sz val="11"/>
        <color theme="1"/>
        <rFont val="ＭＳ Ｐゴシック"/>
        <family val="3"/>
        <charset val="128"/>
        <scheme val="minor"/>
      </rPr>
      <t>溪村焦婆婆食品坊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</si>
  <si>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白干酒（中国白酒）; 果酒; 米酒; 高粱酒;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蒸煮提取物（利口酒和烈酒）</t>
    </r>
  </si>
  <si>
    <t>EICHHOLTZ</t>
  </si>
  <si>
    <r>
      <t>张</t>
    </r>
    <r>
      <rPr>
        <sz val="11"/>
        <color theme="1"/>
        <rFont val="ＭＳ Ｐゴシック"/>
        <family val="3"/>
        <charset val="128"/>
        <scheme val="minor"/>
      </rPr>
      <t>宝清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</si>
  <si>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米酒; 白酒;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</t>
    </r>
  </si>
  <si>
    <r>
      <t>嵘</t>
    </r>
    <r>
      <rPr>
        <sz val="11"/>
        <color theme="1"/>
        <rFont val="ＭＳ Ｐゴシック"/>
        <family val="3"/>
        <charset val="128"/>
        <scheme val="minor"/>
      </rPr>
      <t>藏</t>
    </r>
    <r>
      <rPr>
        <sz val="11"/>
        <color theme="1"/>
        <rFont val="ＭＳ Ｐゴシック"/>
        <family val="3"/>
        <charset val="134"/>
        <scheme val="minor"/>
      </rPr>
      <t>玺</t>
    </r>
  </si>
  <si>
    <t>陈贺军</t>
  </si>
  <si>
    <r>
      <t>高粱酒;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食用酒精;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</si>
  <si>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窖河</t>
    </r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</si>
  <si>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黄酒; 清酒（日本米酒）; 蜂蜜酒</t>
    </r>
  </si>
  <si>
    <r>
      <t>朗蒂菲（上海）酒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</si>
  <si>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果酒; 葡萄酒; 黄酒; 清酒;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伏特加酒</t>
    </r>
  </si>
  <si>
    <t>子雨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</si>
  <si>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伏特加酒; 白干酒（中国白酒）; 威士忌;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</si>
  <si>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华绿</t>
    </r>
    <r>
      <rPr>
        <sz val="11"/>
        <color theme="1"/>
        <rFont val="ＭＳ Ｐゴシック"/>
        <family val="3"/>
        <charset val="128"/>
        <scheme val="minor"/>
      </rPr>
      <t>韵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香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</si>
  <si>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萍******************</t>
    </r>
  </si>
  <si>
    <r>
      <t xml:space="preserve">清酒; 黄酒; 果酒; 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</si>
  <si>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天估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德</t>
    </r>
  </si>
  <si>
    <r>
      <t>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市利德</t>
    </r>
    <r>
      <rPr>
        <sz val="11"/>
        <color theme="1"/>
        <rFont val="ＭＳ Ｐゴシック"/>
        <family val="3"/>
        <charset val="134"/>
        <scheme val="minor"/>
      </rPr>
      <t>华纸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</si>
  <si>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果酒（含酒精）; 白酒; 青稞酒; 黄酒; 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</si>
  <si>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日庄园乾和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</si>
  <si>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苏红</t>
    </r>
    <r>
      <rPr>
        <sz val="11"/>
        <color theme="1"/>
        <rFont val="ＭＳ Ｐゴシック"/>
        <family val="3"/>
        <charset val="128"/>
        <scheme val="minor"/>
      </rPr>
      <t>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</si>
  <si>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</si>
  <si>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圆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</si>
  <si>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阳</t>
    </r>
    <r>
      <rPr>
        <sz val="11"/>
        <color theme="1"/>
        <rFont val="ＭＳ Ｐゴシック"/>
        <family val="3"/>
        <charset val="134"/>
        <scheme val="minor"/>
      </rPr>
      <t>现</t>
    </r>
    <r>
      <rPr>
        <sz val="11"/>
        <color theme="1"/>
        <rFont val="ＭＳ Ｐゴシック"/>
        <family val="3"/>
        <charset val="128"/>
        <scheme val="minor"/>
      </rPr>
      <t>代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</si>
  <si>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朗姆酒; 威士忌;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蜂蜜酒</t>
    </r>
  </si>
  <si>
    <r>
      <t>榆</t>
    </r>
    <r>
      <rPr>
        <sz val="11"/>
        <color theme="1"/>
        <rFont val="ＭＳ Ｐゴシック"/>
        <family val="3"/>
        <charset val="128"/>
        <scheme val="minor"/>
      </rPr>
      <t>快</t>
    </r>
    <r>
      <rPr>
        <sz val="11"/>
        <color theme="1"/>
        <rFont val="ＭＳ Ｐゴシック"/>
        <family val="3"/>
        <charset val="134"/>
        <scheme val="minor"/>
      </rPr>
      <t>购</t>
    </r>
  </si>
  <si>
    <r>
      <t>连</t>
    </r>
    <r>
      <rPr>
        <sz val="11"/>
        <color theme="1"/>
        <rFont val="ＭＳ Ｐゴシック"/>
        <family val="3"/>
        <charset val="128"/>
        <scheme val="minor"/>
      </rPr>
      <t>云港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海城市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</si>
  <si>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梨酒;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</si>
  <si>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黔在手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</si>
  <si>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紫</t>
    </r>
    <r>
      <rPr>
        <sz val="11"/>
        <color theme="1"/>
        <rFont val="ＭＳ Ｐゴシック"/>
        <family val="3"/>
        <charset val="134"/>
        <scheme val="minor"/>
      </rPr>
      <t>钥</t>
    </r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</si>
  <si>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食用酒精;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白酒; 高粱酒</t>
    </r>
  </si>
  <si>
    <t>坊言</t>
  </si>
  <si>
    <r>
      <t>杨</t>
    </r>
    <r>
      <rPr>
        <sz val="11"/>
        <color theme="1"/>
        <rFont val="ＭＳ Ｐゴシック"/>
        <family val="3"/>
        <charset val="128"/>
        <scheme val="minor"/>
      </rPr>
      <t>立宁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</si>
  <si>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</si>
  <si>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京台</t>
    </r>
    <r>
      <rPr>
        <sz val="11"/>
        <color theme="1"/>
        <rFont val="ＭＳ Ｐゴシック"/>
        <family val="3"/>
        <charset val="134"/>
        <scheme val="minor"/>
      </rPr>
      <t>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</si>
  <si>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白干酒（中国白酒）; 葡萄酒</t>
    </r>
  </si>
  <si>
    <r>
      <t>邑杯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</si>
  <si>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徐浩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</si>
  <si>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</si>
  <si>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粮与山</t>
  </si>
  <si>
    <t>毛文祥</t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</si>
  <si>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</si>
  <si>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水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</si>
  <si>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高粱酒</t>
    </r>
  </si>
  <si>
    <t>王利麸</t>
  </si>
  <si>
    <r>
      <t>北京中酒世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</si>
  <si>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</si>
  <si>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r>
      <t>鲁丽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</si>
  <si>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威士忌; 伏特加酒; 青稞酒; 白酒; 果酒（含酒精）; 朗姆酒; 利口酒;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</si>
  <si>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玉篆</t>
  </si>
  <si>
    <r>
      <t>威士忌;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果酒（含酒精）; 伏特加酒; 葡萄酒</t>
    </r>
  </si>
  <si>
    <r>
      <t>陌</t>
    </r>
    <r>
      <rPr>
        <sz val="11"/>
        <color theme="1"/>
        <rFont val="ＭＳ Ｐゴシック"/>
        <family val="3"/>
        <charset val="134"/>
        <scheme val="minor"/>
      </rPr>
      <t>问</t>
    </r>
  </si>
  <si>
    <r>
      <t xml:space="preserve">清酒（日本米酒）; 黄酒; 开胃酒; 葡萄酒;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</si>
  <si>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日庄园蝶恋花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</si>
  <si>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利口酒;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</si>
  <si>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行</t>
    </r>
  </si>
  <si>
    <r>
      <t xml:space="preserve">黄酒; 烈酒; 白酒; 开胃酒; 果酒（含酒精）; 清酒（日本米酒）;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</si>
  <si>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亚</t>
    </r>
    <r>
      <rPr>
        <sz val="11"/>
        <color theme="1"/>
        <rFont val="ＭＳ Ｐゴシック"/>
        <family val="3"/>
        <charset val="128"/>
        <scheme val="minor"/>
      </rPr>
      <t>分源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</si>
  <si>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家界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生源酒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</si>
  <si>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蜂蜜酒;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</si>
  <si>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雎卅王子</t>
  </si>
  <si>
    <r>
      <t xml:space="preserve">露酒; 白酒; 高粱酒; 米酒; 佐餐酒; 伏特加酒;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</si>
  <si>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旧墟故事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</si>
  <si>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莞市盟达食品有限公司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</si>
  <si>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苹果酒; 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</si>
  <si>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赫兮</t>
  </si>
  <si>
    <r>
      <t>张</t>
    </r>
    <r>
      <rPr>
        <sz val="11"/>
        <color theme="1"/>
        <rFont val="ＭＳ Ｐゴシック"/>
        <family val="3"/>
        <charset val="128"/>
        <scheme val="minor"/>
      </rPr>
      <t>群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</si>
  <si>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汽酒;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</si>
  <si>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三晋兄弟酒庄</t>
  </si>
  <si>
    <r>
      <t>濮阳市国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</si>
  <si>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甘蔗制烈酒;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</si>
  <si>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欧小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</si>
  <si>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亳州市力壮酒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</si>
  <si>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果酒; 高粱酒;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</t>
    </r>
  </si>
  <si>
    <t>首密佰草春</t>
  </si>
  <si>
    <r>
      <t>辉县</t>
    </r>
    <r>
      <rPr>
        <sz val="11"/>
        <color theme="1"/>
        <rFont val="ＭＳ Ｐゴシック"/>
        <family val="3"/>
        <charset val="128"/>
        <scheme val="minor"/>
      </rPr>
      <t>市新星商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</si>
  <si>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米酒</t>
    </r>
  </si>
  <si>
    <t>佳城富供</t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</si>
  <si>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江省耕食利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</si>
  <si>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食用酒精; 果酒（含酒精）;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威士忌</t>
    </r>
  </si>
  <si>
    <r>
      <t>洯</t>
    </r>
    <r>
      <rPr>
        <sz val="11"/>
        <color theme="1"/>
        <rFont val="ＭＳ Ｐゴシック"/>
        <family val="3"/>
        <charset val="134"/>
        <scheme val="minor"/>
      </rPr>
      <t>丝</t>
    </r>
  </si>
  <si>
    <r>
      <t>微醺泉（广州）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用水有限公司</t>
    </r>
  </si>
  <si>
    <r>
      <t xml:space="preserve">餐后酒（利口酒和烈酒）; 清酒（日本米酒）; 黄酒;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青稞酒; 米酒</t>
    </r>
  </si>
  <si>
    <t>峪杏坊</t>
  </si>
  <si>
    <r>
      <t>李振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</si>
  <si>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苹果酒;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</si>
  <si>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纸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</si>
  <si>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温州市瓯海区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雅展富</t>
    </r>
    <r>
      <rPr>
        <sz val="11"/>
        <color theme="1"/>
        <rFont val="ＭＳ Ｐゴシック"/>
        <family val="3"/>
        <charset val="134"/>
        <scheme val="minor"/>
      </rPr>
      <t>经济发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</si>
  <si>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葡萄酒; 清酒（日本米酒）; 米酒; 白酒; 开胃酒; 果酒（含酒精）</t>
    </r>
  </si>
  <si>
    <t>与呼同行</t>
  </si>
  <si>
    <r>
      <t>陈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34"/>
        <scheme val="minor"/>
      </rPr>
      <t>刚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</si>
  <si>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葡萄酒;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</si>
  <si>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布舟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</si>
  <si>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</si>
  <si>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黎氏吉木堂</t>
  </si>
  <si>
    <t>成都吉木堂健康管理有限公司</t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</si>
  <si>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烈酒; 果酒（含酒精）; 白酒</t>
    </r>
  </si>
  <si>
    <r>
      <t>贵涡</t>
    </r>
    <r>
      <rPr>
        <sz val="11"/>
        <color theme="1"/>
        <rFont val="ＭＳ Ｐゴシック"/>
        <family val="3"/>
        <charset val="128"/>
        <scheme val="minor"/>
      </rPr>
      <t>福禄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</si>
  <si>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</si>
  <si>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 xml:space="preserve">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</si>
  <si>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古川酒庄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</si>
  <si>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气泡酒; 米酒; 白酒; 黄酒; 露酒;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</si>
  <si>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仙翁操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</si>
  <si>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红桥</t>
    </r>
    <r>
      <rPr>
        <sz val="11"/>
        <color theme="1"/>
        <rFont val="ＭＳ Ｐゴシック"/>
        <family val="3"/>
        <charset val="128"/>
        <scheme val="minor"/>
      </rPr>
      <t>画廊有限公司</t>
    </r>
  </si>
  <si>
    <r>
      <t xml:space="preserve">果酒（含酒精）; 清酒（日本米酒）; 威士忌; 米酒;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</si>
  <si>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r>
      <t>朗汐臻</t>
    </r>
    <r>
      <rPr>
        <sz val="11"/>
        <color theme="1"/>
        <rFont val="ＭＳ Ｐゴシック"/>
        <family val="3"/>
        <charset val="134"/>
        <scheme val="minor"/>
      </rPr>
      <t>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</si>
  <si>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瑞</t>
    </r>
  </si>
  <si>
    <r>
      <t>苹果酒;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白酒; 甜酒; 葡萄酒;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开胃酒; 果酒</t>
    </r>
  </si>
  <si>
    <t>宾贤</t>
  </si>
  <si>
    <r>
      <t>张</t>
    </r>
    <r>
      <rPr>
        <sz val="11"/>
        <color theme="1"/>
        <rFont val="ＭＳ Ｐゴシック"/>
        <family val="3"/>
        <charset val="128"/>
        <scheme val="minor"/>
      </rPr>
      <t>吉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</si>
  <si>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威士忌; 果酒（含酒精）</t>
    </r>
  </si>
  <si>
    <t>林凌泉</t>
  </si>
  <si>
    <t>刘薇薇</t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</si>
  <si>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食用酒精; 黄酒;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</t>
    </r>
  </si>
  <si>
    <t>西湖虎跑</t>
  </si>
  <si>
    <t>韩杨</t>
  </si>
  <si>
    <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混合威士忌酒; 果酒（含酒精）; 开胃酒; 米酒;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</si>
  <si>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生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智家</t>
    </r>
  </si>
  <si>
    <r>
      <t>上海水智家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</si>
  <si>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汽酒;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</si>
  <si>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梨云春思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</si>
  <si>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果酒（含酒精）; 米酒</t>
    </r>
  </si>
  <si>
    <r>
      <t>琴</t>
    </r>
    <r>
      <rPr>
        <sz val="11"/>
        <color theme="1"/>
        <rFont val="ＭＳ Ｐゴシック"/>
        <family val="3"/>
        <charset val="134"/>
        <scheme val="minor"/>
      </rPr>
      <t>书乐</t>
    </r>
    <r>
      <rPr>
        <sz val="11"/>
        <color theme="1"/>
        <rFont val="ＭＳ Ｐゴシック"/>
        <family val="3"/>
        <charset val="128"/>
        <scheme val="minor"/>
      </rPr>
      <t>道</t>
    </r>
  </si>
  <si>
    <r>
      <t xml:space="preserve">米酒; 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</t>
    </r>
  </si>
  <si>
    <r>
      <t>白露</t>
    </r>
    <r>
      <rPr>
        <sz val="11"/>
        <color theme="1"/>
        <rFont val="ＭＳ Ｐゴシック"/>
        <family val="3"/>
        <charset val="134"/>
        <scheme val="minor"/>
      </rPr>
      <t>诗轻</t>
    </r>
  </si>
  <si>
    <r>
      <t>河北</t>
    </r>
    <r>
      <rPr>
        <sz val="11"/>
        <color theme="1"/>
        <rFont val="ＭＳ Ｐゴシック"/>
        <family val="3"/>
        <charset val="134"/>
        <scheme val="minor"/>
      </rPr>
      <t>汇蓝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</si>
  <si>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葡萄酒;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</si>
  <si>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方源真</t>
    </r>
    <r>
      <rPr>
        <sz val="11"/>
        <color theme="1"/>
        <rFont val="ＭＳ Ｐゴシック"/>
        <family val="3"/>
        <charset val="134"/>
        <scheme val="minor"/>
      </rPr>
      <t>龙</t>
    </r>
  </si>
  <si>
    <t>方名建</t>
  </si>
  <si>
    <r>
      <t>茴芹酒（利口酒）;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葡萄酒; 果酒（含酒精）;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</si>
  <si>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峡里春</t>
  </si>
  <si>
    <t>江山市益丰白酒作坊</t>
  </si>
  <si>
    <r>
      <t>蒸煮提取物（利口酒和烈酒）; 米酒; 黄酒; 食用酒精;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</t>
    </r>
  </si>
  <si>
    <r>
      <t>沁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</si>
  <si>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治市沁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舒生物科技有限公司</t>
    </r>
  </si>
  <si>
    <r>
      <t xml:space="preserve">清酒;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葡萄酒; 白酒</t>
    </r>
  </si>
  <si>
    <r>
      <t>沅江富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</si>
  <si>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青梅酒; 甜果酒; 高粱酒;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</si>
  <si>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湘珍</t>
    </r>
    <r>
      <rPr>
        <sz val="11"/>
        <color theme="1"/>
        <rFont val="ＭＳ Ｐゴシック"/>
        <family val="3"/>
        <charset val="134"/>
        <scheme val="minor"/>
      </rPr>
      <t>贵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</si>
  <si>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轻</t>
    </r>
    <r>
      <rPr>
        <sz val="11"/>
        <color theme="1"/>
        <rFont val="ＭＳ Ｐゴシック"/>
        <family val="3"/>
        <charset val="128"/>
        <scheme val="minor"/>
      </rPr>
      <t>盟科技有限公司</t>
    </r>
  </si>
  <si>
    <r>
      <t>高粱酒; 黄酒;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露酒;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</si>
  <si>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楼酒 珍品一号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</si>
  <si>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鹤</t>
    </r>
    <r>
      <rPr>
        <sz val="11"/>
        <color theme="1"/>
        <rFont val="ＭＳ Ｐゴシック"/>
        <family val="3"/>
        <charset val="128"/>
        <scheme val="minor"/>
      </rPr>
      <t>楼酒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</si>
  <si>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开胃酒; 清酒（日本米酒）;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果酒（含酒精）; 黄酒</t>
    </r>
  </si>
  <si>
    <t>野力塘</t>
  </si>
  <si>
    <t>刘志</t>
  </si>
  <si>
    <r>
      <t>利口酒;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</t>
    </r>
  </si>
  <si>
    <r>
      <t>乾卿</t>
    </r>
    <r>
      <rPr>
        <sz val="11"/>
        <color theme="1"/>
        <rFont val="ＭＳ Ｐゴシック"/>
        <family val="3"/>
        <charset val="134"/>
        <scheme val="minor"/>
      </rPr>
      <t>斋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</si>
  <si>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志改</t>
    </r>
  </si>
  <si>
    <r>
      <t>白酒;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米酒; 清酒（日本米酒）</t>
    </r>
  </si>
  <si>
    <r>
      <t>子美·</t>
    </r>
    <r>
      <rPr>
        <sz val="11"/>
        <color theme="1"/>
        <rFont val="ＭＳ Ｐゴシック"/>
        <family val="3"/>
        <charset val="134"/>
        <scheme val="minor"/>
      </rPr>
      <t>诗</t>
    </r>
    <r>
      <rPr>
        <sz val="11"/>
        <color theme="1"/>
        <rFont val="ＭＳ Ｐゴシック"/>
        <family val="3"/>
        <charset val="128"/>
        <scheme val="minor"/>
      </rPr>
      <t>圣杜甫</t>
    </r>
  </si>
  <si>
    <r>
      <t>路永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</si>
  <si>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葡萄酒;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伏特加酒;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</t>
    </r>
  </si>
  <si>
    <r>
      <t>易道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稂</t>
    </r>
  </si>
  <si>
    <t>马红军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</si>
  <si>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苹果酒; 米酒; 黄酒; 高粱酒; 烈酒</t>
    </r>
  </si>
  <si>
    <r>
      <t>贵涡</t>
    </r>
    <r>
      <rPr>
        <sz val="11"/>
        <color theme="1"/>
        <rFont val="ＭＳ Ｐゴシック"/>
        <family val="3"/>
        <charset val="128"/>
        <scheme val="minor"/>
      </rPr>
      <t>年</t>
    </r>
    <r>
      <rPr>
        <sz val="11"/>
        <color theme="1"/>
        <rFont val="ＭＳ Ｐゴシック"/>
        <family val="3"/>
        <charset val="134"/>
        <scheme val="minor"/>
      </rPr>
      <t>浓</t>
    </r>
  </si>
  <si>
    <r>
      <t>威士忌;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</si>
  <si>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露酒; 气泡酒;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白酒</t>
    </r>
  </si>
  <si>
    <r>
      <t>密</t>
    </r>
    <r>
      <rPr>
        <sz val="11"/>
        <color theme="1"/>
        <rFont val="ＭＳ Ｐゴシック"/>
        <family val="3"/>
        <charset val="134"/>
        <scheme val="minor"/>
      </rPr>
      <t>进</t>
    </r>
  </si>
  <si>
    <r>
      <t>杨晓</t>
    </r>
    <r>
      <rPr>
        <sz val="11"/>
        <color theme="1"/>
        <rFont val="ＭＳ Ｐゴシック"/>
        <family val="3"/>
        <charset val="128"/>
        <scheme val="minor"/>
      </rPr>
      <t>莉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</si>
  <si>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</si>
  <si>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梁叔叔</t>
  </si>
  <si>
    <t>梁永城</t>
  </si>
  <si>
    <r>
      <t>米酒;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清酒（日本米酒）;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</si>
  <si>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粱</t>
    </r>
    <r>
      <rPr>
        <sz val="11"/>
        <color theme="1"/>
        <rFont val="ＭＳ Ｐゴシック"/>
        <family val="3"/>
        <charset val="134"/>
        <scheme val="minor"/>
      </rPr>
      <t>纯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</si>
  <si>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鑫达森商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</si>
  <si>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</si>
  <si>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莫一壮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</si>
  <si>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茴芹酒（利口酒）;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利口酒; 米酒; 果酒（含酒精）; 餐后酒（利口酒和烈酒）;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</t>
    </r>
  </si>
  <si>
    <t>荣真台</t>
  </si>
  <si>
    <r>
      <t>万从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</si>
  <si>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食用酒精; 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果酒（含酒精）; 白酒</t>
    </r>
  </si>
  <si>
    <r>
      <t>当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</si>
  <si>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沙金慧文化有限公司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</si>
  <si>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威士忌; 清酒（日本米酒）; 白酒; 米酒</t>
    </r>
  </si>
  <si>
    <t>京御星</t>
  </si>
  <si>
    <r>
      <t>北京御星酒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</si>
  <si>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葡萄酒; 开胃酒;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</si>
  <si>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露酒; 气泡酒; 米酒;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</si>
  <si>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觉庐</t>
  </si>
  <si>
    <r>
      <t>醉大毛酒</t>
    </r>
    <r>
      <rPr>
        <sz val="11"/>
        <color theme="1"/>
        <rFont val="ＭＳ Ｐゴシック"/>
        <family val="3"/>
        <charset val="134"/>
        <scheme val="minor"/>
      </rPr>
      <t>业发</t>
    </r>
    <r>
      <rPr>
        <sz val="11"/>
        <color theme="1"/>
        <rFont val="ＭＳ Ｐゴシック"/>
        <family val="3"/>
        <charset val="128"/>
        <scheme val="minor"/>
      </rPr>
      <t>展（</t>
    </r>
    <r>
      <rPr>
        <sz val="11"/>
        <color theme="1"/>
        <rFont val="ＭＳ Ｐゴシック"/>
        <family val="3"/>
        <charset val="134"/>
        <scheme val="minor"/>
      </rPr>
      <t>庐</t>
    </r>
    <r>
      <rPr>
        <sz val="11"/>
        <color theme="1"/>
        <rFont val="ＭＳ Ｐゴシック"/>
        <family val="3"/>
        <charset val="128"/>
        <scheme val="minor"/>
      </rPr>
      <t>山市）有限公司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</si>
  <si>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</si>
  <si>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匪兔</t>
  </si>
  <si>
    <t>贺军</t>
  </si>
  <si>
    <r>
      <t xml:space="preserve">含酒精蛋奶酒;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威士忌;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</t>
    </r>
  </si>
  <si>
    <r>
      <t>阿斯特</t>
    </r>
    <r>
      <rPr>
        <sz val="11"/>
        <color theme="1"/>
        <rFont val="ＭＳ Ｐゴシック"/>
        <family val="3"/>
        <charset val="134"/>
        <scheme val="minor"/>
      </rPr>
      <t>罗</t>
    </r>
    <r>
      <rPr>
        <sz val="11"/>
        <color theme="1"/>
        <rFont val="ＭＳ Ｐゴシック"/>
        <family val="3"/>
        <charset val="128"/>
        <scheme val="minor"/>
      </rPr>
      <t>布</t>
    </r>
    <r>
      <rPr>
        <sz val="11"/>
        <color theme="1"/>
        <rFont val="ＭＳ Ｐゴシック"/>
        <family val="3"/>
        <charset val="134"/>
        <scheme val="minor"/>
      </rPr>
      <t>鲁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</si>
  <si>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婷婷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</si>
  <si>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利口酒; 清酒（日本米酒）; 威士忌; 果酒（含酒精）; 葡萄酒</t>
    </r>
  </si>
  <si>
    <r>
      <t>礼</t>
    </r>
    <r>
      <rPr>
        <sz val="11"/>
        <color theme="1"/>
        <rFont val="ＭＳ Ｐゴシック"/>
        <family val="3"/>
        <charset val="134"/>
        <scheme val="minor"/>
      </rPr>
      <t>宾财</t>
    </r>
  </si>
  <si>
    <r>
      <t>泰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康山百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</si>
  <si>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>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</si>
  <si>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金德荣海</t>
  </si>
  <si>
    <r>
      <t>韩</t>
    </r>
    <r>
      <rPr>
        <sz val="11"/>
        <color theme="1"/>
        <rFont val="ＭＳ Ｐゴシック"/>
        <family val="3"/>
        <charset val="128"/>
        <scheme val="minor"/>
      </rPr>
      <t>喜波</t>
    </r>
  </si>
  <si>
    <r>
      <t>开胃酒; 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蜂蜜酒; 果酒; 露酒;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</si>
  <si>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傅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仁</t>
    </r>
  </si>
  <si>
    <r>
      <t>镇</t>
    </r>
    <r>
      <rPr>
        <sz val="11"/>
        <color theme="1"/>
        <rFont val="ＭＳ Ｐゴシック"/>
        <family val="3"/>
        <charset val="128"/>
        <scheme val="minor"/>
      </rPr>
      <t>雄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傅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堂大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房</t>
    </r>
  </si>
  <si>
    <r>
      <t>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汽酒;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</si>
  <si>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古能液</t>
  </si>
  <si>
    <r>
      <t>黄裕</t>
    </r>
    <r>
      <rPr>
        <sz val="11"/>
        <color theme="1"/>
        <rFont val="ＭＳ Ｐゴシック"/>
        <family val="3"/>
        <charset val="134"/>
        <scheme val="minor"/>
      </rPr>
      <t>铭</t>
    </r>
  </si>
  <si>
    <r>
      <t>白酒; 米酒; 黄酒; 果酒（含酒精）; 青稞酒; 利口酒;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</si>
  <si>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赤窖上品</t>
  </si>
  <si>
    <r>
      <t>北京信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天下科技有限公司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</si>
  <si>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蒸煮提取物（利口酒和烈酒）; 薄荷酒</t>
    </r>
  </si>
  <si>
    <r>
      <t>捣</t>
    </r>
    <r>
      <rPr>
        <sz val="11"/>
        <color theme="1"/>
        <rFont val="ＭＳ Ｐゴシック"/>
        <family val="3"/>
        <charset val="128"/>
        <scheme val="minor"/>
      </rPr>
      <t>衣</t>
    </r>
  </si>
  <si>
    <r>
      <t>米酒;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</si>
  <si>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鸥鹭</t>
    </r>
    <r>
      <rPr>
        <sz val="11"/>
        <color theme="1"/>
        <rFont val="ＭＳ Ｐゴシック"/>
        <family val="3"/>
        <charset val="128"/>
        <scheme val="minor"/>
      </rPr>
      <t>忘机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</si>
  <si>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汽酒; 清酒（日本米酒）</t>
    </r>
  </si>
  <si>
    <r>
      <t>碧</t>
    </r>
    <r>
      <rPr>
        <sz val="11"/>
        <color theme="1"/>
        <rFont val="ＭＳ Ｐゴシック"/>
        <family val="3"/>
        <charset val="134"/>
        <scheme val="minor"/>
      </rPr>
      <t>涧</t>
    </r>
    <r>
      <rPr>
        <sz val="11"/>
        <color theme="1"/>
        <rFont val="ＭＳ Ｐゴシック"/>
        <family val="3"/>
        <charset val="128"/>
        <scheme val="minor"/>
      </rPr>
      <t>流泉</t>
    </r>
  </si>
  <si>
    <r>
      <t xml:space="preserve">果酒（含酒精）; 清酒（日本米酒）; 葡萄酒; 威士忌;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</si>
  <si>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孔清花</t>
  </si>
  <si>
    <r>
      <t>邓</t>
    </r>
    <r>
      <rPr>
        <sz val="11"/>
        <color theme="1"/>
        <rFont val="ＭＳ Ｐゴシック"/>
        <family val="3"/>
        <charset val="128"/>
        <scheme val="minor"/>
      </rPr>
      <t>雷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</si>
  <si>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葡萄酒;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</si>
  <si>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昭</t>
    </r>
    <r>
      <rPr>
        <sz val="11"/>
        <color theme="1"/>
        <rFont val="ＭＳ Ｐゴシック"/>
        <family val="3"/>
        <charset val="134"/>
        <scheme val="minor"/>
      </rPr>
      <t>仪</t>
    </r>
  </si>
  <si>
    <r>
      <t>果酒; 青梅酒;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梨酒;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含酒精的气泡水; 苹果酒</t>
    </r>
  </si>
  <si>
    <r>
      <t>沧</t>
    </r>
    <r>
      <rPr>
        <sz val="11"/>
        <color theme="1"/>
        <rFont val="ＭＳ Ｐゴシック"/>
        <family val="3"/>
        <charset val="128"/>
        <scheme val="minor"/>
      </rPr>
      <t>江夜雨</t>
    </r>
  </si>
  <si>
    <r>
      <t xml:space="preserve">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威士忌; 汽酒</t>
    </r>
  </si>
  <si>
    <t>秋江夜泊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</si>
  <si>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白酒; 威士忌</t>
    </r>
  </si>
  <si>
    <r>
      <t>春山听杜</t>
    </r>
    <r>
      <rPr>
        <sz val="11"/>
        <color theme="1"/>
        <rFont val="ＭＳ Ｐゴシック"/>
        <family val="3"/>
        <charset val="134"/>
        <scheme val="minor"/>
      </rPr>
      <t>鹃</t>
    </r>
  </si>
  <si>
    <r>
      <t>威士忌; 清酒（日本米酒）; 汽酒;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</si>
  <si>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贵涡贵</t>
    </r>
    <r>
      <rPr>
        <sz val="11"/>
        <color theme="1"/>
        <rFont val="ＭＳ Ｐゴシック"/>
        <family val="3"/>
        <charset val="128"/>
        <scheme val="minor"/>
      </rPr>
      <t>醇</t>
    </r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</si>
  <si>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</si>
  <si>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空天兔</t>
  </si>
  <si>
    <r>
      <t>中央广播</t>
    </r>
    <r>
      <rPr>
        <sz val="11"/>
        <color theme="1"/>
        <rFont val="ＭＳ Ｐゴシック"/>
        <family val="3"/>
        <charset val="134"/>
        <scheme val="minor"/>
      </rPr>
      <t>电视总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</si>
  <si>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食用酒精;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</t>
    </r>
  </si>
  <si>
    <t>慧略</t>
  </si>
  <si>
    <r>
      <t>白酒; 果酒（含酒精）;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威士忌;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</si>
  <si>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仁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</si>
  <si>
    <r>
      <t>刘利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</si>
  <si>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清酒; 葡萄酒; 汽酒;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</t>
    </r>
  </si>
  <si>
    <r>
      <t>深圳市鼎鼎酒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</si>
  <si>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朗姆酒;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</t>
    </r>
  </si>
  <si>
    <r>
      <t>月萌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</si>
  <si>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成都明庭文化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意有限公司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</si>
  <si>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杜松子酒;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柑香酒</t>
    </r>
  </si>
  <si>
    <r>
      <t>保府</t>
    </r>
    <r>
      <rPr>
        <sz val="11"/>
        <color theme="1"/>
        <rFont val="ＭＳ Ｐゴシック"/>
        <family val="3"/>
        <charset val="134"/>
        <scheme val="minor"/>
      </rPr>
      <t>总</t>
    </r>
    <r>
      <rPr>
        <sz val="11"/>
        <color theme="1"/>
        <rFont val="ＭＳ Ｐゴシック"/>
        <family val="3"/>
        <charset val="128"/>
        <scheme val="minor"/>
      </rPr>
      <t>督署</t>
    </r>
  </si>
  <si>
    <r>
      <t>保定金名片酒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</si>
  <si>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白干酒（中国白酒）; 高粱酒;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烈酒</t>
    </r>
  </si>
  <si>
    <r>
      <t xml:space="preserve">露酒; 气泡酒;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</si>
  <si>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QIANYANGWANGJIA</t>
  </si>
  <si>
    <r>
      <t>东</t>
    </r>
    <r>
      <rPr>
        <sz val="11"/>
        <color theme="1"/>
        <rFont val="ＭＳ Ｐゴシック"/>
        <family val="3"/>
        <charset val="128"/>
        <scheme val="minor"/>
      </rPr>
      <t>港市前阳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荣泉酒厂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</si>
  <si>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黄酒; 苹果酒; 葡萄酒; 梨酒; 蜂蜜酒</t>
    </r>
  </si>
  <si>
    <r>
      <t>石</t>
    </r>
    <r>
      <rPr>
        <sz val="11"/>
        <color theme="1"/>
        <rFont val="ＭＳ Ｐゴシック"/>
        <family val="3"/>
        <charset val="134"/>
        <scheme val="minor"/>
      </rPr>
      <t>桥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</si>
  <si>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泰安市古月今山商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</si>
  <si>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苹果酒; 水果汽酒;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梨酒;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</si>
  <si>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ASTER EL ESPINO</t>
  </si>
  <si>
    <r>
      <t>拉里奥哈阿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塔有限公司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</si>
  <si>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</si>
  <si>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茗沅</t>
  </si>
  <si>
    <r>
      <t>梧州市雄迪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</si>
  <si>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开胃酒; 葡萄酒;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苹果酒; 白酒; 米酒</t>
    </r>
  </si>
  <si>
    <t>厦罐</t>
  </si>
  <si>
    <r>
      <t>佰涂（厦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）食品科技有限公司</t>
    </r>
  </si>
  <si>
    <r>
      <t>果酒（含酒精）; 米酒;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葡萄酒; 烈酒; 黄酒;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</si>
  <si>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辉</t>
    </r>
    <r>
      <rPr>
        <sz val="11"/>
        <color theme="1"/>
        <rFont val="ＭＳ Ｐゴシック"/>
        <family val="3"/>
        <charset val="128"/>
        <scheme val="minor"/>
      </rPr>
      <t>姑娘</t>
    </r>
  </si>
  <si>
    <r>
      <t>辉</t>
    </r>
    <r>
      <rPr>
        <sz val="11"/>
        <color theme="1"/>
        <rFont val="ＭＳ Ｐゴシック"/>
        <family val="3"/>
        <charset val="128"/>
        <scheme val="minor"/>
      </rPr>
      <t>姑娘（北京）运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</si>
  <si>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果酒（含酒精）; 开胃酒; 白酒; 米酒; 青稞酒</t>
    </r>
  </si>
  <si>
    <r>
      <t>帝皇</t>
    </r>
    <r>
      <rPr>
        <sz val="11"/>
        <color theme="1"/>
        <rFont val="ＭＳ Ｐゴシック"/>
        <family val="3"/>
        <charset val="134"/>
        <scheme val="minor"/>
      </rPr>
      <t>诏</t>
    </r>
  </si>
  <si>
    <r>
      <t>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清酒（日本米酒）; 果酒（含酒精）; 米酒</t>
    </r>
  </si>
  <si>
    <t>遵仙翁</t>
  </si>
  <si>
    <t>刘恒</t>
  </si>
  <si>
    <r>
      <t>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清酒（日本米酒）;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米酒</t>
    </r>
  </si>
  <si>
    <r>
      <t>潮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界</t>
    </r>
  </si>
  <si>
    <t>何浪</t>
  </si>
  <si>
    <t>黄酒; 白酒; 汽酒; 葡萄酒; 威士忌; 米酒; 甜酒; 草本型利口酒; 清酒; 果酒</t>
  </si>
  <si>
    <t>金彩麒麟小水井</t>
  </si>
  <si>
    <t>四川水井坊股份有限公司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</si>
  <si>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白干酒（中国白酒）;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</si>
  <si>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青春珞</t>
  </si>
  <si>
    <r>
      <t>广州明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泓商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</si>
  <si>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五加皮酒（中国混合烈酒）;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烈酒; 果酒（含酒精）; 刺五加酒;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葡萄酒</t>
    </r>
  </si>
  <si>
    <t>璞陶</t>
  </si>
  <si>
    <r>
      <t>宁夏炬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</si>
  <si>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杜松子酒; 葡萄酒; 酸酒（低等葡萄酒）;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</si>
  <si>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誉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精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</si>
  <si>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荣仔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</si>
  <si>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五加皮酒（中国混合烈酒）</t>
    </r>
  </si>
  <si>
    <t>LINDEIROS</t>
  </si>
  <si>
    <r>
      <t xml:space="preserve">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</si>
  <si>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侣</t>
    </r>
    <r>
      <rPr>
        <sz val="11"/>
        <color theme="1"/>
        <rFont val="ＭＳ Ｐゴシック"/>
        <family val="3"/>
        <charset val="128"/>
        <scheme val="minor"/>
      </rPr>
      <t>喜宴</t>
    </r>
  </si>
  <si>
    <r>
      <t>赵伟</t>
    </r>
    <r>
      <rPr>
        <sz val="11"/>
        <color theme="1"/>
        <rFont val="ＭＳ Ｐゴシック"/>
        <family val="3"/>
        <charset val="128"/>
        <scheme val="minor"/>
      </rPr>
      <t>雄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</si>
  <si>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黄酒; 食用酒精;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</t>
    </r>
  </si>
  <si>
    <r>
      <t>创</t>
    </r>
    <r>
      <rPr>
        <sz val="11"/>
        <color theme="1"/>
        <rFont val="ＭＳ Ｐゴシック"/>
        <family val="3"/>
        <charset val="128"/>
        <scheme val="minor"/>
      </rPr>
      <t>思特</t>
    </r>
  </si>
  <si>
    <r>
      <t>栾春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</si>
  <si>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含酒精蛋奶酒;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威士忌; 果酒</t>
    </r>
  </si>
  <si>
    <t>鑫徽</t>
  </si>
  <si>
    <r>
      <t>陈晓</t>
    </r>
    <r>
      <rPr>
        <sz val="11"/>
        <color theme="1"/>
        <rFont val="ＭＳ Ｐゴシック"/>
        <family val="3"/>
        <charset val="128"/>
        <scheme val="minor"/>
      </rPr>
      <t>雅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</si>
  <si>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果酒（含酒精）; 食用酒精; 烈酒;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高粱酒; 白酒; 葡萄酒</t>
    </r>
  </si>
  <si>
    <t>神光</t>
  </si>
  <si>
    <r>
      <t>邵晨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</si>
  <si>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果酒（含酒精）; 白酒; 食用酒精</t>
    </r>
  </si>
  <si>
    <t>玉醇美</t>
  </si>
  <si>
    <r>
      <t>成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区河瑞江商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部</t>
    </r>
  </si>
  <si>
    <r>
      <t>白酒; 高粱酒; 青梅酒; 茴香酒（利口酒）;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含奶油利口酒; 葡萄酒; 清酒（日本米酒）; 果酒（含酒精）</t>
    </r>
  </si>
  <si>
    <t>戎大</t>
  </si>
  <si>
    <r>
      <t>上海和稻酒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</si>
  <si>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黄酒; 威士忌; 白酒;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</si>
  <si>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金粒</t>
    </r>
    <r>
      <rPr>
        <sz val="11"/>
        <color theme="1"/>
        <rFont val="ＭＳ Ｐゴシック"/>
        <family val="3"/>
        <charset val="134"/>
        <scheme val="minor"/>
      </rPr>
      <t>实</t>
    </r>
  </si>
  <si>
    <r>
      <t>吉林省金粒</t>
    </r>
    <r>
      <rPr>
        <sz val="11"/>
        <color theme="1"/>
        <rFont val="ＭＳ Ｐゴシック"/>
        <family val="3"/>
        <charset val="134"/>
        <scheme val="minor"/>
      </rPr>
      <t>实农业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</si>
  <si>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苹果酒;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果酒; 白酒; 清酒; 白干酒（中国白酒）</t>
    </r>
  </si>
  <si>
    <r>
      <t>醉然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房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</si>
  <si>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市醉然酒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</si>
  <si>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白酒;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青稞酒; 黄酒; 威士忌; 米酒</t>
    </r>
  </si>
  <si>
    <t>跳舞特王</t>
  </si>
  <si>
    <r>
      <t>伊宁市鼎旭商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</si>
  <si>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葡萄酒; 清酒</t>
    </r>
  </si>
  <si>
    <r>
      <t>岛</t>
    </r>
    <r>
      <rPr>
        <sz val="11"/>
        <color theme="1"/>
        <rFont val="ＭＳ Ｐゴシック"/>
        <family val="3"/>
        <charset val="128"/>
        <scheme val="minor"/>
      </rPr>
      <t>上牛</t>
    </r>
  </si>
  <si>
    <r>
      <t>巴彦淖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上牛企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</si>
  <si>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黄酒; 米酒; 开胃酒;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利口酒</t>
    </r>
  </si>
  <si>
    <t>氿阿</t>
  </si>
  <si>
    <r>
      <t xml:space="preserve">白酒; 烈酒; 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苦艾酒;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高粱酒; 米酒;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青梅酒;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甜酒</t>
    </r>
  </si>
  <si>
    <r>
      <t>九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人犇</t>
    </r>
  </si>
  <si>
    <r>
      <t>榆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市九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人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造有限公司</t>
    </r>
  </si>
  <si>
    <r>
      <t xml:space="preserve">烈酒; 蜂蜜酒;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汽酒</t>
    </r>
  </si>
  <si>
    <r>
      <t>泽</t>
    </r>
    <r>
      <rPr>
        <sz val="11"/>
        <color theme="1"/>
        <rFont val="ＭＳ Ｐゴシック"/>
        <family val="3"/>
        <charset val="128"/>
        <scheme val="minor"/>
      </rPr>
      <t>勉之家</t>
    </r>
  </si>
  <si>
    <r>
      <t>云南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勉科技有限公司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</si>
  <si>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米酒; 黄酒;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</si>
  <si>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t>林子萱</t>
  </si>
  <si>
    <t>四川林子萱科技有限公司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</si>
  <si>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水果汽酒;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甜酒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</si>
  <si>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空</t>
    </r>
    <r>
      <rPr>
        <sz val="11"/>
        <color theme="1"/>
        <rFont val="ＭＳ Ｐゴシック"/>
        <family val="3"/>
        <charset val="134"/>
        <scheme val="minor"/>
      </rPr>
      <t>净视</t>
    </r>
    <r>
      <rPr>
        <sz val="11"/>
        <color theme="1"/>
        <rFont val="ＭＳ Ｐゴシック"/>
        <family val="3"/>
        <charset val="128"/>
        <scheme val="minor"/>
      </rPr>
      <t>界健康科技有限公司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</si>
  <si>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</si>
  <si>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笠福翁</t>
  </si>
  <si>
    <t>何小芬</t>
  </si>
  <si>
    <r>
      <t>黄酒;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汽酒</t>
    </r>
  </si>
  <si>
    <r>
      <t>舍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</si>
  <si>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德芬</t>
    </r>
  </si>
  <si>
    <r>
      <t xml:space="preserve">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黄酒; 清酒;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</si>
  <si>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雨夜</t>
    </r>
    <r>
      <rPr>
        <sz val="11"/>
        <color theme="1"/>
        <rFont val="ＭＳ Ｐゴシック"/>
        <family val="3"/>
        <charset val="134"/>
        <scheme val="minor"/>
      </rPr>
      <t>谣</t>
    </r>
  </si>
  <si>
    <r>
      <t>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水果汽酒; 梨酒; 黄酒; 苹果酒;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</si>
  <si>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活魔方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</si>
  <si>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活魔方（杭州）健康科技有限公司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</si>
  <si>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水果汽酒; 黄酒; 果酒; 清酒; 葡萄酒; 白酒</t>
    </r>
  </si>
  <si>
    <t>威略</t>
  </si>
  <si>
    <r>
      <t>李姿</t>
    </r>
    <r>
      <rPr>
        <sz val="11"/>
        <color theme="1"/>
        <rFont val="ＭＳ Ｐゴシック"/>
        <family val="3"/>
        <charset val="134"/>
        <scheme val="minor"/>
      </rPr>
      <t>莹</t>
    </r>
  </si>
  <si>
    <r>
      <t xml:space="preserve">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</si>
  <si>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沪申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酒人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</si>
  <si>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蒸煮提取物（利口酒和烈酒）;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烈酒; 葡萄酒; 酸酒（低等葡萄酒）;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</si>
  <si>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r>
      <t>霍厂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</si>
  <si>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梁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雨</t>
    </r>
  </si>
  <si>
    <r>
      <t>黄酒;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</si>
  <si>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京台祉家</t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</si>
  <si>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白干酒（中国白酒）</t>
    </r>
  </si>
  <si>
    <r>
      <t>湚</t>
    </r>
    <r>
      <rPr>
        <sz val="11"/>
        <color theme="1"/>
        <rFont val="ＭＳ Ｐゴシック"/>
        <family val="3"/>
        <charset val="128"/>
        <scheme val="minor"/>
      </rPr>
      <t>韵</t>
    </r>
    <r>
      <rPr>
        <sz val="11"/>
        <color theme="1"/>
        <rFont val="ＭＳ Ｐゴシック"/>
        <family val="3"/>
        <charset val="134"/>
        <scheme val="minor"/>
      </rPr>
      <t>坛</t>
    </r>
  </si>
  <si>
    <r>
      <t>徐州科美格商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</si>
  <si>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苦味酒;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</si>
  <si>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r>
      <t>贵涡涡</t>
    </r>
    <r>
      <rPr>
        <sz val="11"/>
        <color theme="1"/>
        <rFont val="ＭＳ Ｐゴシック"/>
        <family val="3"/>
        <charset val="128"/>
        <scheme val="minor"/>
      </rPr>
      <t>韵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</si>
  <si>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</si>
  <si>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小水井金彩麒麟</t>
  </si>
  <si>
    <r>
      <t>食用酒精; 果酒（含酒精）;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白干酒（中国白酒）;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</si>
  <si>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坤云灵峰</t>
  </si>
  <si>
    <r>
      <t>惠州市</t>
    </r>
    <r>
      <rPr>
        <sz val="11"/>
        <color theme="1"/>
        <rFont val="ＭＳ Ｐゴシック"/>
        <family val="3"/>
        <charset val="134"/>
        <scheme val="minor"/>
      </rPr>
      <t>冯</t>
    </r>
    <r>
      <rPr>
        <sz val="11"/>
        <color theme="1"/>
        <rFont val="ＭＳ Ｐゴシック"/>
        <family val="3"/>
        <charset val="128"/>
        <scheme val="minor"/>
      </rPr>
      <t>氏德真堂养生有限公司</t>
    </r>
  </si>
  <si>
    <r>
      <t>葡萄酒; 白干酒（中国白酒）;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</si>
  <si>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邦主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</si>
  <si>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乔</t>
    </r>
    <r>
      <rPr>
        <sz val="11"/>
        <color theme="1"/>
        <rFont val="ＭＳ Ｐゴシック"/>
        <family val="3"/>
        <charset val="128"/>
        <scheme val="minor"/>
      </rPr>
      <t>邦主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</si>
  <si>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酸酒（低等葡萄酒）; 白干酒（中国白酒）; 米酒;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尼瓦（以甘蔗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苹果酒; 含酒精的苦味开胃酒;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</si>
  <si>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嫂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造</t>
    </r>
  </si>
  <si>
    <t>张贤锦</t>
  </si>
  <si>
    <r>
      <t>杨</t>
    </r>
    <r>
      <rPr>
        <sz val="11"/>
        <color theme="1"/>
        <rFont val="ＭＳ Ｐゴシック"/>
        <family val="3"/>
        <charset val="128"/>
        <scheme val="minor"/>
      </rPr>
      <t>梅酒; 桑葚酒; 高粱酒; 糯米酒; 米酒; 黄酒; 白酒; 葡萄酒; 谷物酒; 金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酒</t>
    </r>
  </si>
  <si>
    <t>金樽逢甘霖</t>
  </si>
  <si>
    <t>汝洪涛******************</t>
  </si>
  <si>
    <r>
      <t xml:space="preserve">食用酒精; 高粱酒; 蜂蜜酒; 果酒（含酒精）;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米酒; 开胃酒</t>
    </r>
  </si>
  <si>
    <r>
      <t>汝廷御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</si>
  <si>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中汝廷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文化科技有限公司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</si>
  <si>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米酒;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</si>
  <si>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甄序</t>
  </si>
  <si>
    <r>
      <t>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</si>
  <si>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海上</t>
    </r>
    <r>
      <rPr>
        <sz val="11"/>
        <color theme="1"/>
        <rFont val="ＭＳ Ｐゴシック"/>
        <family val="3"/>
        <charset val="134"/>
        <scheme val="minor"/>
      </rPr>
      <t>寻</t>
    </r>
    <r>
      <rPr>
        <sz val="11"/>
        <color theme="1"/>
        <rFont val="ＭＳ Ｐゴシック"/>
        <family val="3"/>
        <charset val="128"/>
        <scheme val="minor"/>
      </rPr>
      <t>酒人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</si>
  <si>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酸酒（低等葡萄酒）;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蒸煮提取物（利口酒和烈酒）;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</si>
  <si>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t>辰沐元</t>
  </si>
  <si>
    <r>
      <t>刘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</si>
  <si>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白干酒（中国白酒）;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高粱酒; 开胃酒; 食用酒精</t>
    </r>
  </si>
  <si>
    <r>
      <t>苍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</si>
  <si>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米酒</t>
    </r>
  </si>
  <si>
    <r>
      <t>查</t>
    </r>
    <r>
      <rPr>
        <sz val="11"/>
        <color theme="1"/>
        <rFont val="ＭＳ Ｐゴシック"/>
        <family val="3"/>
        <charset val="128"/>
        <scheme val="minor"/>
      </rPr>
      <t>干游礼</t>
    </r>
  </si>
  <si>
    <r>
      <t>前郭</t>
    </r>
    <r>
      <rPr>
        <sz val="11"/>
        <color theme="1"/>
        <rFont val="ＭＳ Ｐゴシック"/>
        <family val="3"/>
        <charset val="134"/>
        <scheme val="minor"/>
      </rPr>
      <t>尔罗</t>
    </r>
    <r>
      <rPr>
        <sz val="11"/>
        <color theme="1"/>
        <rFont val="ＭＳ Ｐゴシック"/>
        <family val="3"/>
        <charset val="128"/>
        <scheme val="minor"/>
      </rPr>
      <t>斯蒙古族自治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9"/>
        <scheme val="minor"/>
      </rPr>
      <t>查</t>
    </r>
    <r>
      <rPr>
        <sz val="11"/>
        <color theme="1"/>
        <rFont val="ＭＳ Ｐゴシック"/>
        <family val="3"/>
        <charset val="128"/>
        <scheme val="minor"/>
      </rPr>
      <t>干湖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</si>
  <si>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果酒</t>
    </r>
  </si>
  <si>
    <r>
      <t>京城酒</t>
    </r>
    <r>
      <rPr>
        <sz val="11"/>
        <color theme="1"/>
        <rFont val="ＭＳ Ｐゴシック"/>
        <family val="3"/>
        <charset val="134"/>
        <scheme val="minor"/>
      </rPr>
      <t>师</t>
    </r>
  </si>
  <si>
    <r>
      <t>河北大</t>
    </r>
    <r>
      <rPr>
        <sz val="11"/>
        <color theme="1"/>
        <rFont val="ＭＳ Ｐゴシック"/>
        <family val="3"/>
        <charset val="134"/>
        <scheme val="minor"/>
      </rPr>
      <t>红门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</si>
  <si>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伏特加酒; 苹果酒;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葡萄酒; 青稞酒;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</si>
  <si>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膳博士沈</t>
    </r>
    <r>
      <rPr>
        <sz val="11"/>
        <color theme="1"/>
        <rFont val="ＭＳ Ｐゴシック"/>
        <family val="3"/>
        <charset val="134"/>
        <scheme val="minor"/>
      </rPr>
      <t>荡</t>
    </r>
    <r>
      <rPr>
        <sz val="11"/>
        <color theme="1"/>
        <rFont val="ＭＳ Ｐゴシック"/>
        <family val="3"/>
        <charset val="128"/>
        <scheme val="minor"/>
      </rPr>
      <t>酒家</t>
    </r>
  </si>
  <si>
    <r>
      <t>浙江青</t>
    </r>
    <r>
      <rPr>
        <sz val="11"/>
        <color theme="1"/>
        <rFont val="ＭＳ Ｐゴシック"/>
        <family val="3"/>
        <charset val="134"/>
        <scheme val="minor"/>
      </rPr>
      <t>莲</t>
    </r>
    <r>
      <rPr>
        <sz val="11"/>
        <color theme="1"/>
        <rFont val="ＭＳ Ｐゴシック"/>
        <family val="3"/>
        <charset val="128"/>
        <scheme val="minor"/>
      </rPr>
      <t>食品股份有限公司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</si>
  <si>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</si>
  <si>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盈</t>
    </r>
    <r>
      <rPr>
        <sz val="11"/>
        <color theme="1"/>
        <rFont val="ＭＳ Ｐゴシック"/>
        <family val="3"/>
        <charset val="134"/>
        <scheme val="minor"/>
      </rPr>
      <t>闯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</si>
  <si>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水</t>
    </r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</si>
  <si>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青稞酒;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</si>
  <si>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老扁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</si>
  <si>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建萍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</si>
  <si>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果酒（含酒精）;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</si>
  <si>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琼岛</t>
    </r>
    <r>
      <rPr>
        <sz val="11"/>
        <color theme="1"/>
        <rFont val="ＭＳ Ｐゴシック"/>
        <family val="3"/>
        <charset val="128"/>
        <scheme val="minor"/>
      </rPr>
      <t>椰春</t>
    </r>
  </si>
  <si>
    <t>黄俊波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</si>
  <si>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露酒; 高粱酒; 烈酒; 白酒; 果酒; 食用酒精</t>
    </r>
  </si>
  <si>
    <t>遵奏</t>
  </si>
  <si>
    <t>尹鑫磊</t>
  </si>
  <si>
    <r>
      <t>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含酒精的气泡水; 威士忌;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</si>
  <si>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黄河</t>
    </r>
    <r>
      <rPr>
        <sz val="11"/>
        <color theme="1"/>
        <rFont val="ＭＳ Ｐゴシック"/>
        <family val="3"/>
        <charset val="134"/>
        <scheme val="minor"/>
      </rPr>
      <t>岛兴华</t>
    </r>
  </si>
  <si>
    <r>
      <t>滨</t>
    </r>
    <r>
      <rPr>
        <sz val="11"/>
        <color theme="1"/>
        <rFont val="ＭＳ Ｐゴシック"/>
        <family val="3"/>
        <charset val="128"/>
        <scheme val="minor"/>
      </rPr>
      <t>州市茅双</t>
    </r>
    <r>
      <rPr>
        <sz val="11"/>
        <color theme="1"/>
        <rFont val="ＭＳ Ｐゴシック"/>
        <family val="3"/>
        <charset val="134"/>
        <scheme val="minor"/>
      </rPr>
      <t>经贸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</si>
  <si>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果酒; 清酒;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白酒; 米酒;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</si>
  <si>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饭</t>
    </r>
    <r>
      <rPr>
        <sz val="11"/>
        <color theme="1"/>
        <rFont val="ＭＳ Ｐゴシック"/>
        <family val="3"/>
        <charset val="128"/>
        <scheme val="minor"/>
      </rPr>
      <t>煮</t>
    </r>
    <r>
      <rPr>
        <sz val="11"/>
        <color theme="1"/>
        <rFont val="ＭＳ Ｐゴシック"/>
        <family val="3"/>
        <charset val="134"/>
        <scheme val="minor"/>
      </rPr>
      <t>饪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</si>
  <si>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富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</si>
  <si>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米酒; 果酒; 蜂蜜酒; 蒸煮提取物（利口酒和烈酒）;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高粱酒</t>
    </r>
  </si>
  <si>
    <r>
      <t>轮</t>
    </r>
    <r>
      <rPr>
        <sz val="11"/>
        <color theme="1"/>
        <rFont val="ＭＳ Ｐゴシック"/>
        <family val="3"/>
        <charset val="128"/>
        <scheme val="minor"/>
      </rPr>
      <t>扁</t>
    </r>
  </si>
  <si>
    <r>
      <t>河南多朴酒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</si>
  <si>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果酒（含酒精）; 白酒; 伏特加酒;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</si>
  <si>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细</t>
    </r>
    <r>
      <rPr>
        <sz val="11"/>
        <color theme="1"/>
        <rFont val="ＭＳ Ｐゴシック"/>
        <family val="3"/>
        <charset val="128"/>
        <scheme val="minor"/>
      </rPr>
      <t>牧</t>
    </r>
    <r>
      <rPr>
        <sz val="11"/>
        <color theme="1"/>
        <rFont val="ＭＳ Ｐゴシック"/>
        <family val="3"/>
        <charset val="134"/>
        <scheme val="minor"/>
      </rPr>
      <t>态</t>
    </r>
  </si>
  <si>
    <r>
      <t>内蒙古蒙达商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</si>
  <si>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葡萄汽酒; 果酒（含酒精）; 果酒; 白葡萄酒; 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高粱酒</t>
    </r>
  </si>
  <si>
    <r>
      <t>菲利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</si>
  <si>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航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</si>
  <si>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黄酒; 清酒（日本米酒）; 白酒; 开胃酒; 威士忌; 葡萄酒</t>
    </r>
  </si>
  <si>
    <t>金板城</t>
  </si>
  <si>
    <r>
      <t>承德乾隆醉酒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</si>
  <si>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</si>
  <si>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丽门</t>
    </r>
  </si>
  <si>
    <r>
      <t>上海杉舞文化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</si>
  <si>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高粱酒;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甜酒</t>
    </r>
  </si>
  <si>
    <r>
      <t>板城窖</t>
    </r>
    <r>
      <rPr>
        <sz val="11"/>
        <color theme="1"/>
        <rFont val="ＭＳ Ｐゴシック"/>
        <family val="3"/>
        <charset val="134"/>
        <scheme val="minor"/>
      </rPr>
      <t>龄</t>
    </r>
  </si>
  <si>
    <r>
      <t>米酒;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</si>
  <si>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双禧人</t>
  </si>
  <si>
    <t>钟军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</si>
  <si>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</si>
  <si>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宝堂</t>
    </r>
  </si>
  <si>
    <r>
      <t>赛</t>
    </r>
    <r>
      <rPr>
        <sz val="11"/>
        <color theme="1"/>
        <rFont val="ＭＳ Ｐゴシック"/>
        <family val="3"/>
        <charset val="128"/>
        <scheme val="minor"/>
      </rPr>
      <t>宝堂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皮（广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）文化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</si>
  <si>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水果汽酒;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白干酒（中国白酒）;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柑香酒</t>
    </r>
  </si>
  <si>
    <t>富予</t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</si>
  <si>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</si>
  <si>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福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</si>
  <si>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西正家酒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</si>
  <si>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草本型利口酒; 餐后酒（利口酒和烈酒）; 伏特加酒;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烈性干酒; 白酒</t>
    </r>
  </si>
  <si>
    <r>
      <t>啰细</t>
    </r>
    <r>
      <rPr>
        <sz val="11"/>
        <color theme="1"/>
        <rFont val="ＭＳ Ｐゴシック"/>
        <family val="3"/>
        <charset val="128"/>
        <scheme val="minor"/>
      </rPr>
      <t>瑟</t>
    </r>
  </si>
  <si>
    <r>
      <t>镇</t>
    </r>
    <r>
      <rPr>
        <sz val="11"/>
        <color theme="1"/>
        <rFont val="ＭＳ Ｐゴシック"/>
        <family val="3"/>
        <charset val="128"/>
        <scheme val="minor"/>
      </rPr>
      <t>康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玉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</si>
  <si>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蜂蜜酒; 白酒;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</t>
    </r>
  </si>
  <si>
    <t>金月盈福</t>
  </si>
  <si>
    <r>
      <t>候汝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</si>
  <si>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蜂蜜酒;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黄酒; 米酒;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</si>
  <si>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会魁</t>
  </si>
  <si>
    <t>余姚市恒通文具厂</t>
  </si>
  <si>
    <r>
      <t>果酒（含酒精）;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烈酒; 果酒; 白干酒（中国白酒）; 白酒</t>
    </r>
  </si>
  <si>
    <t>板城柔雅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</si>
  <si>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</si>
  <si>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r>
      <t>板城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意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</si>
  <si>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</si>
  <si>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沧龙赋</t>
  </si>
  <si>
    <t>李必春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</si>
  <si>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开胃酒;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</si>
  <si>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秘辞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</si>
  <si>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朗姆酒; 青稞酒; 伏特加酒; 葡萄酒; 白酒; 果酒（含酒精）; 餐后酒（利口酒和烈酒）</t>
    </r>
  </si>
  <si>
    <t>井福甜</t>
  </si>
  <si>
    <r>
      <t>天津晟睿食品商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</si>
  <si>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梅酒;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</si>
  <si>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简</t>
    </r>
    <r>
      <rPr>
        <sz val="11"/>
        <color theme="1"/>
        <rFont val="ＭＳ Ｐゴシック"/>
        <family val="3"/>
        <charset val="128"/>
        <scheme val="minor"/>
      </rPr>
      <t>悠</t>
    </r>
  </si>
  <si>
    <r>
      <t>湖南酒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网供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</si>
  <si>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</si>
  <si>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r>
      <t>潍</t>
    </r>
    <r>
      <rPr>
        <sz val="11"/>
        <color theme="1"/>
        <rFont val="ＭＳ Ｐゴシック"/>
        <family val="3"/>
        <charset val="128"/>
        <scheme val="minor"/>
      </rPr>
      <t>航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</si>
  <si>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米酒; 葡萄酒; 黄酒; 威士忌; 果酒（含酒精）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</si>
  <si>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酥</t>
    </r>
  </si>
  <si>
    <r>
      <t>惠州市</t>
    </r>
    <r>
      <rPr>
        <sz val="11"/>
        <color theme="1"/>
        <rFont val="ＭＳ Ｐゴシック"/>
        <family val="3"/>
        <charset val="134"/>
        <scheme val="minor"/>
      </rPr>
      <t>恺</t>
    </r>
    <r>
      <rPr>
        <sz val="11"/>
        <color theme="1"/>
        <rFont val="ＭＳ Ｐゴシック"/>
        <family val="3"/>
        <charset val="128"/>
        <scheme val="minor"/>
      </rPr>
      <t>粤行物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网科技有限公司</t>
    </r>
  </si>
  <si>
    <r>
      <t>果酒（含酒精）; 葡萄酒; 烈酒;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白酒;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</si>
  <si>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酣能</t>
  </si>
  <si>
    <r>
      <t>杨</t>
    </r>
    <r>
      <rPr>
        <sz val="11"/>
        <color theme="1"/>
        <rFont val="ＭＳ Ｐゴシック"/>
        <family val="3"/>
        <charset val="128"/>
        <scheme val="minor"/>
      </rPr>
      <t>明冲</t>
    </r>
  </si>
  <si>
    <t>白酒; 汽酒; 威士忌; 葡萄酒; 清酒; 甜酒; 草本型利口酒; 米酒; 果酒; 黄酒</t>
  </si>
  <si>
    <t>烈日熊熊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</si>
  <si>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峰食品有限公司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</si>
  <si>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米酒; 果酒（含酒精）; 加烈葡萄酒; 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甜果酒;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</si>
  <si>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摩画</t>
  </si>
  <si>
    <r>
      <t>张</t>
    </r>
    <r>
      <rPr>
        <sz val="11"/>
        <color theme="1"/>
        <rFont val="ＭＳ Ｐゴシック"/>
        <family val="3"/>
        <charset val="128"/>
        <scheme val="minor"/>
      </rPr>
      <t>学光</t>
    </r>
  </si>
  <si>
    <r>
      <t>威士忌; 黄酒; 刺五加酒; 青稞酒; 伏特加酒;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露酒</t>
    </r>
  </si>
  <si>
    <r>
      <t>穆家正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徳老</t>
    </r>
    <r>
      <rPr>
        <sz val="11"/>
        <color theme="1"/>
        <rFont val="ＭＳ Ｐゴシック"/>
        <family val="3"/>
        <charset val="134"/>
        <scheme val="minor"/>
      </rPr>
      <t>药铺</t>
    </r>
  </si>
  <si>
    <t>安徽青芝堂生物科技有限公司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</si>
  <si>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葡萄酒; 开胃酒</t>
    </r>
  </si>
  <si>
    <t>葛芝彩</t>
  </si>
  <si>
    <r>
      <t>广西一品厨投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</si>
  <si>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梅酒; 露酒;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果酒（含酒精）; 蜂蜜酒;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</si>
  <si>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樽之品道</t>
  </si>
  <si>
    <r>
      <t>北京恒樽商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</si>
  <si>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利口酒;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</t>
    </r>
  </si>
  <si>
    <t>水源垌天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</si>
  <si>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州两江酒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</si>
  <si>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清酒; 甜酒; 白酒</t>
    </r>
  </si>
  <si>
    <r>
      <t>谈</t>
    </r>
    <r>
      <rPr>
        <sz val="11"/>
        <color theme="1"/>
        <rFont val="ＭＳ Ｐゴシック"/>
        <family val="3"/>
        <charset val="128"/>
        <scheme val="minor"/>
      </rPr>
      <t>笑九州</t>
    </r>
  </si>
  <si>
    <t>段志阳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</si>
  <si>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</si>
  <si>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r>
      <t>葡</t>
    </r>
    <r>
      <rPr>
        <sz val="11"/>
        <color theme="1"/>
        <rFont val="ＭＳ Ｐゴシック"/>
        <family val="3"/>
        <charset val="134"/>
        <scheme val="minor"/>
      </rPr>
      <t>骑</t>
    </r>
    <r>
      <rPr>
        <sz val="11"/>
        <color theme="1"/>
        <rFont val="ＭＳ Ｐゴシック"/>
        <family val="3"/>
        <charset val="128"/>
        <scheme val="minor"/>
      </rPr>
      <t>仕 PUSKNIGHT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</si>
  <si>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坤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</si>
  <si>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清酒（日本米酒）; 烈酒; 果酒（含酒精）; 开胃酒;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</si>
  <si>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酒魅</t>
    </r>
    <r>
      <rPr>
        <sz val="11"/>
        <color theme="1"/>
        <rFont val="ＭＳ Ｐゴシック"/>
        <family val="3"/>
        <charset val="134"/>
        <scheme val="minor"/>
      </rPr>
      <t>澜</t>
    </r>
    <r>
      <rPr>
        <sz val="11"/>
        <color theme="1"/>
        <rFont val="ＭＳ Ｐゴシック"/>
        <family val="3"/>
        <charset val="128"/>
        <scheme val="minor"/>
      </rPr>
      <t>香</t>
    </r>
  </si>
  <si>
    <t>张丽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</si>
  <si>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</si>
  <si>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汉钟</t>
  </si>
  <si>
    <r>
      <t>北京新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云智科技研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</si>
  <si>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</t>
    </r>
  </si>
  <si>
    <r>
      <t>文小</t>
    </r>
    <r>
      <rPr>
        <sz val="11"/>
        <color theme="1"/>
        <rFont val="ＭＳ Ｐゴシック"/>
        <family val="3"/>
        <charset val="134"/>
        <scheme val="minor"/>
      </rPr>
      <t>馋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</si>
  <si>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沂福礼到家供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</si>
  <si>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葡萄酒; 开胃酒; 苹果酒; 威士忌; 果酒（含酒精）;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</si>
  <si>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甄百草</t>
  </si>
  <si>
    <r>
      <t xml:space="preserve">果酒（含酒精）; 梨酒; 清酒（日本米酒）;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</si>
  <si>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t>孟清果</t>
  </si>
  <si>
    <r>
      <t>临沧边</t>
    </r>
    <r>
      <rPr>
        <sz val="11"/>
        <color theme="1"/>
        <rFont val="ＭＳ Ｐゴシック"/>
        <family val="3"/>
        <charset val="128"/>
        <scheme val="minor"/>
      </rPr>
      <t>合区新通道国</t>
    </r>
    <r>
      <rPr>
        <sz val="11"/>
        <color theme="1"/>
        <rFont val="ＭＳ Ｐゴシック"/>
        <family val="3"/>
        <charset val="134"/>
        <scheme val="minor"/>
      </rPr>
      <t>际电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</si>
  <si>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米酒;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</si>
  <si>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千夫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</si>
  <si>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盾保健酒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</si>
  <si>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</si>
  <si>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霏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</si>
  <si>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成都</t>
    </r>
    <r>
      <rPr>
        <sz val="11"/>
        <color theme="1"/>
        <rFont val="ＭＳ Ｐゴシック"/>
        <family val="3"/>
        <charset val="134"/>
        <scheme val="minor"/>
      </rPr>
      <t>玺乐</t>
    </r>
    <r>
      <rPr>
        <sz val="11"/>
        <color theme="1"/>
        <rFont val="ＭＳ Ｐゴシック"/>
        <family val="3"/>
        <charset val="128"/>
        <scheme val="minor"/>
      </rPr>
      <t>央科技有限公司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</si>
  <si>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梨酒; 米酒; 开胃酒</t>
    </r>
  </si>
  <si>
    <t>淞江月</t>
  </si>
  <si>
    <r>
      <t>哈</t>
    </r>
    <r>
      <rPr>
        <sz val="11"/>
        <color theme="1"/>
        <rFont val="ＭＳ Ｐゴシック"/>
        <family val="3"/>
        <charset val="134"/>
        <scheme val="minor"/>
      </rPr>
      <t>尔滨</t>
    </r>
    <r>
      <rPr>
        <sz val="11"/>
        <color theme="1"/>
        <rFont val="ＭＳ Ｐゴシック"/>
        <family val="3"/>
        <charset val="128"/>
        <scheme val="minor"/>
      </rPr>
      <t>芙麦谷商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</si>
  <si>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果酒（含酒精）; 白酒;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米酒; 威士忌</t>
    </r>
  </si>
  <si>
    <r>
      <t>贺</t>
    </r>
    <r>
      <rPr>
        <sz val="11"/>
        <color theme="1"/>
        <rFont val="ＭＳ Ｐゴシック"/>
        <family val="3"/>
        <charset val="128"/>
        <scheme val="minor"/>
      </rPr>
      <t>天下茗酒</t>
    </r>
    <r>
      <rPr>
        <sz val="11"/>
        <color theme="1"/>
        <rFont val="ＭＳ Ｐゴシック"/>
        <family val="3"/>
        <charset val="134"/>
        <scheme val="minor"/>
      </rPr>
      <t>荟</t>
    </r>
  </si>
  <si>
    <r>
      <t>威士忌;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白酒; 伏特加酒</t>
    </r>
  </si>
  <si>
    <t>土黄牛</t>
  </si>
  <si>
    <r>
      <t>青稞酒; 果酒（含酒精）;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开胃酒</t>
    </r>
  </si>
  <si>
    <t>武判官</t>
  </si>
  <si>
    <t>黄小春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</si>
  <si>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蜂蜜酒</t>
    </r>
  </si>
  <si>
    <r>
      <t>琴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百夫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</si>
  <si>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南京百夫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</si>
  <si>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汽酒; 葡萄酒; 米酒; 黄酒; 朗姆酒;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</si>
  <si>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源美聚</t>
  </si>
  <si>
    <t>尹洪彬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</si>
  <si>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青稞酒; 朗姆酒; 白酒; 黄酒; 葡萄酒;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</si>
  <si>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盬韵</t>
  </si>
  <si>
    <r>
      <t>山西河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神曲酒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</si>
  <si>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果酒（含酒精）; 白酒; 葡萄酒; 利口酒; 食用酒精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</si>
  <si>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熊禧猫</t>
    </r>
  </si>
  <si>
    <r>
      <t>四川亨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</si>
  <si>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露酒; 食用酒精;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</si>
  <si>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密</t>
    </r>
    <r>
      <rPr>
        <sz val="11"/>
        <color theme="1"/>
        <rFont val="ＭＳ Ｐゴシック"/>
        <family val="3"/>
        <charset val="134"/>
        <scheme val="minor"/>
      </rPr>
      <t>词</t>
    </r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</si>
  <si>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餐后酒（利口酒和烈酒）; 青稞酒;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伏特加酒; 果酒（含酒精）; 白酒; 米酒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</si>
  <si>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仓</t>
    </r>
    <r>
      <rPr>
        <sz val="11"/>
        <color theme="1"/>
        <rFont val="ＭＳ Ｐゴシック"/>
        <family val="3"/>
        <charset val="128"/>
        <scheme val="minor"/>
      </rPr>
      <t>百夫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</si>
  <si>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朗姆酒;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</t>
    </r>
  </si>
  <si>
    <t>万家董</t>
  </si>
  <si>
    <r>
      <t>梨酒; 葡萄酒;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清酒（日本米酒）; 米酒; 餐后酒（利口酒和烈酒）</t>
    </r>
  </si>
  <si>
    <t>董酒生命之源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</si>
  <si>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梨酒; 清酒（日本米酒）; 米酒; 白酒; 餐后酒（利口酒和烈酒）;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</si>
  <si>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遵董酒窖</t>
  </si>
  <si>
    <r>
      <t>葡萄酒;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清酒（日本米酒）; 米酒;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</t>
    </r>
  </si>
  <si>
    <r>
      <t>波哥达·春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</si>
  <si>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波哥达投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</si>
  <si>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葡萄酒; 米酒; 清酒; 白干酒（中国白酒）; 果酒; 烈酒;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蜂蜜酒</t>
    </r>
  </si>
  <si>
    <t>YOUFUBAO</t>
  </si>
  <si>
    <r>
      <t>上海有福</t>
    </r>
    <r>
      <rPr>
        <sz val="11"/>
        <color theme="1"/>
        <rFont val="ＭＳ Ｐゴシック"/>
        <family val="3"/>
        <charset val="134"/>
        <scheme val="minor"/>
      </rPr>
      <t>报实业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</si>
  <si>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威士忌; 米酒;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</si>
  <si>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r>
      <t>杨华</t>
    </r>
    <r>
      <rPr>
        <sz val="11"/>
        <color theme="1"/>
        <rFont val="ＭＳ Ｐゴシック"/>
        <family val="3"/>
        <charset val="128"/>
        <scheme val="minor"/>
      </rPr>
      <t>夏印</t>
    </r>
  </si>
  <si>
    <r>
      <t>杨华</t>
    </r>
    <r>
      <rPr>
        <sz val="11"/>
        <color theme="1"/>
        <rFont val="ＭＳ Ｐゴシック"/>
        <family val="3"/>
        <charset val="128"/>
        <scheme val="minor"/>
      </rPr>
      <t>夏</t>
    </r>
  </si>
  <si>
    <r>
      <t>威士忌; 清酒（日本米酒）;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</si>
  <si>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臻禹</t>
    </r>
  </si>
  <si>
    <r>
      <t>张树</t>
    </r>
    <r>
      <rPr>
        <sz val="11"/>
        <color theme="1"/>
        <rFont val="ＭＳ Ｐゴシック"/>
        <family val="3"/>
        <charset val="128"/>
        <scheme val="minor"/>
      </rPr>
      <t>田</t>
    </r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</si>
  <si>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加香料的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</si>
  <si>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市名谷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品酒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</si>
  <si>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食用酒精; 伏特加酒;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</si>
  <si>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莞城百夫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</si>
  <si>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白酒; 果酒（含酒精）; 米酒</t>
    </r>
  </si>
  <si>
    <r>
      <t>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甜果酒; 白酒; 加烈葡萄酒;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</si>
  <si>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r>
      <t>齐</t>
    </r>
    <r>
      <rPr>
        <sz val="11"/>
        <color theme="1"/>
        <rFont val="ＭＳ Ｐゴシック"/>
        <family val="3"/>
        <charset val="128"/>
        <scheme val="minor"/>
      </rPr>
      <t>寿翁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</si>
  <si>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威士忌;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</t>
    </r>
  </si>
  <si>
    <t>NU</t>
  </si>
  <si>
    <r>
      <t>北京牛校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</si>
  <si>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朝</t>
    </r>
    <r>
      <rPr>
        <sz val="11"/>
        <color theme="1"/>
        <rFont val="ＭＳ Ｐゴシック"/>
        <family val="3"/>
        <charset val="134"/>
        <scheme val="minor"/>
      </rPr>
      <t>鲜烧</t>
    </r>
    <r>
      <rPr>
        <sz val="11"/>
        <color theme="1"/>
        <rFont val="ＭＳ Ｐゴシック"/>
        <family val="3"/>
        <charset val="128"/>
        <scheme val="minor"/>
      </rPr>
      <t>酒; 日本梅子酒;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</si>
  <si>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青安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</si>
  <si>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</si>
  <si>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青稞酒; 苹果酒; 梨酒;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果酒（含酒精）</t>
    </r>
  </si>
  <si>
    <r>
      <t>腾</t>
    </r>
    <r>
      <rPr>
        <sz val="11"/>
        <color theme="1"/>
        <rFont val="ＭＳ Ｐゴシック"/>
        <family val="3"/>
        <charset val="128"/>
        <scheme val="minor"/>
      </rPr>
      <t>度</t>
    </r>
  </si>
  <si>
    <r>
      <t>广州</t>
    </r>
    <r>
      <rPr>
        <sz val="11"/>
        <color theme="1"/>
        <rFont val="ＭＳ Ｐゴシック"/>
        <family val="3"/>
        <charset val="134"/>
        <scheme val="minor"/>
      </rPr>
      <t>腾</t>
    </r>
    <r>
      <rPr>
        <sz val="11"/>
        <color theme="1"/>
        <rFont val="ＭＳ Ｐゴシック"/>
        <family val="3"/>
        <charset val="128"/>
        <scheme val="minor"/>
      </rPr>
      <t>度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</si>
  <si>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葡萄酒; 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烈酒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</si>
  <si>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永生******************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</si>
  <si>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果酒（含酒精）; 葡萄酒</t>
    </r>
  </si>
  <si>
    <t>潮董会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</si>
  <si>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梨酒; 米酒; 清酒（日本米酒）; 开胃酒;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</si>
  <si>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古方民王子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</si>
  <si>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市古方民酒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</si>
  <si>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蜂蜜酒; 开胃酒; 米酒; 梨酒;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</si>
  <si>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古州百夫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</si>
  <si>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果酒（含酒精）;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葡萄酒</t>
    </r>
  </si>
  <si>
    <t>复医生</t>
  </si>
  <si>
    <r>
      <t>樊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28"/>
        <scheme val="minor"/>
      </rPr>
      <t>利</t>
    </r>
  </si>
  <si>
    <t>黄酒; 威士忌; 白酒; 果酒; 葡萄酒; 清酒; 米酒; 草本型利口酒; 汽酒; 甜酒</t>
  </si>
  <si>
    <r>
      <t>酒都百夫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</si>
  <si>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 xml:space="preserve">米酒; 朗姆酒; 白酒; 果酒（含酒精）;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黄酒</t>
    </r>
  </si>
  <si>
    <t>唯江湖</t>
  </si>
  <si>
    <r>
      <t>郭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航</t>
    </r>
  </si>
  <si>
    <r>
      <t>白酒;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</si>
  <si>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桃源渡彩晶瓶</t>
  </si>
  <si>
    <r>
      <t>陈</t>
    </r>
    <r>
      <rPr>
        <sz val="11"/>
        <color theme="1"/>
        <rFont val="ＭＳ Ｐゴシック"/>
        <family val="3"/>
        <charset val="128"/>
        <scheme val="minor"/>
      </rPr>
      <t>彪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</si>
  <si>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烈酒; 黄酒;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高粱酒; 白酒</t>
    </r>
  </si>
  <si>
    <t>笑离</t>
  </si>
  <si>
    <r>
      <t>云南英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志合供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</si>
  <si>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烈酒; 苦味酒; 食用酒精; 清酒;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</si>
  <si>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羡字牌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</si>
  <si>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蒸煮提取物（利口酒和烈酒）; 清酒（日本米酒）; 果酒; 黄酒;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</si>
  <si>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PAKJA</t>
  </si>
  <si>
    <r>
      <t>佛山市塞干</t>
    </r>
    <r>
      <rPr>
        <sz val="11"/>
        <color theme="1"/>
        <rFont val="ＭＳ Ｐゴシック"/>
        <family val="3"/>
        <charset val="134"/>
        <scheme val="minor"/>
      </rPr>
      <t>岛贸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</si>
  <si>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</si>
  <si>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t>MPV</t>
  </si>
  <si>
    <r>
      <t>杨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</si>
  <si>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白酒; 米酒; 汽酒; 威士忌; 黄酒</t>
    </r>
  </si>
  <si>
    <t>喜芝运</t>
  </si>
  <si>
    <r>
      <t>河南省混元灵通文化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</si>
  <si>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清酒; 葡萄酒; 汽酒; 高粱酒; 露酒; 白酒</t>
    </r>
  </si>
  <si>
    <t>玖知黔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</si>
  <si>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白酒; 食用酒精;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青稞酒;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</si>
  <si>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玉</t>
    </r>
    <r>
      <rPr>
        <sz val="11"/>
        <color theme="1"/>
        <rFont val="ＭＳ Ｐゴシック"/>
        <family val="3"/>
        <charset val="134"/>
        <scheme val="minor"/>
      </rPr>
      <t>镜</t>
    </r>
    <r>
      <rPr>
        <sz val="11"/>
        <color theme="1"/>
        <rFont val="ＭＳ Ｐゴシック"/>
        <family val="3"/>
        <charset val="128"/>
        <scheme val="minor"/>
      </rPr>
      <t>潭</t>
    </r>
  </si>
  <si>
    <t>李永峰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</si>
  <si>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烈酒; 甜果酒; 甘蔗制烈酒; 高粱酒; 米酒;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</si>
  <si>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古方民酒庄</t>
  </si>
  <si>
    <r>
      <t>蜂蜜酒; 梨酒;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米酒; 果酒（含酒精）</t>
    </r>
  </si>
  <si>
    <r>
      <t>红尘</t>
    </r>
    <r>
      <rPr>
        <sz val="11"/>
        <color theme="1"/>
        <rFont val="ＭＳ Ｐゴシック"/>
        <family val="3"/>
        <charset val="128"/>
        <scheme val="minor"/>
      </rPr>
      <t>万家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</si>
  <si>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市臻雅合信</t>
    </r>
    <r>
      <rPr>
        <sz val="11"/>
        <color theme="1"/>
        <rFont val="ＭＳ Ｐゴシック"/>
        <family val="3"/>
        <charset val="134"/>
        <scheme val="minor"/>
      </rPr>
      <t>财</t>
    </r>
    <r>
      <rPr>
        <sz val="11"/>
        <color theme="1"/>
        <rFont val="ＭＳ Ｐゴシック"/>
        <family val="3"/>
        <charset val="128"/>
        <scheme val="minor"/>
      </rPr>
      <t>税咨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</si>
  <si>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米酒; 白酒; 威士忌;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</si>
  <si>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湫河印象</t>
  </si>
  <si>
    <r>
      <t>临县</t>
    </r>
    <r>
      <rPr>
        <sz val="11"/>
        <color theme="1"/>
        <rFont val="ＭＳ Ｐゴシック"/>
        <family val="3"/>
        <charset val="128"/>
        <scheme val="minor"/>
      </rPr>
      <t>湫河印象商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</si>
  <si>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黄酒; 白酒; 葡萄酒; 餐后酒（利口酒和烈酒）; 米酒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</si>
  <si>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西美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</si>
  <si>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杜松子酒; 食用酒精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</si>
  <si>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盾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</si>
  <si>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</si>
  <si>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姚舜虞</t>
  </si>
  <si>
    <r>
      <t>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威士忌; 酸酒（低等葡萄酒）</t>
    </r>
  </si>
  <si>
    <t>桃源渡彩瓷瓶</t>
  </si>
  <si>
    <r>
      <t xml:space="preserve">黄酒; 烈酒; 白酒;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高粱酒;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</si>
  <si>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㼦廷玉液</t>
  </si>
  <si>
    <t>黄太阳</t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</si>
  <si>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含酒精的气泡水; 米酒; 黄酒; 威士忌;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</t>
    </r>
  </si>
  <si>
    <r>
      <t>伊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莎庄园</t>
    </r>
  </si>
  <si>
    <t>王婷婷******************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</si>
  <si>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伏特加酒;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</t>
    </r>
  </si>
  <si>
    <r>
      <t>钱</t>
    </r>
    <r>
      <rPr>
        <sz val="11"/>
        <color theme="1"/>
        <rFont val="ＭＳ Ｐゴシック"/>
        <family val="3"/>
        <charset val="128"/>
        <scheme val="minor"/>
      </rPr>
      <t>如意</t>
    </r>
  </si>
  <si>
    <r>
      <t>北京金</t>
    </r>
    <r>
      <rPr>
        <sz val="11"/>
        <color theme="1"/>
        <rFont val="ＭＳ Ｐゴシック"/>
        <family val="3"/>
        <charset val="134"/>
        <scheme val="minor"/>
      </rPr>
      <t>汇发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</si>
  <si>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白酒; 葡萄酒; 高粱酒; 黄酒; 米酒; 烈酒</t>
    </r>
  </si>
  <si>
    <t>潮古洞</t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</si>
  <si>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烈酒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</si>
  <si>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匮</t>
    </r>
    <r>
      <rPr>
        <sz val="11"/>
        <color theme="1"/>
        <rFont val="ＭＳ Ｐゴシック"/>
        <family val="3"/>
        <charset val="128"/>
        <scheme val="minor"/>
      </rPr>
      <t>百夫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</si>
  <si>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朗姆酒; 果酒（含酒精）; 汽酒;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</t>
    </r>
  </si>
  <si>
    <t>天山澳洋</t>
  </si>
  <si>
    <t>高建坤</t>
  </si>
  <si>
    <r>
      <t xml:space="preserve">黄酒; 果酒; 烈酒;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</si>
  <si>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芸合</t>
    </r>
  </si>
  <si>
    <r>
      <t>阜阳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芸合科技有限公司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</si>
  <si>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米酒; 白酒; 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</si>
  <si>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鲸</t>
    </r>
    <r>
      <rPr>
        <sz val="11"/>
        <color theme="1"/>
        <rFont val="ＭＳ Ｐゴシック"/>
        <family val="3"/>
        <charset val="128"/>
        <scheme val="minor"/>
      </rPr>
      <t>蜜</t>
    </r>
  </si>
  <si>
    <r>
      <t>云南</t>
    </r>
    <r>
      <rPr>
        <sz val="11"/>
        <color theme="1"/>
        <rFont val="ＭＳ Ｐゴシック"/>
        <family val="3"/>
        <charset val="134"/>
        <scheme val="minor"/>
      </rPr>
      <t>鲸</t>
    </r>
    <r>
      <rPr>
        <sz val="11"/>
        <color theme="1"/>
        <rFont val="ＭＳ Ｐゴシック"/>
        <family val="3"/>
        <charset val="128"/>
        <scheme val="minor"/>
      </rPr>
      <t>密医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</si>
  <si>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开胃酒; 白酒; 黄酒;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苦味酒; 葡萄酒; 米酒; 果酒（含酒精）; 薄荷酒</t>
    </r>
  </si>
  <si>
    <r>
      <t>呼</t>
    </r>
    <r>
      <rPr>
        <sz val="11"/>
        <color theme="1"/>
        <rFont val="ＭＳ Ｐゴシック"/>
        <family val="3"/>
        <charset val="134"/>
        <scheme val="minor"/>
      </rPr>
      <t>伦</t>
    </r>
    <r>
      <rPr>
        <sz val="11"/>
        <color theme="1"/>
        <rFont val="ＭＳ Ｐゴシック"/>
        <family val="3"/>
        <charset val="128"/>
        <scheme val="minor"/>
      </rPr>
      <t>王</t>
    </r>
  </si>
  <si>
    <r>
      <t>呼</t>
    </r>
    <r>
      <rPr>
        <sz val="11"/>
        <color theme="1"/>
        <rFont val="ＭＳ Ｐゴシック"/>
        <family val="3"/>
        <charset val="134"/>
        <scheme val="minor"/>
      </rPr>
      <t>伦贝尔</t>
    </r>
    <r>
      <rPr>
        <sz val="11"/>
        <color theme="1"/>
        <rFont val="ＭＳ Ｐゴシック"/>
        <family val="3"/>
        <charset val="128"/>
        <scheme val="minor"/>
      </rPr>
      <t>市巴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</si>
  <si>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</si>
  <si>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冉凌燕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</si>
  <si>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米酒; 白酒</t>
    </r>
  </si>
  <si>
    <r>
      <t>闫</t>
    </r>
    <r>
      <rPr>
        <sz val="11"/>
        <color theme="1"/>
        <rFont val="ＭＳ Ｐゴシック"/>
        <family val="3"/>
        <charset val="128"/>
        <scheme val="minor"/>
      </rPr>
      <t>不二</t>
    </r>
  </si>
  <si>
    <r>
      <t>闫华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</si>
  <si>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>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</si>
  <si>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钻</t>
    </r>
    <r>
      <rPr>
        <sz val="11"/>
        <color theme="1"/>
        <rFont val="ＭＳ Ｐゴシック"/>
        <family val="3"/>
        <charset val="128"/>
        <scheme val="minor"/>
      </rPr>
      <t>令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</si>
  <si>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云慕</t>
    </r>
  </si>
  <si>
    <r>
      <t xml:space="preserve">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</si>
  <si>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KAPVOE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</si>
  <si>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斯拓森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</si>
  <si>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清酒;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</t>
    </r>
  </si>
  <si>
    <t>格画</t>
  </si>
  <si>
    <r>
      <t>伏特加酒; 刺五加酒;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露酒; 朗姆酒; 青稞酒; 黄酒; 白酒; 威士忌</t>
    </r>
  </si>
  <si>
    <t>MUDANHUA</t>
  </si>
  <si>
    <r>
      <t>四川老灶酒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</si>
  <si>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甜酒; 汽酒; 黄酒; 果酒（含酒精）; 果酒; 白酒; 露酒; 梅酒; 清酒; 米酒</t>
  </si>
  <si>
    <r>
      <t>水叮</t>
    </r>
    <r>
      <rPr>
        <sz val="11"/>
        <color theme="1"/>
        <rFont val="ＭＳ Ｐゴシック"/>
        <family val="3"/>
        <charset val="129"/>
        <scheme val="minor"/>
      </rPr>
      <t>咚</t>
    </r>
  </si>
  <si>
    <t>汽酒; 威士忌; 葡萄酒; 黄酒; 甜酒; 白酒; 清酒; 米酒; 果酒; 草本型利口酒</t>
  </si>
  <si>
    <t>添芝旺</t>
  </si>
  <si>
    <r>
      <t>防城港市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</si>
  <si>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开胃酒; 茴芹酒（利口酒）;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</si>
  <si>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奢</t>
    </r>
    <r>
      <rPr>
        <sz val="11"/>
        <color theme="1"/>
        <rFont val="ＭＳ Ｐゴシック"/>
        <family val="3"/>
        <charset val="134"/>
        <scheme val="minor"/>
      </rPr>
      <t>单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</si>
  <si>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</si>
  <si>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酒娘子高山流水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</si>
  <si>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州要致然文化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</si>
  <si>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果酒（含酒精）; 高粱酒; 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</si>
  <si>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萍富商</t>
  </si>
  <si>
    <r>
      <t>萍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市萍商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合</t>
    </r>
    <r>
      <rPr>
        <sz val="11"/>
        <color theme="1"/>
        <rFont val="ＭＳ Ｐゴシック"/>
        <family val="3"/>
        <charset val="134"/>
        <scheme val="minor"/>
      </rPr>
      <t>总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</si>
  <si>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 xml:space="preserve">白酒;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开胃酒;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</si>
  <si>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世雄</t>
    </r>
    <r>
      <rPr>
        <sz val="11"/>
        <color theme="1"/>
        <rFont val="ＭＳ Ｐゴシック"/>
        <family val="3"/>
        <charset val="134"/>
        <scheme val="minor"/>
      </rPr>
      <t>骄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</si>
  <si>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熊</t>
    </r>
    <r>
      <rPr>
        <sz val="11"/>
        <color theme="1"/>
        <rFont val="ＭＳ Ｐゴシック"/>
        <family val="3"/>
        <charset val="134"/>
        <scheme val="minor"/>
      </rPr>
      <t>顺举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</si>
  <si>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</si>
  <si>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居品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</si>
  <si>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北京睿云智科技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</si>
  <si>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苹果酒;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清酒（日本米酒）</t>
    </r>
  </si>
  <si>
    <t>一口毛吉吉</t>
  </si>
  <si>
    <r>
      <t>桂林市吉木秋化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</si>
  <si>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水果汽酒;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</si>
  <si>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粮王范</t>
  </si>
  <si>
    <r>
      <t>马</t>
    </r>
    <r>
      <rPr>
        <sz val="11"/>
        <color theme="1"/>
        <rFont val="ＭＳ Ｐゴシック"/>
        <family val="3"/>
        <charset val="128"/>
        <scheme val="minor"/>
      </rPr>
      <t>开鑫</t>
    </r>
  </si>
  <si>
    <r>
      <t xml:space="preserve">青梅酒; 梅酒; 苹果酒; 高粱酒; 甜酒; 白酒; 果酒; 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</si>
  <si>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养</t>
    </r>
    <r>
      <rPr>
        <sz val="11"/>
        <color theme="1"/>
        <rFont val="ＭＳ Ｐゴシック"/>
        <family val="3"/>
        <charset val="134"/>
        <scheme val="minor"/>
      </rPr>
      <t>霁</t>
    </r>
    <r>
      <rPr>
        <sz val="11"/>
        <color theme="1"/>
        <rFont val="ＭＳ Ｐゴシック"/>
        <family val="3"/>
        <charset val="128"/>
        <scheme val="minor"/>
      </rPr>
      <t>冬益</t>
    </r>
  </si>
  <si>
    <r>
      <t>白酒; 果酒（含酒精）;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草本型利口酒; 高粱酒</t>
    </r>
  </si>
  <si>
    <r>
      <t>五醍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小窖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</si>
  <si>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震洲五醍</t>
    </r>
    <r>
      <rPr>
        <sz val="11"/>
        <color theme="1"/>
        <rFont val="ＭＳ Ｐゴシック"/>
        <family val="3"/>
        <charset val="134"/>
        <scheme val="minor"/>
      </rPr>
      <t>浆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</si>
  <si>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</t>
    </r>
  </si>
  <si>
    <r>
      <t>纱</t>
    </r>
    <r>
      <rPr>
        <sz val="11"/>
        <color theme="1"/>
        <rFont val="ＭＳ Ｐゴシック"/>
        <family val="3"/>
        <charset val="128"/>
        <scheme val="minor"/>
      </rPr>
      <t>坦太阳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</si>
  <si>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江西省太阳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</si>
  <si>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威士忌;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果酒（含酒精）</t>
    </r>
  </si>
  <si>
    <r>
      <t>黄金</t>
    </r>
    <r>
      <rPr>
        <sz val="11"/>
        <color theme="1"/>
        <rFont val="ＭＳ Ｐゴシック"/>
        <family val="3"/>
        <charset val="134"/>
        <scheme val="minor"/>
      </rPr>
      <t>钻</t>
    </r>
  </si>
  <si>
    <r>
      <t>张贵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</si>
  <si>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 xml:space="preserve">葡萄酒; 威士忌;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</si>
  <si>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序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</si>
  <si>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</si>
  <si>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黄酒; 米酒;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烈酒; 高粱酒</t>
    </r>
  </si>
  <si>
    <r>
      <t>杏曲</t>
    </r>
    <r>
      <rPr>
        <sz val="11"/>
        <color theme="1"/>
        <rFont val="ＭＳ Ｐゴシック"/>
        <family val="3"/>
        <charset val="134"/>
        <scheme val="minor"/>
      </rPr>
      <t>骏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</si>
  <si>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燕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</si>
  <si>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黄酒; 米酒; 蜂蜜酒</t>
    </r>
  </si>
  <si>
    <t>郭巨侠</t>
  </si>
  <si>
    <r>
      <t>海口美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玖次方源科技服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</si>
  <si>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 xml:space="preserve">黄酒; 果酒（含酒精）; 米酒; 青稞酒; 甜酒; 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</t>
    </r>
  </si>
  <si>
    <r>
      <t>闲</t>
    </r>
    <r>
      <rPr>
        <sz val="11"/>
        <color theme="1"/>
        <rFont val="ＭＳ Ｐゴシック"/>
        <family val="3"/>
        <charset val="128"/>
        <scheme val="minor"/>
      </rPr>
      <t>致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</si>
  <si>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闲</t>
    </r>
    <r>
      <rPr>
        <sz val="11"/>
        <color theme="1"/>
        <rFont val="ＭＳ Ｐゴシック"/>
        <family val="3"/>
        <charset val="128"/>
        <scheme val="minor"/>
      </rPr>
      <t>酒品牌管理有限公司</t>
    </r>
  </si>
  <si>
    <r>
      <t xml:space="preserve">蜂蜜酒;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米酒</t>
    </r>
  </si>
  <si>
    <t>江洋情</t>
  </si>
  <si>
    <t>倪德淋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</si>
  <si>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</si>
  <si>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源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来果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</si>
  <si>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黄酒; 苦味酒; 开胃酒;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朗姆酒</t>
    </r>
  </si>
  <si>
    <r>
      <t>永吉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一拉溪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晟宏家庭</t>
    </r>
    <r>
      <rPr>
        <sz val="11"/>
        <color theme="1"/>
        <rFont val="ＭＳ Ｐゴシック"/>
        <family val="3"/>
        <charset val="134"/>
        <scheme val="minor"/>
      </rPr>
      <t>农场</t>
    </r>
    <r>
      <rPr>
        <sz val="11"/>
        <color theme="1"/>
        <rFont val="ＭＳ Ｐゴシック"/>
        <family val="3"/>
        <charset val="128"/>
        <scheme val="minor"/>
      </rPr>
      <t>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</si>
  <si>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甜酒;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</si>
  <si>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t>米儿落</t>
  </si>
  <si>
    <r>
      <t>邓</t>
    </r>
    <r>
      <rPr>
        <sz val="11"/>
        <color theme="1"/>
        <rFont val="ＭＳ Ｐゴシック"/>
        <family val="3"/>
        <charset val="128"/>
        <scheme val="minor"/>
      </rPr>
      <t>清国</t>
    </r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</si>
  <si>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</si>
  <si>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KAXO</t>
  </si>
  <si>
    <t>杨华业</t>
  </si>
  <si>
    <r>
      <t>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清酒（日本米酒）; 黄酒; 伏特加酒</t>
    </r>
  </si>
  <si>
    <t>妙堂居</t>
  </si>
  <si>
    <t>郭瀚洋</t>
  </si>
  <si>
    <r>
      <t>葡萄酒; 食用酒精;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果酒; 露酒; 高粱酒</t>
    </r>
  </si>
  <si>
    <r>
      <t>旷</t>
    </r>
    <r>
      <rPr>
        <sz val="11"/>
        <color theme="1"/>
        <rFont val="ＭＳ Ｐゴシック"/>
        <family val="3"/>
        <charset val="128"/>
        <scheme val="minor"/>
      </rPr>
      <t>野·出逃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</si>
  <si>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去</t>
    </r>
    <r>
      <rPr>
        <sz val="11"/>
        <color theme="1"/>
        <rFont val="ＭＳ Ｐゴシック"/>
        <family val="3"/>
        <charset val="134"/>
        <scheme val="minor"/>
      </rPr>
      <t>旷</t>
    </r>
    <r>
      <rPr>
        <sz val="11"/>
        <color theme="1"/>
        <rFont val="ＭＳ Ｐゴシック"/>
        <family val="3"/>
        <charset val="128"/>
        <scheme val="minor"/>
      </rPr>
      <t>野俱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部有限公司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</si>
  <si>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</t>
    </r>
  </si>
  <si>
    <r>
      <t>应</t>
    </r>
    <r>
      <rPr>
        <sz val="11"/>
        <color theme="1"/>
        <rFont val="ＭＳ Ｐゴシック"/>
        <family val="3"/>
        <charset val="128"/>
        <scheme val="minor"/>
      </rPr>
      <t>湘宏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</si>
  <si>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碎叶河酒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</si>
  <si>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黄酒; 青稞酒; 开胃酒;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</si>
  <si>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杜典富</t>
  </si>
  <si>
    <r>
      <t>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果酒（含酒精）; 葡萄酒;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</si>
  <si>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佬酒故人</t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</si>
  <si>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梅酒; 果酒; 苹果酒; 葡萄酒; 青梅酒; 甜酒</t>
    </r>
  </si>
  <si>
    <r>
      <t>椿之</t>
    </r>
    <r>
      <rPr>
        <sz val="11"/>
        <color theme="1"/>
        <rFont val="ＭＳ Ｐゴシック"/>
        <family val="3"/>
        <charset val="134"/>
        <scheme val="minor"/>
      </rPr>
      <t>弹</t>
    </r>
  </si>
  <si>
    <r>
      <t>北京中科菌希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</si>
  <si>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米酒; 葡萄酒;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</si>
  <si>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叶尖珠</t>
  </si>
  <si>
    <t>上海安哥瑞塔科技有限公司</t>
  </si>
  <si>
    <r>
      <t>汽酒;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黄酒; 葡萄酒; 米酒</t>
    </r>
  </si>
  <si>
    <t>金窖密</t>
  </si>
  <si>
    <t>曾明青</t>
  </si>
  <si>
    <r>
      <t>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葡萄酒; 果酒（含酒精）;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</si>
  <si>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长滨</t>
    </r>
    <r>
      <rPr>
        <sz val="11"/>
        <color theme="1"/>
        <rFont val="ＭＳ Ｐゴシック"/>
        <family val="3"/>
        <charset val="128"/>
        <scheme val="minor"/>
      </rPr>
      <t>壹号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</si>
  <si>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平******************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</si>
  <si>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利口酒; 开胃酒; 果酒（含酒精）;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葡萄酒</t>
    </r>
  </si>
  <si>
    <r>
      <t>观</t>
    </r>
    <r>
      <rPr>
        <sz val="11"/>
        <color theme="1"/>
        <rFont val="ＭＳ Ｐゴシック"/>
        <family val="3"/>
        <charset val="128"/>
        <scheme val="minor"/>
      </rPr>
      <t>海成画</t>
    </r>
  </si>
  <si>
    <r>
      <t>中</t>
    </r>
    <r>
      <rPr>
        <sz val="11"/>
        <color theme="1"/>
        <rFont val="ＭＳ Ｐゴシック"/>
        <family val="3"/>
        <charset val="134"/>
        <scheme val="minor"/>
      </rPr>
      <t>报</t>
    </r>
    <r>
      <rPr>
        <sz val="11"/>
        <color theme="1"/>
        <rFont val="ＭＳ Ｐゴシック"/>
        <family val="3"/>
        <charset val="128"/>
        <scheme val="minor"/>
      </rPr>
      <t>国道（北京）国</t>
    </r>
    <r>
      <rPr>
        <sz val="11"/>
        <color theme="1"/>
        <rFont val="ＭＳ Ｐゴシック"/>
        <family val="3"/>
        <charset val="134"/>
        <scheme val="minor"/>
      </rPr>
      <t>际传</t>
    </r>
    <r>
      <rPr>
        <sz val="11"/>
        <color theme="1"/>
        <rFont val="ＭＳ Ｐゴシック"/>
        <family val="3"/>
        <charset val="128"/>
        <scheme val="minor"/>
      </rPr>
      <t>媒文化有限公司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</si>
  <si>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</si>
  <si>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全之</t>
  </si>
  <si>
    <r>
      <t>张丽</t>
    </r>
    <r>
      <rPr>
        <sz val="11"/>
        <color theme="1"/>
        <rFont val="ＭＳ Ｐゴシック"/>
        <family val="3"/>
        <charset val="128"/>
        <scheme val="minor"/>
      </rPr>
      <t>宁</t>
    </r>
  </si>
  <si>
    <r>
      <t>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葡萄酒; 高粱酒</t>
    </r>
  </si>
  <si>
    <r>
      <t>北</t>
    </r>
    <r>
      <rPr>
        <sz val="11"/>
        <color theme="1"/>
        <rFont val="ＭＳ Ｐゴシック"/>
        <family val="3"/>
        <charset val="134"/>
        <scheme val="minor"/>
      </rPr>
      <t>风饮</t>
    </r>
  </si>
  <si>
    <r>
      <t>杨贝</t>
    </r>
    <r>
      <rPr>
        <sz val="11"/>
        <color theme="1"/>
        <rFont val="ＭＳ Ｐゴシック"/>
        <family val="3"/>
        <charset val="128"/>
        <scheme val="minor"/>
      </rPr>
      <t>利</t>
    </r>
  </si>
  <si>
    <r>
      <t xml:space="preserve">威士忌; 清酒;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</si>
  <si>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天地</t>
    </r>
    <r>
      <rPr>
        <sz val="11"/>
        <color theme="1"/>
        <rFont val="ＭＳ Ｐゴシック"/>
        <family val="3"/>
        <charset val="134"/>
        <scheme val="minor"/>
      </rPr>
      <t>琼</t>
    </r>
    <r>
      <rPr>
        <sz val="11"/>
        <color theme="1"/>
        <rFont val="ＭＳ Ｐゴシック"/>
        <family val="3"/>
        <charset val="128"/>
        <scheme val="minor"/>
      </rPr>
      <t>逸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</si>
  <si>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市玲旭副食店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</si>
  <si>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</si>
  <si>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泉</t>
    </r>
    <r>
      <rPr>
        <sz val="11"/>
        <color theme="1"/>
        <rFont val="ＭＳ Ｐゴシック"/>
        <family val="3"/>
        <charset val="129"/>
        <scheme val="minor"/>
      </rPr>
      <t>崮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</si>
  <si>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南莱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</si>
  <si>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白葡萄酒; 果酒（含酒精）</t>
    </r>
  </si>
  <si>
    <t>呼白</t>
  </si>
  <si>
    <r>
      <t>内蒙古世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呼白酒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</si>
  <si>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</t>
    </r>
  </si>
  <si>
    <t>鹿小享</t>
  </si>
  <si>
    <r>
      <t xml:space="preserve">白酒; 青梅酒; 苹果酒; 梅酒; 清酒; 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甜酒</t>
    </r>
  </si>
  <si>
    <r>
      <t>佬粮</t>
    </r>
    <r>
      <rPr>
        <sz val="11"/>
        <color theme="1"/>
        <rFont val="ＭＳ Ｐゴシック"/>
        <family val="3"/>
        <charset val="134"/>
        <scheme val="minor"/>
      </rPr>
      <t>陈</t>
    </r>
  </si>
  <si>
    <r>
      <t xml:space="preserve">白酒; 甜酒; 梅酒; 青梅酒;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苹果酒; 高粱酒</t>
    </r>
  </si>
  <si>
    <t>吉枝春</t>
  </si>
  <si>
    <t>六枝特区阳春湖酒厂</t>
  </si>
  <si>
    <r>
      <t>米酒; 白酒;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果酒;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</t>
    </r>
  </si>
  <si>
    <r>
      <t>广州上工</t>
    </r>
    <r>
      <rPr>
        <sz val="11"/>
        <color theme="1"/>
        <rFont val="ＭＳ Ｐゴシック"/>
        <family val="3"/>
        <charset val="134"/>
        <scheme val="minor"/>
      </rPr>
      <t>热</t>
    </r>
    <r>
      <rPr>
        <sz val="11"/>
        <color theme="1"/>
        <rFont val="ＭＳ Ｐゴシック"/>
        <family val="3"/>
        <charset val="128"/>
        <scheme val="minor"/>
      </rPr>
      <t>工</t>
    </r>
    <r>
      <rPr>
        <sz val="11"/>
        <color theme="1"/>
        <rFont val="ＭＳ Ｐゴシック"/>
        <family val="3"/>
        <charset val="134"/>
        <scheme val="minor"/>
      </rPr>
      <t>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</si>
  <si>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高粱酒; 青梅酒;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</si>
  <si>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智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</si>
  <si>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清酒; 果酒（含酒精）</t>
    </r>
  </si>
  <si>
    <r>
      <t>平原德通商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</si>
  <si>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葡萄酒;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伏特加酒</t>
    </r>
  </si>
  <si>
    <t>麦蒂姆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</si>
  <si>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麦丁精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啤酒有限公司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</si>
  <si>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朗姆酒;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</si>
  <si>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岳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印象</t>
    </r>
  </si>
  <si>
    <r>
      <t>太原市得造花香商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</si>
  <si>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黄酒; 食用酒精;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</si>
  <si>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扶</t>
    </r>
    <r>
      <rPr>
        <sz val="11"/>
        <color theme="1"/>
        <rFont val="ＭＳ Ｐゴシック"/>
        <family val="3"/>
        <charset val="134"/>
        <scheme val="minor"/>
      </rPr>
      <t>摇</t>
    </r>
    <r>
      <rPr>
        <sz val="11"/>
        <color theme="1"/>
        <rFont val="ＭＳ Ｐゴシック"/>
        <family val="3"/>
        <charset val="128"/>
        <scheme val="minor"/>
      </rPr>
      <t>九九</t>
    </r>
  </si>
  <si>
    <r>
      <t xml:space="preserve">高粱酒; 白酒; 果酒（含酒精）; 食用酒精; 黄酒;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酸酒（低等葡萄酒）</t>
    </r>
  </si>
  <si>
    <t>粹之初</t>
  </si>
  <si>
    <r>
      <t>陈</t>
    </r>
    <r>
      <rPr>
        <sz val="11"/>
        <color theme="1"/>
        <rFont val="ＭＳ Ｐゴシック"/>
        <family val="3"/>
        <charset val="128"/>
        <scheme val="minor"/>
      </rPr>
      <t>紫城</t>
    </r>
  </si>
  <si>
    <t>米酒; 黄酒; 清酒; 白酒; 威士忌; 甜酒; 草本型利口酒; 葡萄酒; 果酒; 汽酒</t>
  </si>
  <si>
    <t>奢馥山</t>
  </si>
  <si>
    <r>
      <t>文泉（云南）供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</si>
  <si>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</si>
  <si>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鸽</t>
    </r>
  </si>
  <si>
    <r>
      <t xml:space="preserve">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威士忌;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高粱酒</t>
    </r>
  </si>
  <si>
    <t>舍崇</t>
  </si>
  <si>
    <r>
      <t>伍</t>
    </r>
    <r>
      <rPr>
        <sz val="11"/>
        <color theme="1"/>
        <rFont val="ＭＳ Ｐゴシック"/>
        <family val="3"/>
        <charset val="134"/>
        <scheme val="minor"/>
      </rPr>
      <t>晓辉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</si>
  <si>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蜂蜜酒; 米酒</t>
    </r>
  </si>
  <si>
    <t>极地彩虹</t>
  </si>
  <si>
    <r>
      <t>楚</t>
    </r>
    <r>
      <rPr>
        <sz val="11"/>
        <color theme="1"/>
        <rFont val="ＭＳ Ｐゴシック"/>
        <family val="3"/>
        <charset val="134"/>
        <scheme val="minor"/>
      </rPr>
      <t>伟</t>
    </r>
  </si>
  <si>
    <t>白酒; 葡萄酒; 米酒; 威士忌; 草本型利口酒; 甜酒; 清酒; 汽酒; 果酒; 黄酒</t>
  </si>
  <si>
    <t>维轻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</si>
  <si>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莞市朋友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</si>
  <si>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伏特加酒; 甜酒; 白葡萄酒;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开胃酒; 高粱酒; 白酒; 果酒（含酒精）</t>
    </r>
  </si>
  <si>
    <r>
      <t>优</t>
    </r>
    <r>
      <rPr>
        <sz val="11"/>
        <color theme="1"/>
        <rFont val="ＭＳ Ｐゴシック"/>
        <family val="3"/>
        <charset val="128"/>
        <scheme val="minor"/>
      </rPr>
      <t>秘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</si>
  <si>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</si>
  <si>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清酒; 米酒; 黄酒; 烈酒; 葡萄酒; 甜酒</t>
    </r>
  </si>
  <si>
    <r>
      <t>漷</t>
    </r>
    <r>
      <rPr>
        <sz val="11"/>
        <color theme="1"/>
        <rFont val="ＭＳ Ｐゴシック"/>
        <family val="3"/>
        <charset val="128"/>
        <scheme val="minor"/>
      </rPr>
      <t>州二</t>
    </r>
    <r>
      <rPr>
        <sz val="11"/>
        <color theme="1"/>
        <rFont val="ＭＳ Ｐゴシック"/>
        <family val="3"/>
        <charset val="134"/>
        <scheme val="minor"/>
      </rPr>
      <t>锅头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</si>
  <si>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</si>
  <si>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喜力</t>
  </si>
  <si>
    <t>SHAPESHOW</t>
  </si>
  <si>
    <t>杭州大希地科技股份有限公司</t>
  </si>
  <si>
    <r>
      <t xml:space="preserve">米酒;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</t>
    </r>
  </si>
  <si>
    <t>容匠台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</si>
  <si>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西皇家</t>
    </r>
    <r>
      <rPr>
        <sz val="11"/>
        <color theme="1"/>
        <rFont val="ＭＳ Ｐゴシック"/>
        <family val="3"/>
        <charset val="134"/>
        <scheme val="minor"/>
      </rPr>
      <t>鹰鸣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</si>
  <si>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开胃酒;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梨酒; 米酒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</si>
  <si>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携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</si>
  <si>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果酒（含酒精）;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</si>
  <si>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豫喜</t>
    </r>
    <r>
      <rPr>
        <sz val="11"/>
        <color theme="1"/>
        <rFont val="ＭＳ Ｐゴシック"/>
        <family val="3"/>
        <charset val="134"/>
        <scheme val="minor"/>
      </rPr>
      <t>圆</t>
    </r>
  </si>
  <si>
    <r>
      <t>北京中</t>
    </r>
    <r>
      <rPr>
        <sz val="11"/>
        <color theme="1"/>
        <rFont val="ＭＳ Ｐゴシック"/>
        <family val="3"/>
        <charset val="134"/>
        <scheme val="minor"/>
      </rPr>
      <t>颜贸</t>
    </r>
    <r>
      <rPr>
        <sz val="11"/>
        <color theme="1"/>
        <rFont val="ＭＳ Ｐゴシック"/>
        <family val="3"/>
        <charset val="128"/>
        <scheme val="minor"/>
      </rPr>
      <t>易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</si>
  <si>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 xml:space="preserve">白酒; 利口酒; 威士忌; 果酒（含酒精）;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</si>
  <si>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运九九</t>
    </r>
  </si>
  <si>
    <r>
      <t xml:space="preserve">酸酒（低等葡萄酒）; 伏特加酒; 米酒; 果酒（含酒精）; 高粱酒;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葡萄酒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</si>
  <si>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清酒（日本米酒）;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</si>
  <si>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尚洛蒙</t>
  </si>
  <si>
    <t>金随元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</si>
  <si>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高粱酒; 伏特加酒; 果酒（含酒精）;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</si>
  <si>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陕</t>
    </r>
    <r>
      <rPr>
        <sz val="11"/>
        <color theme="1"/>
        <rFont val="ＭＳ Ｐゴシック"/>
        <family val="3"/>
        <charset val="128"/>
        <scheme val="minor"/>
      </rPr>
      <t>西</t>
    </r>
    <r>
      <rPr>
        <sz val="11"/>
        <color theme="1"/>
        <rFont val="ＭＳ Ｐゴシック"/>
        <family val="3"/>
        <charset val="134"/>
        <scheme val="minor"/>
      </rPr>
      <t>东亚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药连锁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</si>
  <si>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食用酒精;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白干酒（中国白酒）; 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</si>
  <si>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暖小栖</t>
  </si>
  <si>
    <r>
      <t>北京平日商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</si>
  <si>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青稞酒;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苹果酒; 米酒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</si>
  <si>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贵乐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</si>
  <si>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</t>
    </r>
  </si>
  <si>
    <r>
      <t>墨攻</t>
    </r>
    <r>
      <rPr>
        <sz val="11"/>
        <color theme="1"/>
        <rFont val="ＭＳ Ｐゴシック"/>
        <family val="3"/>
        <charset val="134"/>
        <scheme val="minor"/>
      </rPr>
      <t>计</t>
    </r>
    <r>
      <rPr>
        <sz val="11"/>
        <color theme="1"/>
        <rFont val="ＭＳ Ｐゴシック"/>
        <family val="3"/>
        <charset val="128"/>
        <scheme val="minor"/>
      </rPr>
      <t>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</si>
  <si>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盈游文化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</si>
  <si>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 xml:space="preserve">薄荷酒;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葡萄酒; 黄酒;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</si>
  <si>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t>艇和</t>
  </si>
  <si>
    <r>
      <t>米酒; 黄酒; 汽酒; 白酒; 开胃酒;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</si>
  <si>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葡萄酒; 食用酒精; 白酒;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白干酒（中国白酒）</t>
    </r>
  </si>
  <si>
    <r>
      <t>匠心</t>
    </r>
    <r>
      <rPr>
        <sz val="11"/>
        <color theme="1"/>
        <rFont val="ＭＳ Ｐゴシック"/>
        <family val="3"/>
        <charset val="129"/>
        <scheme val="minor"/>
      </rPr>
      <t>优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</si>
  <si>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茴香酒（利口酒）;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清酒（日本米酒）; 葡萄酒</t>
    </r>
  </si>
  <si>
    <t>雍承正德</t>
  </si>
  <si>
    <r>
      <t>河北皇承天德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</si>
  <si>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葡萄酒; 米酒</t>
    </r>
  </si>
  <si>
    <t>周鼎博</t>
  </si>
  <si>
    <r>
      <t>葡萄酒; 果酒（含酒精）;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</t>
    </r>
  </si>
  <si>
    <r>
      <t>蓉和</t>
    </r>
    <r>
      <rPr>
        <sz val="11"/>
        <color theme="1"/>
        <rFont val="ＭＳ Ｐゴシック"/>
        <family val="3"/>
        <charset val="134"/>
        <scheme val="minor"/>
      </rPr>
      <t>赋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</si>
  <si>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葡萄酒; 米酒; 白酒</t>
    </r>
  </si>
  <si>
    <r>
      <t>力道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</si>
  <si>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苏汉书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</si>
  <si>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含酒精的气泡水; 青稞酒;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</si>
  <si>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黎洛通</t>
  </si>
  <si>
    <r>
      <t>庆</t>
    </r>
    <r>
      <rPr>
        <sz val="11"/>
        <color theme="1"/>
        <rFont val="ＭＳ Ｐゴシック"/>
        <family val="3"/>
        <charset val="128"/>
        <scheme val="minor"/>
      </rPr>
      <t>春堂（海南）健康管理有限公司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</si>
  <si>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</si>
  <si>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泰威</t>
    </r>
  </si>
  <si>
    <r>
      <t>汕尾市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泰威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</si>
  <si>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甜果酒; 果酒（含酒精）; 开胃酒; 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</si>
  <si>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小炒肉先森</t>
  </si>
  <si>
    <t>彭威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</si>
  <si>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白酒;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</si>
  <si>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绘</t>
    </r>
    <r>
      <rPr>
        <sz val="11"/>
        <color theme="1"/>
        <rFont val="ＭＳ Ｐゴシック"/>
        <family val="3"/>
        <charset val="128"/>
        <scheme val="minor"/>
      </rPr>
      <t>半生</t>
    </r>
  </si>
  <si>
    <r>
      <t>佛山市一与万商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</si>
  <si>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</si>
  <si>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见简</t>
  </si>
  <si>
    <r>
      <t>贾</t>
    </r>
    <r>
      <rPr>
        <sz val="11"/>
        <color theme="1"/>
        <rFont val="ＭＳ Ｐゴシック"/>
        <family val="3"/>
        <charset val="128"/>
        <scheme val="minor"/>
      </rPr>
      <t>毅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</si>
  <si>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果酒（含酒精）; 葡萄酒; 米酒; 白干酒（中国白酒）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</si>
  <si>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沙捌壹壹柒品牌管理有限公司</t>
    </r>
  </si>
  <si>
    <r>
      <t>果酒（含酒精）;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</si>
  <si>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守智坊</t>
  </si>
  <si>
    <r>
      <t xml:space="preserve">威士忌;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高粱酒</t>
    </r>
  </si>
  <si>
    <t>玉曲福</t>
  </si>
  <si>
    <r>
      <t>张</t>
    </r>
    <r>
      <rPr>
        <sz val="11"/>
        <color theme="1"/>
        <rFont val="ＭＳ Ｐゴシック"/>
        <family val="3"/>
        <charset val="128"/>
        <scheme val="minor"/>
      </rPr>
      <t>秀根</t>
    </r>
  </si>
  <si>
    <r>
      <t>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烈酒; 五加皮酒（中国混合烈酒）; 白干酒（中国白酒）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</si>
  <si>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开来</t>
    </r>
  </si>
  <si>
    <r>
      <t>泉州市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环</t>
    </r>
    <r>
      <rPr>
        <sz val="11"/>
        <color theme="1"/>
        <rFont val="ＭＳ Ｐゴシック"/>
        <family val="3"/>
        <charset val="128"/>
        <scheme val="minor"/>
      </rPr>
      <t>保</t>
    </r>
    <r>
      <rPr>
        <sz val="11"/>
        <color theme="1"/>
        <rFont val="ＭＳ Ｐゴシック"/>
        <family val="3"/>
        <charset val="134"/>
        <scheme val="minor"/>
      </rPr>
      <t>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</si>
  <si>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果酒;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</t>
    </r>
  </si>
  <si>
    <t>来阳春</t>
  </si>
  <si>
    <r>
      <t>米酒;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甜酒; 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</si>
  <si>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楚泓</t>
  </si>
  <si>
    <r>
      <t>桐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市好敬吧酒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</si>
  <si>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甜酒;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</si>
  <si>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荣台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</si>
  <si>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州百年黔庄酒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</si>
  <si>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高粱酒;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</si>
  <si>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淮汝</t>
  </si>
  <si>
    <r>
      <t>正阳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阳光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</si>
  <si>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白酒; 米酒; 含酒精的气泡水; 食用酒精; 果酒（含酒精）</t>
    </r>
  </si>
  <si>
    <t>GEMINI XIAOJIU</t>
  </si>
  <si>
    <r>
      <t>马</t>
    </r>
    <r>
      <rPr>
        <sz val="11"/>
        <color theme="1"/>
        <rFont val="ＭＳ Ｐゴシック"/>
        <family val="3"/>
        <charset val="128"/>
        <scheme val="minor"/>
      </rPr>
      <t>睿</t>
    </r>
  </si>
  <si>
    <r>
      <t>清酒（日本米酒）; 威士忌; 伏特加酒; 朗姆酒; 白酒;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</si>
  <si>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景阳冬</t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</si>
  <si>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梅酒;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米酒</t>
    </r>
  </si>
  <si>
    <t>晋小粉</t>
  </si>
  <si>
    <r>
      <t>卢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树</t>
    </r>
  </si>
  <si>
    <r>
      <t>高粱酒; 果酒; 清酒;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</si>
  <si>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洪</t>
    </r>
    <r>
      <rPr>
        <sz val="11"/>
        <color theme="1"/>
        <rFont val="ＭＳ Ｐゴシック"/>
        <family val="3"/>
        <charset val="134"/>
        <scheme val="minor"/>
      </rPr>
      <t>图伟业</t>
    </r>
  </si>
  <si>
    <t>李静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</si>
  <si>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清酒; 葡萄酒; 黄酒; 食用酒精; 果酒;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</si>
  <si>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永基</t>
    </r>
  </si>
  <si>
    <r>
      <t>清酒（日本米酒）; 葡萄酒;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</si>
  <si>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峡</t>
    </r>
    <r>
      <rPr>
        <sz val="11"/>
        <color theme="1"/>
        <rFont val="ＭＳ Ｐゴシック"/>
        <family val="3"/>
        <charset val="134"/>
        <scheme val="minor"/>
      </rPr>
      <t>诺</t>
    </r>
    <r>
      <rPr>
        <sz val="11"/>
        <color theme="1"/>
        <rFont val="ＭＳ Ｐゴシック"/>
        <family val="3"/>
        <charset val="128"/>
        <scheme val="minor"/>
      </rPr>
      <t>康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</si>
  <si>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大(江西)健康科技有限公司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</si>
  <si>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果酒（含酒精）;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</t>
    </r>
  </si>
  <si>
    <r>
      <t>芦洪市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氏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</si>
  <si>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</si>
  <si>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葡萄酒;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果酒（含酒精）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</si>
  <si>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徐</t>
    </r>
  </si>
  <si>
    <r>
      <t>徐州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亦盛商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</si>
  <si>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清酒; 果酒（含酒精）;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</si>
  <si>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r>
      <t>京西友</t>
    </r>
    <r>
      <rPr>
        <sz val="11"/>
        <color theme="1"/>
        <rFont val="ＭＳ Ｐゴシック"/>
        <family val="3"/>
        <charset val="134"/>
        <scheme val="minor"/>
      </rPr>
      <t>谊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</si>
  <si>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清酒</t>
    </r>
  </si>
  <si>
    <t>亨者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</si>
  <si>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甜酒; 利口酒;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</si>
  <si>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德雅春</t>
  </si>
  <si>
    <r>
      <t>丰</t>
    </r>
    <r>
      <rPr>
        <sz val="11"/>
        <color theme="1"/>
        <rFont val="ＭＳ Ｐゴシック"/>
        <family val="3"/>
        <charset val="134"/>
        <scheme val="minor"/>
      </rPr>
      <t>华时</t>
    </r>
    <r>
      <rPr>
        <sz val="11"/>
        <color theme="1"/>
        <rFont val="ＭＳ Ｐゴシック"/>
        <family val="3"/>
        <charset val="128"/>
        <scheme val="minor"/>
      </rPr>
      <t>代（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州）科技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</si>
  <si>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果酒; 白酒;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</si>
  <si>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斌公子</t>
  </si>
  <si>
    <r>
      <t>香神（北京）酒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</si>
  <si>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食用酒精; 汽酒; 烈酒; 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</si>
  <si>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西</t>
    </r>
    <r>
      <rPr>
        <sz val="11"/>
        <color theme="1"/>
        <rFont val="ＭＳ Ｐゴシック"/>
        <family val="3"/>
        <charset val="134"/>
        <scheme val="minor"/>
      </rPr>
      <t>泾</t>
    </r>
    <r>
      <rPr>
        <sz val="11"/>
        <color theme="1"/>
        <rFont val="ＭＳ Ｐゴシック"/>
        <family val="3"/>
        <charset val="128"/>
        <scheme val="minor"/>
      </rPr>
      <t>岸</t>
    </r>
  </si>
  <si>
    <r>
      <t>陆</t>
    </r>
    <r>
      <rPr>
        <sz val="11"/>
        <color theme="1"/>
        <rFont val="ＭＳ Ｐゴシック"/>
        <family val="3"/>
        <charset val="128"/>
        <scheme val="minor"/>
      </rPr>
      <t>建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</si>
  <si>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高粱酒; 米酒; 黄酒;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清酒; 果酒</t>
    </r>
  </si>
  <si>
    <r>
      <t>桂平市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鼎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</si>
  <si>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</si>
  <si>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t>板盛</t>
  </si>
  <si>
    <t>侯婧琦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</si>
  <si>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</t>
    </r>
  </si>
  <si>
    <t>德余</t>
  </si>
  <si>
    <r>
      <t>河南省酒人行酒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</si>
  <si>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烈酒;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</si>
  <si>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蜂雅居</t>
  </si>
  <si>
    <r>
      <t>张亚</t>
    </r>
    <r>
      <rPr>
        <sz val="11"/>
        <color theme="1"/>
        <rFont val="ＭＳ Ｐゴシック"/>
        <family val="3"/>
        <charset val="128"/>
        <scheme val="minor"/>
      </rPr>
      <t>荣</t>
    </r>
  </si>
  <si>
    <r>
      <t>含酒精的气泡水;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青稞酒;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</si>
  <si>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黉</t>
    </r>
    <r>
      <rPr>
        <sz val="11"/>
        <color theme="1"/>
        <rFont val="ＭＳ Ｐゴシック"/>
        <family val="3"/>
        <charset val="128"/>
        <scheme val="minor"/>
      </rPr>
      <t xml:space="preserve"> 酒</t>
    </r>
  </si>
  <si>
    <r>
      <t>安徽武林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</si>
  <si>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朗姆酒;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露酒; 烈酒</t>
    </r>
  </si>
  <si>
    <r>
      <t>吉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金尊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</si>
  <si>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开胃酒; 葡萄酒; 黄酒; 米酒;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</t>
    </r>
  </si>
  <si>
    <t>正阳淮汝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</si>
  <si>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葡萄酒; 含酒精的气泡水;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果酒（含酒精）</t>
    </r>
  </si>
  <si>
    <r>
      <t>何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邵</t>
    </r>
  </si>
  <si>
    <t>湖南天航生物科技有限公司</t>
  </si>
  <si>
    <r>
      <t>葡萄酒; 露酒; 果酒; 清酒;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汽酒; 白酒; 甜酒; 米酒</t>
    </r>
  </si>
  <si>
    <t>金窖禹</t>
  </si>
  <si>
    <r>
      <t xml:space="preserve">汽酒; 黄酒; 食用酒精;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烈酒</t>
    </r>
  </si>
  <si>
    <t>相宏堂</t>
  </si>
  <si>
    <r>
      <t>郭利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</si>
  <si>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葡萄酒; 白酒; 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含牛奶的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</si>
  <si>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泸</t>
    </r>
    <r>
      <rPr>
        <sz val="11"/>
        <color theme="1"/>
        <rFont val="ＭＳ Ｐゴシック"/>
        <family val="3"/>
        <charset val="128"/>
        <scheme val="minor"/>
      </rPr>
      <t>膳氿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</si>
  <si>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梁坊酒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泸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</si>
  <si>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 xml:space="preserve">苹果酒; 梨酒; 蒸煮提取物（利口酒和烈酒）; 葡萄酒;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黄酒</t>
    </r>
  </si>
  <si>
    <t>宰相嫁女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</si>
  <si>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烈酒; 清酒;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</si>
  <si>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r>
      <t>御尊外</t>
    </r>
    <r>
      <rPr>
        <sz val="11"/>
        <color theme="1"/>
        <rFont val="ＭＳ Ｐゴシック"/>
        <family val="3"/>
        <charset val="134"/>
        <scheme val="minor"/>
      </rPr>
      <t>滩财库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</si>
  <si>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樽中福商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</si>
  <si>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白酒;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伏特加酒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</si>
  <si>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征途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</si>
  <si>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州例外定制商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</si>
  <si>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</si>
  <si>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t>楚濉</t>
  </si>
  <si>
    <r>
      <t>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甜酒; 汽酒;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</si>
  <si>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我店基</t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</si>
  <si>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市巾</t>
    </r>
    <r>
      <rPr>
        <sz val="11"/>
        <color theme="1"/>
        <rFont val="ＭＳ Ｐゴシック"/>
        <family val="3"/>
        <charset val="134"/>
        <scheme val="minor"/>
      </rPr>
      <t>帼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</si>
  <si>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伏特加酒; 青稞酒;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朗姆酒; 食用酒精</t>
    </r>
  </si>
  <si>
    <r>
      <t>千</t>
    </r>
    <r>
      <rPr>
        <sz val="11"/>
        <color theme="1"/>
        <rFont val="ＭＳ Ｐゴシック"/>
        <family val="3"/>
        <charset val="134"/>
        <scheme val="minor"/>
      </rPr>
      <t>岚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</si>
  <si>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四川蜀都大晟商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</si>
  <si>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甜酒;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蝮蛇酒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</si>
  <si>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氏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正勇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</si>
  <si>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</si>
  <si>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龄</t>
    </r>
    <r>
      <rPr>
        <sz val="11"/>
        <color theme="1"/>
        <rFont val="ＭＳ Ｐゴシック"/>
        <family val="3"/>
        <charset val="128"/>
        <scheme val="minor"/>
      </rPr>
      <t>宸醉</t>
    </r>
  </si>
  <si>
    <r>
      <t>中宸健康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科技(广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)有限公司</t>
    </r>
  </si>
  <si>
    <r>
      <t>威士忌;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黄酒; 麦芽威士忌;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</si>
  <si>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小熊尖叫</t>
  </si>
  <si>
    <r>
      <t>金</t>
    </r>
    <r>
      <rPr>
        <sz val="11"/>
        <color theme="1"/>
        <rFont val="ＭＳ Ｐゴシック"/>
        <family val="3"/>
        <charset val="134"/>
        <scheme val="minor"/>
      </rPr>
      <t>枫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</si>
  <si>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</si>
  <si>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子丘百觚</t>
  </si>
  <si>
    <t>公衍春</t>
  </si>
  <si>
    <r>
      <t xml:space="preserve">果酒（含酒精）; 开胃酒; 葡萄酒; 利口酒; 白酒; 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</si>
  <si>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t>筷子街 CHOPSTICKSSTREET</t>
  </si>
  <si>
    <t>南昌市筷子街信息科技有限公司</t>
  </si>
  <si>
    <r>
      <t>开胃酒; 黄酒; 高粱酒;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米酒; 果酒;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</si>
  <si>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大滕墨香</t>
  </si>
  <si>
    <r>
      <t>胡</t>
    </r>
    <r>
      <rPr>
        <sz val="11"/>
        <color theme="1"/>
        <rFont val="ＭＳ Ｐゴシック"/>
        <family val="3"/>
        <charset val="134"/>
        <scheme val="minor"/>
      </rPr>
      <t>卫</t>
    </r>
    <r>
      <rPr>
        <sz val="11"/>
        <color theme="1"/>
        <rFont val="ＭＳ Ｐゴシック"/>
        <family val="3"/>
        <charset val="128"/>
        <scheme val="minor"/>
      </rPr>
      <t>忠</t>
    </r>
  </si>
  <si>
    <r>
      <t>米酒; 白酒; 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</si>
  <si>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赤御河</t>
  </si>
  <si>
    <r>
      <t>邓</t>
    </r>
    <r>
      <rPr>
        <sz val="11"/>
        <color theme="1"/>
        <rFont val="ＭＳ Ｐゴシック"/>
        <family val="3"/>
        <charset val="128"/>
        <scheme val="minor"/>
      </rPr>
      <t>芬</t>
    </r>
  </si>
  <si>
    <r>
      <t xml:space="preserve">黄酒;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</si>
  <si>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华兴</t>
    </r>
    <r>
      <rPr>
        <sz val="11"/>
        <color theme="1"/>
        <rFont val="ＭＳ Ｐゴシック"/>
        <family val="3"/>
        <charset val="128"/>
        <scheme val="minor"/>
      </rPr>
      <t>荣耀（北京）体育用品有限公司</t>
    </r>
  </si>
  <si>
    <r>
      <t>葡萄酒;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</si>
  <si>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乎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人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</si>
  <si>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鑫酒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</si>
  <si>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蒸煮提取物（利口酒和烈酒）;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</si>
  <si>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湖南泰伯控股有限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</si>
  <si>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</si>
  <si>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妃斯王</t>
  </si>
  <si>
    <r>
      <t>张</t>
    </r>
    <r>
      <rPr>
        <sz val="11"/>
        <color theme="1"/>
        <rFont val="ＭＳ Ｐゴシック"/>
        <family val="3"/>
        <charset val="128"/>
        <scheme val="minor"/>
      </rPr>
      <t>广堂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</si>
  <si>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白酒</t>
    </r>
  </si>
  <si>
    <t>盛美之耀</t>
  </si>
  <si>
    <t>丁敏</t>
  </si>
  <si>
    <r>
      <t xml:space="preserve">露酒; 葡萄酒; 高粱酒; 青梅酒;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果酒;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</si>
  <si>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鹏</t>
    </r>
    <r>
      <rPr>
        <sz val="11"/>
        <color theme="1"/>
        <rFont val="ＭＳ Ｐゴシック"/>
        <family val="3"/>
        <charset val="128"/>
        <scheme val="minor"/>
      </rPr>
      <t>琴</t>
    </r>
  </si>
  <si>
    <r>
      <t>胡好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</si>
  <si>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伏特加酒; 米酒; 葡萄酒; 食用酒精;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果酒(含酒精)</t>
    </r>
  </si>
  <si>
    <t>皖泰祥</t>
  </si>
  <si>
    <t>袁程旭</t>
  </si>
  <si>
    <r>
      <t>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果酒（含酒精）; 伏特加酒; 威士忌;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</si>
  <si>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r>
      <t>荷</t>
    </r>
    <r>
      <rPr>
        <sz val="11"/>
        <color theme="1"/>
        <rFont val="ＭＳ Ｐゴシック"/>
        <family val="3"/>
        <charset val="134"/>
        <scheme val="minor"/>
      </rPr>
      <t>橼</t>
    </r>
    <r>
      <rPr>
        <sz val="11"/>
        <color theme="1"/>
        <rFont val="ＭＳ Ｐゴシック"/>
        <family val="3"/>
        <charset val="128"/>
        <scheme val="minor"/>
      </rPr>
      <t>小宝</t>
    </r>
  </si>
  <si>
    <t>于涛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</si>
  <si>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果酒（含酒精）; 烈酒;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</si>
  <si>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陉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</si>
  <si>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州京</t>
    </r>
    <r>
      <rPr>
        <sz val="11"/>
        <color theme="1"/>
        <rFont val="ＭＳ Ｐゴシック"/>
        <family val="3"/>
        <charset val="134"/>
        <scheme val="minor"/>
      </rPr>
      <t>谭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</si>
  <si>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白干酒（中国白酒）</t>
    </r>
  </si>
  <si>
    <r>
      <t>乐</t>
    </r>
    <r>
      <rPr>
        <sz val="11"/>
        <color theme="1"/>
        <rFont val="ＭＳ Ｐゴシック"/>
        <family val="3"/>
        <charset val="128"/>
        <scheme val="minor"/>
      </rPr>
      <t>有礼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</si>
  <si>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有康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</si>
  <si>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青梅酒; 威士忌; 黄酒; 米酒;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</si>
  <si>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翁杰</t>
  </si>
  <si>
    <r>
      <t>井士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</si>
  <si>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清酒; 葡萄酒; 利口酒; 黄酒; 苹果酒; 白酒; 米酒; 青稞酒</t>
    </r>
  </si>
  <si>
    <t>福尤熹</t>
  </si>
  <si>
    <r>
      <t>三明傍山企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</si>
  <si>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黄酒; 葡萄酒; 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果酒（含酒精）; 白酒</t>
    </r>
  </si>
  <si>
    <t>村曜</t>
  </si>
  <si>
    <r>
      <t>为</t>
    </r>
    <r>
      <rPr>
        <sz val="11"/>
        <color theme="1"/>
        <rFont val="ＭＳ Ｐゴシック"/>
        <family val="3"/>
        <charset val="128"/>
        <scheme val="minor"/>
      </rPr>
      <t>星智能科技（宁波）有限公司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</si>
  <si>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开胃酒;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</si>
  <si>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千谷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</si>
  <si>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</si>
  <si>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悦客森</t>
  </si>
  <si>
    <r>
      <t>乔龙</t>
    </r>
    <r>
      <rPr>
        <sz val="11"/>
        <color theme="1"/>
        <rFont val="ＭＳ Ｐゴシック"/>
        <family val="3"/>
        <charset val="128"/>
        <scheme val="minor"/>
      </rPr>
      <t>一</t>
    </r>
  </si>
  <si>
    <r>
      <t>甜酒; 米酒;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清酒（日本米酒）; 白葡萄酒; 烈酒</t>
    </r>
  </si>
  <si>
    <r>
      <t>龙跃</t>
    </r>
    <r>
      <rPr>
        <sz val="11"/>
        <color theme="1"/>
        <rFont val="ＭＳ Ｐゴシック"/>
        <family val="3"/>
        <charset val="128"/>
        <scheme val="minor"/>
      </rPr>
      <t>金</t>
    </r>
    <r>
      <rPr>
        <sz val="11"/>
        <color theme="1"/>
        <rFont val="ＭＳ Ｐゴシック"/>
        <family val="3"/>
        <charset val="134"/>
        <scheme val="minor"/>
      </rPr>
      <t>阶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</si>
  <si>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黄酒; 蜂蜜酒; 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</t>
    </r>
  </si>
  <si>
    <t>松汐</t>
  </si>
  <si>
    <r>
      <t>何子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</si>
  <si>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高粱酒; 白酒; 蒸煮提取物（利口酒和烈酒）; 白干酒（中国白酒）</t>
    </r>
  </si>
  <si>
    <r>
      <t>嬴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王</t>
    </r>
  </si>
  <si>
    <r>
      <t>河北邯神酒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</si>
  <si>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葡萄酒;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</si>
  <si>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匠君</t>
    </r>
    <r>
      <rPr>
        <sz val="11"/>
        <color theme="1"/>
        <rFont val="ＭＳ Ｐゴシック"/>
        <family val="3"/>
        <charset val="134"/>
        <scheme val="minor"/>
      </rPr>
      <t>陈</t>
    </r>
  </si>
  <si>
    <t>刘真宇</t>
  </si>
  <si>
    <r>
      <t>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白酒; 果酒（含酒精）; 食用酒精; 五加皮酒（中国混合烈酒）; 苹果酒; 高粱酒; 苦味酒;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</si>
  <si>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闰</t>
    </r>
    <r>
      <rPr>
        <sz val="11"/>
        <color theme="1"/>
        <rFont val="ＭＳ Ｐゴシック"/>
        <family val="3"/>
        <charset val="128"/>
        <scheme val="minor"/>
      </rPr>
      <t>二月</t>
    </r>
  </si>
  <si>
    <t>王建国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</si>
  <si>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露酒; 黄酒; 葡萄酒; 果酒;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青梅酒;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</si>
  <si>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楚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刘邦</t>
    </r>
  </si>
  <si>
    <r>
      <t>蔡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旺</t>
    </r>
  </si>
  <si>
    <r>
      <t xml:space="preserve">米酒; 黄酒; 高粱酒;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青梅酒; 烈酒;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</si>
  <si>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巴旗食野</t>
  </si>
  <si>
    <r>
      <t>孙</t>
    </r>
    <r>
      <rPr>
        <sz val="11"/>
        <color theme="1"/>
        <rFont val="ＭＳ Ｐゴシック"/>
        <family val="3"/>
        <charset val="128"/>
        <scheme val="minor"/>
      </rPr>
      <t>志</t>
    </r>
    <r>
      <rPr>
        <sz val="11"/>
        <color theme="1"/>
        <rFont val="ＭＳ Ｐゴシック"/>
        <family val="3"/>
        <charset val="134"/>
        <scheme val="minor"/>
      </rPr>
      <t>刚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</si>
  <si>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烈酒; 黄酒;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果酒; 白干酒（中国白酒）; 葡萄酒</t>
    </r>
  </si>
  <si>
    <r>
      <t>艾</t>
    </r>
    <r>
      <rPr>
        <sz val="11"/>
        <color theme="1"/>
        <rFont val="ＭＳ Ｐゴシック"/>
        <family val="3"/>
        <charset val="134"/>
        <scheme val="minor"/>
      </rPr>
      <t>沣</t>
    </r>
    <r>
      <rPr>
        <sz val="11"/>
        <color theme="1"/>
        <rFont val="ＭＳ Ｐゴシック"/>
        <family val="3"/>
        <charset val="128"/>
        <scheme val="minor"/>
      </rPr>
      <t>泉</t>
    </r>
  </si>
  <si>
    <r>
      <t>上海沃黎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</si>
  <si>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果酒; 烈性干酒;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</si>
  <si>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丹青荷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</si>
  <si>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开胃酒; 葡萄酒; 果酒（含酒精）</t>
    </r>
  </si>
  <si>
    <t>贵围</t>
  </si>
  <si>
    <r>
      <t>薛</t>
    </r>
    <r>
      <rPr>
        <sz val="11"/>
        <color theme="1"/>
        <rFont val="ＭＳ Ｐゴシック"/>
        <family val="3"/>
        <charset val="134"/>
        <scheme val="minor"/>
      </rPr>
      <t>艳</t>
    </r>
    <r>
      <rPr>
        <sz val="11"/>
        <color theme="1"/>
        <rFont val="ＭＳ Ｐゴシック"/>
        <family val="3"/>
        <charset val="128"/>
        <scheme val="minor"/>
      </rPr>
      <t>明</t>
    </r>
  </si>
  <si>
    <r>
      <t xml:space="preserve">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烈酒;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青稞酒; 白酒; 甜酒</t>
    </r>
  </si>
  <si>
    <r>
      <t>醉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</si>
  <si>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>丁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</si>
  <si>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青梅酒; 米酒; 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露酒; 果酒</t>
    </r>
  </si>
  <si>
    <r>
      <t>龙图</t>
    </r>
    <r>
      <rPr>
        <sz val="11"/>
        <color theme="1"/>
        <rFont val="ＭＳ Ｐゴシック"/>
        <family val="3"/>
        <charset val="128"/>
        <scheme val="minor"/>
      </rPr>
      <t>台</t>
    </r>
    <r>
      <rPr>
        <sz val="11"/>
        <color theme="1"/>
        <rFont val="ＭＳ Ｐゴシック"/>
        <family val="3"/>
        <charset val="134"/>
        <scheme val="minor"/>
      </rPr>
      <t>龙酝</t>
    </r>
  </si>
  <si>
    <r>
      <t>魏国</t>
    </r>
    <r>
      <rPr>
        <sz val="11"/>
        <color theme="1"/>
        <rFont val="ＭＳ Ｐゴシック"/>
        <family val="3"/>
        <charset val="134"/>
        <scheme val="minor"/>
      </rPr>
      <t>栋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</si>
  <si>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果酒（含酒精）;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</si>
  <si>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逸养延</t>
  </si>
  <si>
    <t>程晋会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</si>
  <si>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白酒; 黄酒; 果酒;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</si>
  <si>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漫罕</t>
  </si>
  <si>
    <r>
      <t>王文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</si>
  <si>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烈酒; 汽酒; 食用酒精; 葡萄酒;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黄酒</t>
    </r>
  </si>
  <si>
    <r>
      <t>佰</t>
    </r>
    <r>
      <rPr>
        <sz val="11"/>
        <color theme="1"/>
        <rFont val="ＭＳ Ｐゴシック"/>
        <family val="3"/>
        <charset val="134"/>
        <scheme val="minor"/>
      </rPr>
      <t>历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</si>
  <si>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州佰</t>
    </r>
    <r>
      <rPr>
        <sz val="11"/>
        <color theme="1"/>
        <rFont val="ＭＳ Ｐゴシック"/>
        <family val="3"/>
        <charset val="134"/>
        <scheme val="minor"/>
      </rPr>
      <t>历</t>
    </r>
    <r>
      <rPr>
        <sz val="11"/>
        <color theme="1"/>
        <rFont val="ＭＳ Ｐゴシック"/>
        <family val="3"/>
        <charset val="128"/>
        <scheme val="minor"/>
      </rPr>
      <t>建筑工程有限公司</t>
    </r>
  </si>
  <si>
    <r>
      <t>黄酒;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</si>
  <si>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</si>
  <si>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州茅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源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</si>
  <si>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蜂蜜酒; 食用酒精; 白酒</t>
    </r>
  </si>
  <si>
    <t>城都普曲</t>
  </si>
  <si>
    <r>
      <t>朱建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</si>
  <si>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</si>
  <si>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r>
      <t>姜小</t>
    </r>
    <r>
      <rPr>
        <sz val="11"/>
        <color theme="1"/>
        <rFont val="ＭＳ Ｐゴシック"/>
        <family val="3"/>
        <charset val="134"/>
        <scheme val="minor"/>
      </rPr>
      <t>柠</t>
    </r>
  </si>
  <si>
    <r>
      <t xml:space="preserve">白葡萄酒; 烈酒; 甜酒; 米酒;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</si>
  <si>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壶</t>
    </r>
    <r>
      <rPr>
        <sz val="11"/>
        <color theme="1"/>
        <rFont val="ＭＳ Ｐゴシック"/>
        <family val="3"/>
        <charset val="128"/>
        <scheme val="minor"/>
      </rPr>
      <t>里天地</t>
    </r>
  </si>
  <si>
    <r>
      <t>谢</t>
    </r>
    <r>
      <rPr>
        <sz val="11"/>
        <color theme="1"/>
        <rFont val="ＭＳ Ｐゴシック"/>
        <family val="3"/>
        <charset val="128"/>
        <scheme val="minor"/>
      </rPr>
      <t>可恩</t>
    </r>
  </si>
  <si>
    <r>
      <t xml:space="preserve">黄酒; 伏特加酒; 果酒（含酒精）; 葡萄酒; 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蜂蜜酒</t>
    </r>
  </si>
  <si>
    <r>
      <t>卿花</t>
    </r>
    <r>
      <rPr>
        <sz val="11"/>
        <color theme="1"/>
        <rFont val="ＭＳ Ｐゴシック"/>
        <family val="3"/>
        <charset val="134"/>
        <scheme val="minor"/>
      </rPr>
      <t>语</t>
    </r>
  </si>
  <si>
    <r>
      <t>深圳嘉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世</t>
    </r>
    <r>
      <rPr>
        <sz val="11"/>
        <color theme="1"/>
        <rFont val="ＭＳ Ｐゴシック"/>
        <family val="3"/>
        <charset val="134"/>
        <scheme val="minor"/>
      </rPr>
      <t>纪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</si>
  <si>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</si>
  <si>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君梦年</t>
  </si>
  <si>
    <r>
      <t>胡</t>
    </r>
    <r>
      <rPr>
        <sz val="11"/>
        <color theme="1"/>
        <rFont val="ＭＳ Ｐゴシック"/>
        <family val="3"/>
        <charset val="134"/>
        <scheme val="minor"/>
      </rPr>
      <t>议</t>
    </r>
    <r>
      <rPr>
        <sz val="11"/>
        <color theme="1"/>
        <rFont val="ＭＳ Ｐゴシック"/>
        <family val="3"/>
        <charset val="128"/>
        <scheme val="minor"/>
      </rPr>
      <t>戈</t>
    </r>
  </si>
  <si>
    <r>
      <t>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米酒; 果酒（含酒精）;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</si>
  <si>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法格特 FAGTE</t>
  </si>
  <si>
    <r>
      <t>义乌</t>
    </r>
    <r>
      <rPr>
        <sz val="11"/>
        <color theme="1"/>
        <rFont val="ＭＳ Ｐゴシック"/>
        <family val="3"/>
        <charset val="128"/>
        <scheme val="minor"/>
      </rPr>
      <t>市敬品酒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</si>
  <si>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汽酒; 高粱酒;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烈酒;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</si>
  <si>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蛟芝言</t>
  </si>
  <si>
    <t>柳鑫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</si>
  <si>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食用酒精;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米酒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</si>
  <si>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商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</si>
  <si>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州美</t>
    </r>
    <r>
      <rPr>
        <sz val="11"/>
        <color theme="1"/>
        <rFont val="ＭＳ Ｐゴシック"/>
        <family val="3"/>
        <charset val="134"/>
        <scheme val="minor"/>
      </rPr>
      <t>钰传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</si>
  <si>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白酒; 清酒（日本米酒）; 米酒; 青稞酒; 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</si>
  <si>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魔力爽</t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</si>
  <si>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苹果酒</t>
    </r>
  </si>
  <si>
    <r>
      <t>坛载</t>
    </r>
    <r>
      <rPr>
        <sz val="11"/>
        <color theme="1"/>
        <rFont val="ＭＳ Ｐゴシック"/>
        <family val="3"/>
        <charset val="128"/>
        <scheme val="minor"/>
      </rPr>
      <t>天地</t>
    </r>
  </si>
  <si>
    <r>
      <t xml:space="preserve">伏特加酒; 白酒;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蜂蜜酒; 黄酒</t>
    </r>
  </si>
  <si>
    <t>秦窟</t>
  </si>
  <si>
    <r>
      <t>胡</t>
    </r>
    <r>
      <rPr>
        <sz val="11"/>
        <color theme="1"/>
        <rFont val="ＭＳ Ｐゴシック"/>
        <family val="3"/>
        <charset val="134"/>
        <scheme val="minor"/>
      </rPr>
      <t>颖</t>
    </r>
    <r>
      <rPr>
        <sz val="11"/>
        <color theme="1"/>
        <rFont val="ＭＳ Ｐゴシック"/>
        <family val="3"/>
        <charset val="128"/>
        <scheme val="minor"/>
      </rPr>
      <t>超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</si>
  <si>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果酒（含酒精）; 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</si>
  <si>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善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窖</t>
    </r>
  </si>
  <si>
    <t>袁波</t>
  </si>
  <si>
    <t>伏特加酒; 朗姆酒; 果酒（含酒精）; 威士忌; 高粱酒; 白酒; 开胃酒; 白葡萄酒; 利口酒; 烈酒</t>
  </si>
  <si>
    <t>大歇醉</t>
  </si>
  <si>
    <t>秦琴</t>
  </si>
  <si>
    <r>
      <t xml:space="preserve">青梅酒;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青稞酒; 黄酒; 高粱酒; 果酒;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葡萄酒; 米酒</t>
    </r>
  </si>
  <si>
    <t>久翔</t>
  </si>
  <si>
    <t>薛海新</t>
  </si>
  <si>
    <r>
      <t>米酒; 高粱酒;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伏特加酒;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</t>
    </r>
  </si>
  <si>
    <t>年月美</t>
  </si>
  <si>
    <t>刘旺喜</t>
  </si>
  <si>
    <r>
      <t>黄酒; 白酒; 梅酒; 葡萄酒; 清酒（日本米酒）;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</si>
  <si>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泸</t>
    </r>
    <r>
      <rPr>
        <sz val="11"/>
        <color theme="1"/>
        <rFont val="ＭＳ Ｐゴシック"/>
        <family val="3"/>
        <charset val="129"/>
        <scheme val="minor"/>
      </rPr>
      <t>喻</t>
    </r>
  </si>
  <si>
    <r>
      <t>谢马</t>
    </r>
    <r>
      <rPr>
        <sz val="11"/>
        <color theme="1"/>
        <rFont val="ＭＳ Ｐゴシック"/>
        <family val="3"/>
        <charset val="128"/>
        <scheme val="minor"/>
      </rPr>
      <t>荣</t>
    </r>
  </si>
  <si>
    <r>
      <t>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葡萄酒;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</si>
  <si>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衡泰祥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</si>
  <si>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伏特加酒; 葡萄酒; 白酒; 蜂蜜酒; 黄酒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</si>
  <si>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滩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</si>
  <si>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笃</t>
    </r>
    <r>
      <rPr>
        <sz val="11"/>
        <color theme="1"/>
        <rFont val="ＭＳ Ｐゴシック"/>
        <family val="3"/>
        <charset val="128"/>
        <scheme val="minor"/>
      </rPr>
      <t>台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</si>
  <si>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威士忌; 伏特加酒;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白酒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</si>
  <si>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妍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己</t>
    </r>
  </si>
  <si>
    <r>
      <t>北京圣焱影</t>
    </r>
    <r>
      <rPr>
        <sz val="11"/>
        <color theme="1"/>
        <rFont val="ＭＳ Ｐゴシック"/>
        <family val="3"/>
        <charset val="134"/>
        <scheme val="minor"/>
      </rPr>
      <t>视传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</si>
  <si>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烈酒; 白干酒（中国白酒）; 葡萄酒</t>
    </r>
  </si>
  <si>
    <r>
      <t>卫</t>
    </r>
    <r>
      <rPr>
        <sz val="11"/>
        <color theme="1"/>
        <rFont val="ＭＳ Ｐゴシック"/>
        <family val="3"/>
        <charset val="128"/>
        <scheme val="minor"/>
      </rPr>
      <t>民扁</t>
    </r>
    <r>
      <rPr>
        <sz val="11"/>
        <color theme="1"/>
        <rFont val="ＭＳ Ｐゴシック"/>
        <family val="3"/>
        <charset val="134"/>
        <scheme val="minor"/>
      </rPr>
      <t>鹊</t>
    </r>
  </si>
  <si>
    <t>胡国峰</t>
  </si>
  <si>
    <r>
      <t>黄酒;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五加皮酒（中国混合烈酒）; 食用酒精; 米酒;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清酒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</si>
  <si>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坊果韵</t>
    </r>
  </si>
  <si>
    <r>
      <t>绵</t>
    </r>
    <r>
      <rPr>
        <sz val="11"/>
        <color theme="1"/>
        <rFont val="ＭＳ Ｐゴシック"/>
        <family val="3"/>
        <charset val="128"/>
        <scheme val="minor"/>
      </rPr>
      <t>竹市正</t>
    </r>
    <r>
      <rPr>
        <sz val="11"/>
        <color theme="1"/>
        <rFont val="ＭＳ Ｐゴシック"/>
        <family val="3"/>
        <charset val="134"/>
        <scheme val="minor"/>
      </rPr>
      <t>汉农业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</si>
  <si>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苹果酒;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</si>
  <si>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DEW GLISTENING</t>
  </si>
  <si>
    <r>
      <t xml:space="preserve">威士忌; 起泡白葡萄酒;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含酒精的气泡水;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葡萄酒; 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水果汽酒</t>
    </r>
  </si>
  <si>
    <r>
      <t>订</t>
    </r>
    <r>
      <rPr>
        <sz val="11"/>
        <color theme="1"/>
        <rFont val="ＭＳ Ｐゴシック"/>
        <family val="3"/>
        <charset val="128"/>
        <scheme val="minor"/>
      </rPr>
      <t>酒熊</t>
    </r>
  </si>
  <si>
    <r>
      <t>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葡萄酒; 果酒（含酒精）; 汽酒; 白酒</t>
    </r>
  </si>
  <si>
    <r>
      <t>衮</t>
    </r>
    <r>
      <rPr>
        <sz val="11"/>
        <color theme="1"/>
        <rFont val="ＭＳ Ｐゴシック"/>
        <family val="3"/>
        <charset val="128"/>
        <scheme val="minor"/>
      </rPr>
      <t>台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</si>
  <si>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烈酒;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黄酒</t>
    </r>
  </si>
  <si>
    <t>贵猎</t>
  </si>
  <si>
    <r>
      <t>甜酒; 白酒; 米酒; 果酒; 高粱酒; 青稞酒; 烈酒; 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</si>
  <si>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赏</t>
    </r>
    <r>
      <rPr>
        <sz val="11"/>
        <color theme="1"/>
        <rFont val="ＭＳ Ｐゴシック"/>
        <family val="3"/>
        <charset val="128"/>
        <scheme val="minor"/>
      </rPr>
      <t>洽悦</t>
    </r>
  </si>
  <si>
    <r>
      <t>西安仲秦商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</si>
  <si>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甘蔗制烈酒; 白酒</t>
    </r>
  </si>
  <si>
    <t>扎韵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</si>
  <si>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</si>
  <si>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成瑞家</t>
  </si>
  <si>
    <r>
      <t>乔</t>
    </r>
    <r>
      <rPr>
        <sz val="11"/>
        <color theme="1"/>
        <rFont val="ＭＳ Ｐゴシック"/>
        <family val="3"/>
        <charset val="128"/>
        <scheme val="minor"/>
      </rPr>
      <t>成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</si>
  <si>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含酒精的气泡水;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白酒; 开胃酒; 葡萄酒; 汽酒</t>
    </r>
  </si>
  <si>
    <r>
      <t>仁德</t>
    </r>
    <r>
      <rPr>
        <sz val="11"/>
        <color theme="1"/>
        <rFont val="ＭＳ Ｐゴシック"/>
        <family val="3"/>
        <charset val="134"/>
        <scheme val="minor"/>
      </rPr>
      <t>贤</t>
    </r>
  </si>
  <si>
    <t>濮阳市英之坊家居有限公司</t>
  </si>
  <si>
    <t>开胃酒; 利口酒; 白酒; 薄荷酒; 果酒; 青稞酒; 苹果酒; 米酒; 黄酒; 葡萄酒</t>
  </si>
  <si>
    <t>挂金索</t>
  </si>
  <si>
    <r>
      <t>天津</t>
    </r>
    <r>
      <rPr>
        <sz val="11"/>
        <color theme="1"/>
        <rFont val="ＭＳ Ｐゴシック"/>
        <family val="3"/>
        <charset val="134"/>
        <scheme val="minor"/>
      </rPr>
      <t>兴垄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购进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</si>
  <si>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清酒（日本米酒）; 白酒; 葡萄酒;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</si>
  <si>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棒哥</t>
  </si>
  <si>
    <r>
      <t xml:space="preserve">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高粱酒; 黄酒; 果酒; 开胃酒; 汽酒; 米酒</t>
    </r>
  </si>
  <si>
    <r>
      <t>喜</t>
    </r>
    <r>
      <rPr>
        <sz val="11"/>
        <color theme="1"/>
        <rFont val="ＭＳ Ｐゴシック"/>
        <family val="3"/>
        <charset val="134"/>
        <scheme val="minor"/>
      </rPr>
      <t>赐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</si>
  <si>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 xml:space="preserve">米酒; 白酒; 果酒（含酒精）; 蜂蜜酒;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</si>
  <si>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楼春暖</t>
  </si>
  <si>
    <r>
      <t>葡萄酒; 蜂蜜酒; 白酒; 果酒（含酒精）; 黄酒;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</si>
  <si>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执</t>
    </r>
    <r>
      <rPr>
        <sz val="11"/>
        <color theme="1"/>
        <rFont val="ＭＳ Ｐゴシック"/>
        <family val="3"/>
        <charset val="128"/>
        <scheme val="minor"/>
      </rPr>
      <t>炉坊</t>
    </r>
  </si>
  <si>
    <r>
      <t>河南妙品食品商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</si>
  <si>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梨酒; 米酒; 食用酒精; 黄酒</t>
    </r>
  </si>
  <si>
    <t>逆定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</si>
  <si>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成西就科技有限公司</t>
    </r>
  </si>
  <si>
    <r>
      <t>果酒（含酒精）; 威士忌;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</t>
    </r>
  </si>
  <si>
    <t>量将</t>
  </si>
  <si>
    <r>
      <t xml:space="preserve">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开胃酒; 蜂蜜酒; 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</si>
  <si>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扎韵坊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</si>
  <si>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</si>
  <si>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巫能海</t>
  </si>
  <si>
    <r>
      <t>高粱酒; 甜酒; 果酒（含酒精）;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汽酒; 葡萄酒; 白酒</t>
    </r>
  </si>
  <si>
    <t>中盈盛元</t>
  </si>
  <si>
    <r>
      <t>上海中盈盛元医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</si>
  <si>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蒸煮提取物（利口酒和烈酒）; 葡萄酒; 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</si>
  <si>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月</t>
    </r>
    <r>
      <rPr>
        <sz val="11"/>
        <color theme="1"/>
        <rFont val="ＭＳ Ｐゴシック"/>
        <family val="3"/>
        <charset val="134"/>
        <scheme val="minor"/>
      </rPr>
      <t>润</t>
    </r>
    <r>
      <rPr>
        <sz val="11"/>
        <color theme="1"/>
        <rFont val="ＭＳ Ｐゴシック"/>
        <family val="3"/>
        <charset val="128"/>
        <scheme val="minor"/>
      </rPr>
      <t>露</t>
    </r>
  </si>
  <si>
    <r>
      <t>余玉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</si>
  <si>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 xml:space="preserve">果酒（含酒精）; 开胃酒; 蒸煮提取物（利口酒和烈酒）; 蜂蜜酒; 烈酒;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</si>
  <si>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t>杏阳河</t>
  </si>
  <si>
    <t>王勇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</si>
  <si>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白酒; 高粱酒;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白干酒（中国白酒）; 烈酒</t>
    </r>
  </si>
  <si>
    <t>燕晞</t>
  </si>
  <si>
    <r>
      <t>威</t>
    </r>
    <r>
      <rPr>
        <sz val="11"/>
        <color theme="1"/>
        <rFont val="ＭＳ Ｐゴシック"/>
        <family val="3"/>
        <charset val="134"/>
        <scheme val="minor"/>
      </rPr>
      <t>远县</t>
    </r>
    <r>
      <rPr>
        <sz val="11"/>
        <color theme="1"/>
        <rFont val="ＭＳ Ｐゴシック"/>
        <family val="3"/>
        <charset val="128"/>
        <scheme val="minor"/>
      </rPr>
      <t>燕晞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莓种植有限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</si>
  <si>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米酒; 青稞酒;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烈酒;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</si>
  <si>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t>雅帝王</t>
  </si>
  <si>
    <t>万政</t>
  </si>
  <si>
    <r>
      <t xml:space="preserve">青稞酒;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开胃酒;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</si>
  <si>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清恋花</t>
  </si>
  <si>
    <t>牛国娥</t>
  </si>
  <si>
    <r>
      <t>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利口酒; 汽酒;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</si>
  <si>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r>
      <t>富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丰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</si>
  <si>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白酒;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</si>
  <si>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泓生精源</t>
  </si>
  <si>
    <r>
      <t>俊泓</t>
    </r>
    <r>
      <rPr>
        <sz val="11"/>
        <color theme="1"/>
        <rFont val="ＭＳ Ｐゴシック"/>
        <family val="3"/>
        <charset val="134"/>
        <scheme val="minor"/>
      </rPr>
      <t>应</t>
    </r>
    <r>
      <rPr>
        <sz val="11"/>
        <color theme="1"/>
        <rFont val="ＭＳ Ｐゴシック"/>
        <family val="3"/>
        <charset val="128"/>
        <scheme val="minor"/>
      </rPr>
      <t>急救援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</si>
  <si>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餐后酒（利口酒和烈酒）; 高粱酒; 食用酒精; 开胃酒; 葡萄酒; 果酒（含酒精）;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</si>
  <si>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容金坊</t>
  </si>
  <si>
    <r>
      <t xml:space="preserve">威士忌; 白酒; 米酒;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</si>
  <si>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世逍遥</t>
  </si>
  <si>
    <r>
      <t>苹果酒;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</si>
  <si>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河</t>
    </r>
    <r>
      <rPr>
        <sz val="11"/>
        <color theme="1"/>
        <rFont val="ＭＳ Ｐゴシック"/>
        <family val="3"/>
        <charset val="134"/>
        <scheme val="minor"/>
      </rPr>
      <t>沥</t>
    </r>
    <r>
      <rPr>
        <sz val="11"/>
        <color theme="1"/>
        <rFont val="ＭＳ Ｐゴシック"/>
        <family val="3"/>
        <charset val="128"/>
        <scheme val="minor"/>
      </rPr>
      <t>古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</si>
  <si>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汽酒; 甜酒;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高粱酒; 米酒; 黄酒; 白酒</t>
    </r>
  </si>
  <si>
    <t>SINGLE ORYZA</t>
  </si>
  <si>
    <r>
      <t>耀莱两点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尚（北京）</t>
    </r>
    <r>
      <rPr>
        <sz val="11"/>
        <color theme="1"/>
        <rFont val="ＭＳ Ｐゴシック"/>
        <family val="3"/>
        <charset val="134"/>
        <scheme val="minor"/>
      </rPr>
      <t>顾问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</si>
  <si>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伏特加酒; 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果酒;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</si>
  <si>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裕竹</t>
    </r>
    <r>
      <rPr>
        <sz val="11"/>
        <color theme="1"/>
        <rFont val="ＭＳ Ｐゴシック"/>
        <family val="3"/>
        <charset val="134"/>
        <scheme val="minor"/>
      </rPr>
      <t>兰</t>
    </r>
  </si>
  <si>
    <t>王桂敏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</si>
  <si>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青稞酒; 葡萄酒; 开胃酒; 清酒; 米酒; 黄酒;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</si>
  <si>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 xml:space="preserve">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</t>
    </r>
  </si>
  <si>
    <t>BLUE FRAME</t>
  </si>
  <si>
    <r>
      <t>蓝</t>
    </r>
    <r>
      <rPr>
        <sz val="11"/>
        <color theme="1"/>
        <rFont val="ＭＳ Ｐゴシック"/>
        <family val="3"/>
        <charset val="128"/>
        <scheme val="minor"/>
      </rPr>
      <t>框有限公司</t>
    </r>
  </si>
  <si>
    <r>
      <t>利口酒; 葡萄酒;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</si>
  <si>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鸾</t>
    </r>
    <r>
      <rPr>
        <sz val="11"/>
        <color theme="1"/>
        <rFont val="ＭＳ Ｐゴシック"/>
        <family val="3"/>
        <charset val="128"/>
        <scheme val="minor"/>
      </rPr>
      <t>刀</t>
    </r>
    <r>
      <rPr>
        <sz val="11"/>
        <color theme="1"/>
        <rFont val="ＭＳ Ｐゴシック"/>
        <family val="3"/>
        <charset val="134"/>
        <scheme val="minor"/>
      </rPr>
      <t>诗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</si>
  <si>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葡萄酒; 果酒（含酒精）; 清酒（日本米酒）;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</t>
    </r>
  </si>
  <si>
    <r>
      <t>舞洋</t>
    </r>
    <r>
      <rPr>
        <sz val="11"/>
        <color theme="1"/>
        <rFont val="ＭＳ Ｐゴシック"/>
        <family val="3"/>
        <charset val="134"/>
        <scheme val="minor"/>
      </rPr>
      <t>红</t>
    </r>
  </si>
  <si>
    <r>
      <t>舞洋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州）有限公司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</si>
  <si>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苹果酒; 果酒（含酒精）;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威士忌;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</si>
  <si>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巡生活</t>
  </si>
  <si>
    <t>河南之川牛勿数据科技有限公司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</si>
  <si>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威士忌; 黄酒; 葡萄酒; 清酒（日本米酒）; 餐后酒（利口酒和烈酒）</t>
    </r>
  </si>
  <si>
    <t>BLUE TOWN RICH</t>
  </si>
  <si>
    <r>
      <t xml:space="preserve">果酒;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葡萄酒; 起泡白葡萄酒; 威士忌; 水果汽酒;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含酒精的气泡水</t>
    </r>
  </si>
  <si>
    <r>
      <t>纳</t>
    </r>
    <r>
      <rPr>
        <sz val="11"/>
        <color theme="1"/>
        <rFont val="ＭＳ Ｐゴシック"/>
        <family val="3"/>
        <charset val="128"/>
        <scheme val="minor"/>
      </rPr>
      <t>章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</si>
  <si>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云南薇清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</si>
  <si>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</si>
  <si>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马</t>
    </r>
    <r>
      <rPr>
        <sz val="11"/>
        <color theme="1"/>
        <rFont val="ＭＳ Ｐゴシック"/>
        <family val="3"/>
        <charset val="128"/>
        <scheme val="minor"/>
      </rPr>
      <t>廊厦</t>
    </r>
  </si>
  <si>
    <r>
      <t>余姚市朗威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器厂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</si>
  <si>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白葡萄酒;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黄酒; 米酒; 含酒精的气泡水; 果酒（含酒精）</t>
    </r>
  </si>
  <si>
    <r>
      <t>鹞</t>
    </r>
    <r>
      <rPr>
        <sz val="11"/>
        <color theme="1"/>
        <rFont val="ＭＳ Ｐゴシック"/>
        <family val="3"/>
        <charset val="128"/>
        <scheme val="minor"/>
      </rPr>
      <t>落坪</t>
    </r>
  </si>
  <si>
    <r>
      <t xml:space="preserve">果酒; 白酒; 米酒; 高粱酒;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青稞酒; 青梅酒;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</si>
  <si>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龙图</t>
    </r>
    <r>
      <rPr>
        <sz val="11"/>
        <color theme="1"/>
        <rFont val="ＭＳ Ｐゴシック"/>
        <family val="3"/>
        <charset val="128"/>
        <scheme val="minor"/>
      </rPr>
      <t>台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禧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</si>
  <si>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果酒（含酒精）; 葡萄酒; 清酒（日本米酒）;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</si>
  <si>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鼎嘉福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</si>
  <si>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莞市日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硅胶制品有限公司</t>
    </r>
  </si>
  <si>
    <r>
      <t>苦味酒; 利口酒; 白酒;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酸酒（低等葡萄酒）;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</si>
  <si>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蓝</t>
    </r>
    <r>
      <rPr>
        <sz val="11"/>
        <color theme="1"/>
        <rFont val="ＭＳ Ｐゴシック"/>
        <family val="3"/>
        <charset val="128"/>
        <scheme val="minor"/>
      </rPr>
      <t>老</t>
    </r>
  </si>
  <si>
    <r>
      <t xml:space="preserve">汽酒; 清酒; 开胃酒; 白酒; 果酒;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黄酒</t>
    </r>
  </si>
  <si>
    <t>卧石听泉</t>
  </si>
  <si>
    <r>
      <t>深圳市君</t>
    </r>
    <r>
      <rPr>
        <sz val="11"/>
        <color theme="1"/>
        <rFont val="ＭＳ Ｐゴシック"/>
        <family val="3"/>
        <charset val="134"/>
        <scheme val="minor"/>
      </rPr>
      <t>钰</t>
    </r>
    <r>
      <rPr>
        <sz val="11"/>
        <color theme="1"/>
        <rFont val="ＭＳ Ｐゴシック"/>
        <family val="3"/>
        <charset val="128"/>
        <scheme val="minor"/>
      </rPr>
      <t>葡萄酒文化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</si>
  <si>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朗姆酒; 威士忌; 汽酒; 黄酒; 清酒;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白酒</t>
    </r>
  </si>
  <si>
    <r>
      <t>铺</t>
    </r>
    <r>
      <rPr>
        <sz val="11"/>
        <color theme="1"/>
        <rFont val="ＭＳ Ｐゴシック"/>
        <family val="3"/>
        <charset val="128"/>
        <scheme val="minor"/>
      </rPr>
      <t>港湾</t>
    </r>
  </si>
  <si>
    <t>海南加乘智能科技有限公司</t>
  </si>
  <si>
    <r>
      <t>葡萄酒;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米酒; 黄酒; 伏特加酒</t>
    </r>
  </si>
  <si>
    <t>中云青</t>
  </si>
  <si>
    <r>
      <t>云南中云春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</si>
  <si>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白酒;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</si>
  <si>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猛士之</t>
    </r>
    <r>
      <rPr>
        <sz val="11"/>
        <color theme="1"/>
        <rFont val="ＭＳ Ｐゴシック"/>
        <family val="3"/>
        <charset val="134"/>
        <scheme val="minor"/>
      </rPr>
      <t>诺</t>
    </r>
  </si>
  <si>
    <r>
      <t>东风</t>
    </r>
    <r>
      <rPr>
        <sz val="11"/>
        <color theme="1"/>
        <rFont val="ＭＳ Ｐゴシック"/>
        <family val="3"/>
        <charset val="128"/>
        <scheme val="minor"/>
      </rPr>
      <t>汽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</si>
  <si>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果酒; 混合威士忌酒;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干型苹果酒; 加烈葡萄酒; 清酒</t>
    </r>
  </si>
  <si>
    <r>
      <t>亿</t>
    </r>
    <r>
      <rPr>
        <sz val="11"/>
        <color theme="1"/>
        <rFont val="ＭＳ Ｐゴシック"/>
        <family val="3"/>
        <charset val="128"/>
        <scheme val="minor"/>
      </rPr>
      <t>溢寿</t>
    </r>
  </si>
  <si>
    <r>
      <t xml:space="preserve">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含酒精的气泡水; 白酒; 黄酒; 甜果酒;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</si>
  <si>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GZGUOJIANG</t>
  </si>
  <si>
    <r>
      <t>蔡位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</si>
  <si>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 xml:space="preserve">烈酒;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葡萄酒;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</si>
  <si>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小竹</t>
    </r>
  </si>
  <si>
    <r>
      <t>小竹（金昌）国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</si>
  <si>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威士忌; 葡萄酒; 朗姆酒; 酸酒（低等葡萄酒）;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</si>
  <si>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小篇酒</t>
  </si>
  <si>
    <r>
      <t>米酒; 青稞酒; 果酒; 烈酒;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高粱酒; 甜酒; 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</si>
  <si>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九美邯</t>
  </si>
  <si>
    <r>
      <t>河北省森林谷网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</si>
  <si>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食用酒精;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果酒（含酒精）; 米酒; 葡萄酒; 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</si>
  <si>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芳健</t>
    </r>
    <r>
      <rPr>
        <sz val="11"/>
        <color theme="1"/>
        <rFont val="ＭＳ Ｐゴシック"/>
        <family val="3"/>
        <charset val="134"/>
        <scheme val="minor"/>
      </rPr>
      <t>绿</t>
    </r>
  </si>
  <si>
    <r>
      <t>程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</si>
  <si>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果酒（含酒精）; 加有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 xml:space="preserve">生素的朗姆酒;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苹果酒; 白酒; 开胃酒; 米酒; 烈酒</t>
    </r>
  </si>
  <si>
    <t>石成玉</t>
  </si>
  <si>
    <r>
      <t>云南石成玉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</si>
  <si>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佐餐酒;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甜酒; 白酒; 葡萄汽酒; 烈酒; 高粱酒; 白葡萄酒;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</t>
    </r>
  </si>
  <si>
    <r>
      <t>欢</t>
    </r>
    <r>
      <rPr>
        <sz val="11"/>
        <color theme="1"/>
        <rFont val="ＭＳ Ｐゴシック"/>
        <family val="3"/>
        <charset val="128"/>
        <scheme val="minor"/>
      </rPr>
      <t>喜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景富</t>
    </r>
  </si>
  <si>
    <r>
      <t>云南雄邦食品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料有限公司</t>
    </r>
  </si>
  <si>
    <r>
      <t xml:space="preserve">食用酒精; 杜松子酒;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苹果酒; 果酒（含酒精）;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</si>
  <si>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道喜福</t>
  </si>
  <si>
    <r>
      <t>吴道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</si>
  <si>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 xml:space="preserve">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</si>
  <si>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老辣童心</t>
  </si>
  <si>
    <r>
      <t>北京正和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信息科技有限公司</t>
    </r>
  </si>
  <si>
    <r>
      <t>利口酒;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蒸煮提取物（利口酒和烈酒）; 汽酒; 白酒; 清酒（日本米酒）</t>
    </r>
  </si>
  <si>
    <r>
      <t>嬴</t>
    </r>
    <r>
      <rPr>
        <sz val="11"/>
        <color theme="1"/>
        <rFont val="ＭＳ Ｐゴシック"/>
        <family val="3"/>
        <charset val="134"/>
        <scheme val="minor"/>
      </rPr>
      <t>赵</t>
    </r>
    <r>
      <rPr>
        <sz val="11"/>
        <color theme="1"/>
        <rFont val="ＭＳ Ｐゴシック"/>
        <family val="3"/>
        <charset val="128"/>
        <scheme val="minor"/>
      </rPr>
      <t>王者</t>
    </r>
  </si>
  <si>
    <r>
      <t>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蒸煮提取物（利口酒和烈酒）;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</si>
  <si>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九醉邯</t>
  </si>
  <si>
    <r>
      <t>利口酒;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</si>
  <si>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四季康粮 FOUR SEASONS KANGLIANG</t>
  </si>
  <si>
    <r>
      <t>五</t>
    </r>
    <r>
      <rPr>
        <sz val="11"/>
        <color theme="1"/>
        <rFont val="ＭＳ Ｐゴシック"/>
        <family val="3"/>
        <charset val="134"/>
        <scheme val="minor"/>
      </rPr>
      <t>华县</t>
    </r>
    <r>
      <rPr>
        <sz val="11"/>
        <color theme="1"/>
        <rFont val="ＭＳ Ｐゴシック"/>
        <family val="3"/>
        <charset val="128"/>
        <scheme val="minor"/>
      </rPr>
      <t>康粮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</si>
  <si>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利口酒; 米酒; 黄酒; 白酒; 葡萄酒</t>
    </r>
  </si>
  <si>
    <r>
      <t>钦</t>
    </r>
    <r>
      <rPr>
        <sz val="11"/>
        <color theme="1"/>
        <rFont val="ＭＳ Ｐゴシック"/>
        <family val="3"/>
        <charset val="128"/>
        <scheme val="minor"/>
      </rPr>
      <t>百福</t>
    </r>
  </si>
  <si>
    <t>同森科技（广西）有限公司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</si>
  <si>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</si>
  <si>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久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壹号</t>
    </r>
  </si>
  <si>
    <t>丁元富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</si>
  <si>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</si>
  <si>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r>
      <t>范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</si>
  <si>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范氏商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（广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</si>
  <si>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果酒; 利口酒; 葡萄酒;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</si>
  <si>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小盔酒</t>
  </si>
  <si>
    <r>
      <t xml:space="preserve">梅酒; 高粱酒; 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青稞酒;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甜酒</t>
    </r>
  </si>
  <si>
    <r>
      <t>千谷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</si>
  <si>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葡萄酒; 米酒</t>
    </r>
  </si>
  <si>
    <t>家佑福</t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</si>
  <si>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知益餐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</si>
  <si>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蜂蜜酒; 米酒; 黄酒; 葡萄酒</t>
    </r>
  </si>
  <si>
    <r>
      <t>叹</t>
    </r>
    <r>
      <rPr>
        <sz val="11"/>
        <color theme="1"/>
        <rFont val="ＭＳ Ｐゴシック"/>
        <family val="3"/>
        <charset val="128"/>
        <scheme val="minor"/>
      </rPr>
      <t>古京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</si>
  <si>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</t>
    </r>
  </si>
  <si>
    <r>
      <t>食大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派</t>
    </r>
  </si>
  <si>
    <t>湖南大掌柜食品有限公司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</si>
  <si>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</si>
  <si>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菁盛</t>
  </si>
  <si>
    <r>
      <t>中山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盛食品科技有限公司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</si>
  <si>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果酒（含酒精）; 米酒; 利口酒; 清酒（日本米酒）; 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</si>
  <si>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殿候</t>
  </si>
  <si>
    <r>
      <t>孙</t>
    </r>
    <r>
      <rPr>
        <sz val="11"/>
        <color theme="1"/>
        <rFont val="ＭＳ Ｐゴシック"/>
        <family val="3"/>
        <charset val="128"/>
        <scheme val="minor"/>
      </rPr>
      <t>金峰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</si>
  <si>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威士忌; 米酒; 黄酒; 果酒（含酒精）; 利口酒; 白酒; 餐后酒（利口酒和烈酒）;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</si>
  <si>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GUTSIR</t>
  </si>
  <si>
    <r>
      <t>漳州市</t>
    </r>
    <r>
      <rPr>
        <sz val="11"/>
        <color theme="1"/>
        <rFont val="ＭＳ Ｐゴシック"/>
        <family val="3"/>
        <charset val="134"/>
        <scheme val="minor"/>
      </rPr>
      <t>芗</t>
    </r>
    <r>
      <rPr>
        <sz val="11"/>
        <color theme="1"/>
        <rFont val="ＭＳ Ｐゴシック"/>
        <family val="3"/>
        <charset val="128"/>
        <scheme val="minor"/>
      </rPr>
      <t>城区</t>
    </r>
    <r>
      <rPr>
        <sz val="11"/>
        <color theme="1"/>
        <rFont val="ＭＳ Ｐゴシック"/>
        <family val="3"/>
        <charset val="134"/>
        <scheme val="minor"/>
      </rPr>
      <t>闽狮</t>
    </r>
    <r>
      <rPr>
        <sz val="11"/>
        <color theme="1"/>
        <rFont val="ＭＳ Ｐゴシック"/>
        <family val="3"/>
        <charset val="128"/>
        <scheme val="minor"/>
      </rPr>
      <t>信息服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</si>
  <si>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朗姆酒;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清酒（日本米酒）; 果酒（含酒精）</t>
    </r>
  </si>
  <si>
    <t>十五和川白酒</t>
  </si>
  <si>
    <t>王俊</t>
  </si>
  <si>
    <t>VALEO 法雷奥</t>
  </si>
  <si>
    <t>吴秀成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</si>
  <si>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汽酒; 黄酒; 果酒;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</si>
  <si>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t>CHANGZEXIANLU</t>
  </si>
  <si>
    <r>
      <t>安徽</t>
    </r>
    <r>
      <rPr>
        <sz val="11"/>
        <color theme="1"/>
        <rFont val="ＭＳ Ｐゴシック"/>
        <family val="3"/>
        <charset val="134"/>
        <scheme val="minor"/>
      </rPr>
      <t>维</t>
    </r>
    <r>
      <rPr>
        <sz val="11"/>
        <color theme="1"/>
        <rFont val="ＭＳ Ｐゴシック"/>
        <family val="3"/>
        <charset val="128"/>
        <scheme val="minor"/>
      </rPr>
      <t>旭法律咨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</si>
  <si>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</si>
  <si>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北京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捷盛机</t>
    </r>
    <r>
      <rPr>
        <sz val="11"/>
        <color theme="1"/>
        <rFont val="ＭＳ Ｐゴシック"/>
        <family val="3"/>
        <charset val="134"/>
        <scheme val="minor"/>
      </rPr>
      <t>电设备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</si>
  <si>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果酒（含酒精）; 黄酒; 食用酒精</t>
    </r>
  </si>
  <si>
    <r>
      <t>源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天叶</t>
    </r>
  </si>
  <si>
    <r>
      <t>河南源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</si>
  <si>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黄酒; 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柑香酒;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</si>
  <si>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鲤</t>
    </r>
    <r>
      <rPr>
        <sz val="11"/>
        <color theme="1"/>
        <rFont val="ＭＳ Ｐゴシック"/>
        <family val="3"/>
        <charset val="128"/>
        <scheme val="minor"/>
      </rPr>
      <t>客</t>
    </r>
  </si>
  <si>
    <r>
      <t>中广</t>
    </r>
    <r>
      <rPr>
        <sz val="11"/>
        <color theme="1"/>
        <rFont val="ＭＳ Ｐゴシック"/>
        <family val="3"/>
        <charset val="134"/>
        <scheme val="minor"/>
      </rPr>
      <t>畅</t>
    </r>
    <r>
      <rPr>
        <sz val="11"/>
        <color theme="1"/>
        <rFont val="ＭＳ Ｐゴシック"/>
        <family val="3"/>
        <charset val="128"/>
        <scheme val="minor"/>
      </rPr>
      <t>媒（青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）科技有限公司</t>
    </r>
  </si>
  <si>
    <r>
      <t>白酒; 开胃酒;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苹果酒</t>
    </r>
  </si>
  <si>
    <r>
      <t>徽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</si>
  <si>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黄酒; 清酒（日本米酒）;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葡萄酒; 烈酒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</si>
  <si>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世</t>
    </r>
  </si>
  <si>
    <r>
      <t>北京中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智健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</si>
  <si>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</si>
  <si>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劲</t>
    </r>
    <r>
      <rPr>
        <sz val="11"/>
        <color theme="1"/>
        <rFont val="ＭＳ Ｐゴシック"/>
        <family val="3"/>
        <charset val="128"/>
        <scheme val="minor"/>
      </rPr>
      <t>美</t>
    </r>
  </si>
  <si>
    <r>
      <t>佛山市高明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醇酒厂有限公司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</si>
  <si>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黄酒; 米酒; 葡萄酒; 清酒（日本米酒）;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</si>
  <si>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京戎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</si>
  <si>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北京戎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产业发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</si>
  <si>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</si>
  <si>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黔燃燃</t>
  </si>
  <si>
    <r>
      <t>上海暖</t>
    </r>
    <r>
      <rPr>
        <sz val="11"/>
        <color theme="1"/>
        <rFont val="ＭＳ Ｐゴシック"/>
        <family val="3"/>
        <charset val="134"/>
        <scheme val="minor"/>
      </rPr>
      <t>盏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</si>
  <si>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</si>
  <si>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t>酒</t>
  </si>
  <si>
    <r>
      <t xml:space="preserve">清酒; 开胃酒; 白酒;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蜂蜜酒; 米酒</t>
    </r>
  </si>
  <si>
    <t>醉渼梅径</t>
  </si>
  <si>
    <t>叶角耀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</si>
  <si>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开胃酒;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</si>
  <si>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掼</t>
    </r>
    <r>
      <rPr>
        <sz val="11"/>
        <color theme="1"/>
        <rFont val="ＭＳ Ｐゴシック"/>
        <family val="3"/>
        <charset val="128"/>
        <scheme val="minor"/>
      </rPr>
      <t>神</t>
    </r>
  </si>
  <si>
    <r>
      <t>淮安</t>
    </r>
    <r>
      <rPr>
        <sz val="11"/>
        <color theme="1"/>
        <rFont val="ＭＳ Ｐゴシック"/>
        <family val="3"/>
        <charset val="134"/>
        <scheme val="minor"/>
      </rPr>
      <t>掼</t>
    </r>
    <r>
      <rPr>
        <sz val="11"/>
        <color theme="1"/>
        <rFont val="ＭＳ Ｐゴシック"/>
        <family val="3"/>
        <charset val="128"/>
        <scheme val="minor"/>
      </rPr>
      <t>神文化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</si>
  <si>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果酒; 烈酒;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葡萄酒; 黄酒; 汽酒; 白酒; 米酒; 含酒精的气泡水;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</si>
  <si>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物种植研究所 CHONGQING INSTITUTE OF MEDICINAL PLANT CULTIVATION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</si>
  <si>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物种植研究所</t>
    </r>
  </si>
  <si>
    <r>
      <t>苦艾酒;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草本型利口酒; 米酒</t>
    </r>
  </si>
  <si>
    <t>朗鑫</t>
  </si>
  <si>
    <t>佛山市航都建材有限公司</t>
  </si>
  <si>
    <r>
      <t xml:space="preserve">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开胃酒; 黄酒; 果酒（含酒精）;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</si>
  <si>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哥得</t>
    </r>
    <r>
      <rPr>
        <sz val="11"/>
        <color theme="1"/>
        <rFont val="ＭＳ Ｐゴシック"/>
        <family val="3"/>
        <charset val="134"/>
        <scheme val="minor"/>
      </rPr>
      <t>顿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</si>
  <si>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宇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</si>
  <si>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</si>
  <si>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渝小咖</t>
  </si>
  <si>
    <r>
      <t>范丙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</si>
  <si>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清酒（日本米酒）; 果酒（含酒精）; 米酒;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梅酒; 威士忌</t>
    </r>
  </si>
  <si>
    <t>拙秘坊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</si>
  <si>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清酒; 烈酒;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</si>
  <si>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SINCRONIA</t>
  </si>
  <si>
    <r>
      <t>维</t>
    </r>
    <r>
      <rPr>
        <sz val="11"/>
        <color theme="1"/>
        <rFont val="ＭＳ Ｐゴシック"/>
        <family val="3"/>
        <charset val="128"/>
        <scheme val="minor"/>
      </rPr>
      <t>欧</t>
    </r>
    <r>
      <rPr>
        <sz val="11"/>
        <color theme="1"/>
        <rFont val="ＭＳ Ｐゴシック"/>
        <family val="3"/>
        <charset val="134"/>
        <scheme val="minor"/>
      </rPr>
      <t>玛</t>
    </r>
    <r>
      <rPr>
        <sz val="11"/>
        <color theme="1"/>
        <rFont val="ＭＳ Ｐゴシック"/>
        <family val="3"/>
        <charset val="128"/>
        <scheme val="minor"/>
      </rPr>
      <t>能特西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</si>
  <si>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米酒;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</si>
  <si>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石破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</si>
  <si>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芜</t>
    </r>
    <r>
      <rPr>
        <sz val="11"/>
        <color theme="1"/>
        <rFont val="ＭＳ Ｐゴシック"/>
        <family val="3"/>
        <charset val="128"/>
        <scheme val="minor"/>
      </rPr>
      <t>湖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荣商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</si>
  <si>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</si>
  <si>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杜界</t>
  </si>
  <si>
    <r>
      <t xml:space="preserve">白酒; 白干酒（中国白酒）;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</t>
    </r>
  </si>
  <si>
    <t>德慧九都</t>
  </si>
  <si>
    <r>
      <t>南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德慧酒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</si>
  <si>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食用酒精; 烈酒; 高粱酒;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果酒; 葡萄酒; 白酒; 米酒; 黄酒; 甜酒</t>
    </r>
  </si>
  <si>
    <t>布丁森</t>
  </si>
  <si>
    <r>
      <t>广西南宁全富投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</si>
  <si>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白酒; 果酒; 葡萄酒;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露酒</t>
    </r>
  </si>
  <si>
    <t>竞业</t>
  </si>
  <si>
    <r>
      <t>平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山云</t>
    </r>
    <r>
      <rPr>
        <sz val="11"/>
        <color theme="1"/>
        <rFont val="ＭＳ Ｐゴシック"/>
        <family val="3"/>
        <charset val="134"/>
        <scheme val="minor"/>
      </rPr>
      <t>飞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</si>
  <si>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</t>
    </r>
  </si>
  <si>
    <r>
      <t>识</t>
    </r>
    <r>
      <rPr>
        <sz val="11"/>
        <color theme="1"/>
        <rFont val="ＭＳ Ｐゴシック"/>
        <family val="3"/>
        <charset val="128"/>
        <scheme val="minor"/>
      </rPr>
      <t>旺</t>
    </r>
  </si>
  <si>
    <t>徐景志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</si>
  <si>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果酒; 汽酒; 白酒; 食用酒精; 黄酒;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露酒</t>
    </r>
  </si>
  <si>
    <t>功夫窗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</si>
  <si>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黄酒; 葡萄酒; 开胃酒; 威士忌; 果酒（含酒精）</t>
    </r>
  </si>
  <si>
    <t>眷大汽</t>
  </si>
  <si>
    <r>
      <t>上海掩</t>
    </r>
    <r>
      <rPr>
        <sz val="11"/>
        <color theme="1"/>
        <rFont val="ＭＳ Ｐゴシック"/>
        <family val="3"/>
        <charset val="134"/>
        <scheme val="minor"/>
      </rPr>
      <t>颜</t>
    </r>
    <r>
      <rPr>
        <sz val="11"/>
        <color theme="1"/>
        <rFont val="ＭＳ Ｐゴシック"/>
        <family val="3"/>
        <charset val="128"/>
        <scheme val="minor"/>
      </rPr>
      <t>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</si>
  <si>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利口酒; 清酒;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</t>
    </r>
  </si>
  <si>
    <t>晋况</t>
  </si>
  <si>
    <r>
      <t>周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</si>
  <si>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餐后酒（利口酒和烈酒）; 果酒（含酒精）; 米酒; 白酒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</si>
  <si>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芳乾露</t>
    </r>
  </si>
  <si>
    <r>
      <t>西安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芳食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</si>
  <si>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米酒; 蒸煮提取物（利口酒和烈酒）; 白酒; 伏特加酒;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</si>
  <si>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晋享希望</t>
  </si>
  <si>
    <r>
      <t>汾阳市聚丰德酒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</si>
  <si>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葡萄酒; 食用酒精</t>
    </r>
  </si>
  <si>
    <r>
      <t>恒酒不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</si>
  <si>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州恒酒酒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</si>
  <si>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甜酒; 烈酒; 梅酒; 果酒（含酒精）; 白酒; 清酒</t>
    </r>
  </si>
  <si>
    <t>浙九黄</t>
  </si>
  <si>
    <t>王芝超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</si>
  <si>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黄酒; 白酒;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</si>
  <si>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r>
      <t xml:space="preserve">清酒; 蜂蜜酒; 开胃酒; 葡萄酒; 果酒（含酒精）;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</si>
  <si>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F4</t>
  </si>
  <si>
    <t>伍涛</t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</si>
  <si>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蜂蜜酒</t>
    </r>
  </si>
  <si>
    <r>
      <t>本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源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</si>
  <si>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本</t>
    </r>
    <r>
      <rPr>
        <sz val="11"/>
        <color theme="1"/>
        <rFont val="ＭＳ Ｐゴシック"/>
        <family val="3"/>
        <charset val="134"/>
        <scheme val="minor"/>
      </rPr>
      <t>书</t>
    </r>
    <r>
      <rPr>
        <sz val="11"/>
        <color theme="1"/>
        <rFont val="ＭＳ Ｐゴシック"/>
        <family val="3"/>
        <charset val="128"/>
        <scheme val="minor"/>
      </rPr>
      <t>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）文化用品有限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</si>
  <si>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食用酒精; 葡萄酒; 米酒; 白酒; 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</si>
  <si>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LUMI LUDI</t>
  </si>
  <si>
    <r>
      <t>临</t>
    </r>
    <r>
      <rPr>
        <sz val="11"/>
        <color theme="1"/>
        <rFont val="ＭＳ Ｐゴシック"/>
        <family val="3"/>
        <charset val="128"/>
        <scheme val="minor"/>
      </rPr>
      <t>沂志泉工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</si>
  <si>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黄酒; 葡萄酒; 露酒;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汽酒; 米酒;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</si>
  <si>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云燃燃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</si>
  <si>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白酒; 果酒（含酒精）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</si>
  <si>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渔记</t>
    </r>
  </si>
  <si>
    <r>
      <t>重</t>
    </r>
    <r>
      <rPr>
        <sz val="11"/>
        <color theme="1"/>
        <rFont val="ＭＳ Ｐゴシック"/>
        <family val="3"/>
        <charset val="134"/>
        <scheme val="minor"/>
      </rPr>
      <t>庆顶实</t>
    </r>
    <r>
      <rPr>
        <sz val="11"/>
        <color theme="1"/>
        <rFont val="ＭＳ Ｐゴシック"/>
        <family val="3"/>
        <charset val="128"/>
        <scheme val="minor"/>
      </rPr>
      <t>源餐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文化有限公司</t>
    </r>
  </si>
  <si>
    <r>
      <t>黄酒; 米酒; 威士忌;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汽酒; 白酒;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</si>
  <si>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原气葫</t>
  </si>
  <si>
    <r>
      <t xml:space="preserve">果酒（含酒精）; 清酒（日本米酒）; 高粱酒;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葡萄酒;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</si>
  <si>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雁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金波相思</t>
    </r>
  </si>
  <si>
    <r>
      <t>山西四达酒</t>
    </r>
    <r>
      <rPr>
        <sz val="11"/>
        <color theme="1"/>
        <rFont val="ＭＳ Ｐゴシック"/>
        <family val="3"/>
        <charset val="134"/>
        <scheme val="minor"/>
      </rPr>
      <t>类饮</t>
    </r>
    <r>
      <rPr>
        <sz val="11"/>
        <color theme="1"/>
        <rFont val="ＭＳ Ｐゴシック"/>
        <family val="3"/>
        <charset val="128"/>
        <scheme val="minor"/>
      </rPr>
      <t>料有限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</si>
  <si>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露酒; 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葡萄酒; 白酒; 清酒（日本米酒）; 米酒</t>
    </r>
  </si>
  <si>
    <t>斛韵千年</t>
  </si>
  <si>
    <r>
      <t>罗</t>
    </r>
    <r>
      <rPr>
        <sz val="11"/>
        <color theme="1"/>
        <rFont val="ＭＳ Ｐゴシック"/>
        <family val="3"/>
        <charset val="128"/>
        <scheme val="minor"/>
      </rPr>
      <t>金云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</si>
  <si>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蜂蜜酒; 黄酒; 清酒（日本米酒）</t>
    </r>
  </si>
  <si>
    <t>森木成立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</si>
  <si>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州森木酒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</si>
  <si>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黄酒; 烈酒;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青稞酒; 开胃酒</t>
    </r>
  </si>
  <si>
    <r>
      <t>盘</t>
    </r>
    <r>
      <rPr>
        <sz val="11"/>
        <color theme="1"/>
        <rFont val="ＭＳ Ｐゴシック"/>
        <family val="3"/>
        <charset val="128"/>
        <scheme val="minor"/>
      </rPr>
      <t>陶会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</si>
  <si>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刘云</t>
    </r>
  </si>
  <si>
    <t>莫属</t>
  </si>
  <si>
    <r>
      <t>苏</t>
    </r>
    <r>
      <rPr>
        <sz val="11"/>
        <color theme="1"/>
        <rFont val="ＭＳ Ｐゴシック"/>
        <family val="3"/>
        <charset val="128"/>
        <scheme val="minor"/>
      </rPr>
      <t>志明</t>
    </r>
  </si>
  <si>
    <r>
      <t xml:space="preserve">利口酒; 茴香酒（利口酒）; 苦味酒;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</si>
  <si>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付尚喜</t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</si>
  <si>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高粱酒;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</si>
  <si>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菁气精灵</t>
  </si>
  <si>
    <r>
      <t>甜园餐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</si>
  <si>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</si>
  <si>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美</t>
    </r>
    <r>
      <rPr>
        <sz val="11"/>
        <color theme="1"/>
        <rFont val="ＭＳ Ｐゴシック"/>
        <family val="3"/>
        <charset val="134"/>
        <scheme val="minor"/>
      </rPr>
      <t>铭泸</t>
    </r>
    <r>
      <rPr>
        <sz val="11"/>
        <color theme="1"/>
        <rFont val="ＭＳ Ｐゴシック"/>
        <family val="3"/>
        <charset val="128"/>
        <scheme val="minor"/>
      </rPr>
      <t>江</t>
    </r>
  </si>
  <si>
    <r>
      <t>四川美</t>
    </r>
    <r>
      <rPr>
        <sz val="11"/>
        <color theme="1"/>
        <rFont val="ＭＳ Ｐゴシック"/>
        <family val="3"/>
        <charset val="134"/>
        <scheme val="minor"/>
      </rPr>
      <t>铭轩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</si>
  <si>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威士忌;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</si>
  <si>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</si>
  <si>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学元</t>
    </r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</si>
  <si>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蜂蜜酒;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</si>
  <si>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 xml:space="preserve">开胃酒; 蜂蜜酒;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</si>
  <si>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大黄河美</t>
  </si>
  <si>
    <r>
      <t>河南省黄河酒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</si>
  <si>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黄酒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</si>
  <si>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芳坤露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</si>
  <si>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米酒; 伏特加酒; 白酒; 果酒（含酒精）;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黄酒</t>
    </r>
  </si>
  <si>
    <t>江山小王子</t>
  </si>
  <si>
    <t>叶慧慧</t>
  </si>
  <si>
    <r>
      <t>白干酒（中国白酒）;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</si>
  <si>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夭窖</t>
    </r>
  </si>
  <si>
    <r>
      <t xml:space="preserve">米酒; 食用酒精;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甜酒; 葡萄酒; 白酒; 果酒; 烈酒; 高粱酒</t>
    </r>
  </si>
  <si>
    <r>
      <t>消失的地平</t>
    </r>
    <r>
      <rPr>
        <sz val="11"/>
        <color theme="1"/>
        <rFont val="ＭＳ Ｐゴシック"/>
        <family val="3"/>
        <charset val="134"/>
        <scheme val="minor"/>
      </rPr>
      <t>线</t>
    </r>
  </si>
  <si>
    <r>
      <t>西安田园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客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</si>
  <si>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果酒（含酒精）; 威士忌;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薄荷酒; 葡萄酒;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</t>
    </r>
  </si>
  <si>
    <t>EXANDAL</t>
  </si>
  <si>
    <r>
      <t>上海小福国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</si>
  <si>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葡萄汽酒;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朗姆酒;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清酒（日本米酒）</t>
    </r>
  </si>
  <si>
    <t>鹿孖春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</si>
  <si>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伏特加酒; 葡萄酒; 清酒（日本米酒）</t>
    </r>
  </si>
  <si>
    <r>
      <t>约</t>
    </r>
    <r>
      <rPr>
        <sz val="11"/>
        <color theme="1"/>
        <rFont val="ＭＳ Ｐゴシック"/>
        <family val="3"/>
        <charset val="128"/>
        <scheme val="minor"/>
      </rPr>
      <t>定果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</si>
  <si>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春彦******************</t>
    </r>
  </si>
  <si>
    <r>
      <t>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蒸煮提取物（利口酒和烈酒）; 米酒;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</si>
  <si>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深圳市</t>
    </r>
    <r>
      <rPr>
        <sz val="11"/>
        <color theme="1"/>
        <rFont val="ＭＳ Ｐゴシック"/>
        <family val="3"/>
        <charset val="134"/>
        <scheme val="minor"/>
      </rPr>
      <t>苏亚贸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</si>
  <si>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威士忌; 米酒;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白酒</t>
    </r>
  </si>
  <si>
    <r>
      <t>佰女</t>
    </r>
    <r>
      <rPr>
        <sz val="11"/>
        <color theme="1"/>
        <rFont val="ＭＳ Ｐゴシック"/>
        <family val="3"/>
        <charset val="134"/>
        <scheme val="minor"/>
      </rPr>
      <t>汇</t>
    </r>
  </si>
  <si>
    <r>
      <t>吉林省健康集群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</si>
  <si>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清酒; 伏特加酒; 威士忌; 果酒; 梨酒;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</si>
  <si>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陶玩里</t>
  </si>
  <si>
    <r>
      <t>深圳市御窑文化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</si>
  <si>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米酒; 黄酒;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</si>
  <si>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袋鼠哈哈</t>
  </si>
  <si>
    <r>
      <t>海南同人堂健康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</si>
  <si>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葡萄酒; 果酒（含酒精）;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利口酒</t>
    </r>
  </si>
  <si>
    <t>神秘宇宙</t>
  </si>
  <si>
    <r>
      <t>未来街区集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</si>
  <si>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蒸煮提取物（利口酒和烈酒）; 食用酒精; 白酒; 苦味酒; 高粱酒;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草本型利口酒;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果酒（含酒精）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</si>
  <si>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香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</si>
  <si>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 xml:space="preserve">葡萄酒; 果酒（含酒精）;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清酒（日本米酒）;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</si>
  <si>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敬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</si>
  <si>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湘潭敬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</si>
  <si>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</si>
  <si>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文养生命</t>
  </si>
  <si>
    <t>候会敏</t>
  </si>
  <si>
    <r>
      <t>果酒（含酒精）; 白酒; 苹果酒; 米酒; 汽酒;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</t>
    </r>
  </si>
  <si>
    <t>FOOD REVENGE</t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</si>
  <si>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果酒; 威士忌; 汽酒; 葡萄酒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</si>
  <si>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开胃酒; 果酒（含酒精）;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</si>
  <si>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美模方</t>
  </si>
  <si>
    <t>上海美模方科技有限公司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</si>
  <si>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白酒; 清酒;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</si>
  <si>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健虎山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</si>
  <si>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果酒（含酒精）; 葡萄酒; 烈酒; 开胃酒</t>
    </r>
  </si>
  <si>
    <t>C6</t>
  </si>
  <si>
    <r>
      <t>韦</t>
    </r>
    <r>
      <rPr>
        <sz val="11"/>
        <color theme="1"/>
        <rFont val="ＭＳ Ｐゴシック"/>
        <family val="3"/>
        <charset val="128"/>
        <scheme val="minor"/>
      </rPr>
      <t>忠信</t>
    </r>
  </si>
  <si>
    <r>
      <t>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露酒; 汽酒; 葡萄酒; 黄酒; 清酒; 白酒</t>
    </r>
  </si>
  <si>
    <t>姿雅迪</t>
  </si>
  <si>
    <r>
      <t>河北姿雅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</si>
  <si>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苹果酒; 酸酒（低等葡萄酒）;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葡萄酒; 白酒</t>
    </r>
  </si>
  <si>
    <t>果晚晚</t>
  </si>
  <si>
    <r>
      <t>泉州喜鹿鹿供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</si>
  <si>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黄酒</t>
    </r>
  </si>
  <si>
    <r>
      <t>浓</t>
    </r>
    <r>
      <rPr>
        <sz val="11"/>
        <color theme="1"/>
        <rFont val="ＭＳ Ｐゴシック"/>
        <family val="3"/>
        <charset val="128"/>
        <scheme val="minor"/>
      </rPr>
      <t>之州</t>
    </r>
  </si>
  <si>
    <r>
      <t>四川久承酒</t>
    </r>
    <r>
      <rPr>
        <sz val="11"/>
        <color theme="1"/>
        <rFont val="ＭＳ Ｐゴシック"/>
        <family val="3"/>
        <charset val="134"/>
        <scheme val="minor"/>
      </rPr>
      <t>类销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</si>
  <si>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露酒;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</si>
  <si>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DESAI</t>
  </si>
  <si>
    <r>
      <t>浙江星辰众</t>
    </r>
    <r>
      <rPr>
        <sz val="11"/>
        <color theme="1"/>
        <rFont val="ＭＳ Ｐゴシック"/>
        <family val="3"/>
        <charset val="134"/>
        <scheme val="minor"/>
      </rPr>
      <t>创电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</si>
  <si>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含酒精的气泡水</t>
    </r>
  </si>
  <si>
    <r>
      <t>顺兴</t>
    </r>
    <r>
      <rPr>
        <sz val="11"/>
        <color theme="1"/>
        <rFont val="ＭＳ Ｐゴシック"/>
        <family val="3"/>
        <charset val="128"/>
        <scheme val="minor"/>
      </rPr>
      <t>蜀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</si>
  <si>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慧娟</t>
    </r>
  </si>
  <si>
    <r>
      <t>果酒; 葡萄酒;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食用酒精; 白酒</t>
    </r>
  </si>
  <si>
    <t>镇隐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</si>
  <si>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亿</t>
    </r>
    <r>
      <rPr>
        <sz val="11"/>
        <color theme="1"/>
        <rFont val="ＭＳ Ｐゴシック"/>
        <family val="3"/>
        <charset val="128"/>
        <scheme val="minor"/>
      </rPr>
      <t>特科技有限公司</t>
    </r>
  </si>
  <si>
    <r>
      <t>甜酒; 黄酒;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白干酒（中国白酒）;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</si>
  <si>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r>
      <t>祁王</t>
    </r>
    <r>
      <rPr>
        <sz val="11"/>
        <color theme="1"/>
        <rFont val="ＭＳ Ｐゴシック"/>
        <family val="3"/>
        <charset val="134"/>
        <scheme val="minor"/>
      </rPr>
      <t>爷</t>
    </r>
    <r>
      <rPr>
        <sz val="11"/>
        <color theme="1"/>
        <rFont val="ＭＳ Ｐゴシック"/>
        <family val="3"/>
        <charset val="128"/>
        <scheme val="minor"/>
      </rPr>
      <t>御</t>
    </r>
  </si>
  <si>
    <t>祁向明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</si>
  <si>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白酒; 果酒（含酒精）; 米酒; 威士忌</t>
    </r>
  </si>
  <si>
    <r>
      <t>乘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万家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</si>
  <si>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</si>
  <si>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威士忌; 白酒; 梅酒; 果酒（含酒精）; 苹果酒; 黄酒</t>
    </r>
  </si>
  <si>
    <r>
      <t>费</t>
    </r>
    <r>
      <rPr>
        <sz val="11"/>
        <color theme="1"/>
        <rFont val="ＭＳ Ｐゴシック"/>
        <family val="3"/>
        <charset val="128"/>
        <scheme val="minor"/>
      </rPr>
      <t>伯奇</t>
    </r>
  </si>
  <si>
    <r>
      <t>费</t>
    </r>
    <r>
      <rPr>
        <sz val="11"/>
        <color theme="1"/>
        <rFont val="ＭＳ Ｐゴシック"/>
        <family val="3"/>
        <charset val="128"/>
        <scheme val="minor"/>
      </rPr>
      <t>伯奇（英国）有限公司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</si>
  <si>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起泡白葡萄酒; 利口酒</t>
    </r>
  </si>
  <si>
    <t>暹添一泉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</si>
  <si>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州九暹酒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</si>
  <si>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力酒; 葡萄酒; 果酒（含酒精）; 苹果酒; 清酒（日本米酒）; 米酒; 白酒</t>
    </r>
  </si>
  <si>
    <t>坤威</t>
  </si>
  <si>
    <r>
      <t>蒋</t>
    </r>
    <r>
      <rPr>
        <sz val="11"/>
        <color theme="1"/>
        <rFont val="ＭＳ Ｐゴシック"/>
        <family val="3"/>
        <charset val="134"/>
        <scheme val="minor"/>
      </rPr>
      <t>凯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</si>
  <si>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</si>
  <si>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起泡白葡萄酒; 水果汽酒;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含酒精的气泡水; 威士忌; 果酒;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</si>
  <si>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粮醉</t>
    </r>
  </si>
  <si>
    <t>王振广</t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</si>
  <si>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果酒; 葡萄酒;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</si>
  <si>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姿养你</t>
  </si>
  <si>
    <r>
      <t xml:space="preserve">黄酒;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食用酒精; 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</si>
  <si>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九国春生物制品有限公司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</si>
  <si>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果酒（含酒精）; 食用酒精; 清酒（日本米酒）;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蒸煮提取物（利口酒和烈酒）</t>
    </r>
  </si>
  <si>
    <r>
      <t>北京全科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盟健康管理有限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</si>
  <si>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不起泡葡萄酒;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汽酒</t>
    </r>
  </si>
  <si>
    <r>
      <t>泉石之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</si>
  <si>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 xml:space="preserve">含酒精的气泡水; 威士忌; 起泡白葡萄酒;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水果汽酒;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</t>
    </r>
  </si>
  <si>
    <t>品喜酒庄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</si>
  <si>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品喜酒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</si>
  <si>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白干酒（中国白酒）; 果酒（含酒精）;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朗姆酒; 汽酒</t>
    </r>
  </si>
  <si>
    <r>
      <t>归</t>
    </r>
    <r>
      <rPr>
        <sz val="11"/>
        <color theme="1"/>
        <rFont val="ＭＳ Ｐゴシック"/>
        <family val="3"/>
        <charset val="128"/>
        <scheme val="minor"/>
      </rPr>
      <t>彦</t>
    </r>
  </si>
  <si>
    <r>
      <t>绍兴远</t>
    </r>
    <r>
      <rPr>
        <sz val="11"/>
        <color theme="1"/>
        <rFont val="ＭＳ Ｐゴシック"/>
        <family val="3"/>
        <charset val="128"/>
        <scheme val="minor"/>
      </rPr>
      <t>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</si>
  <si>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酸酒（低等葡萄酒）; 米酒; 苹果酒;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</si>
  <si>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史开</t>
    </r>
    <r>
      <rPr>
        <sz val="11"/>
        <color theme="1"/>
        <rFont val="ＭＳ Ｐゴシック"/>
        <family val="3"/>
        <charset val="134"/>
        <scheme val="minor"/>
      </rPr>
      <t>锐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</si>
  <si>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果酒（含酒精）;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汽酒</t>
    </r>
  </si>
  <si>
    <r>
      <t>稻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亭</t>
    </r>
  </si>
  <si>
    <r>
      <t>安徽古沙淮酒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</si>
  <si>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蒸煮提取物（利口酒和烈酒）; 米酒; 白酒; 葡萄酒;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</t>
    </r>
  </si>
  <si>
    <t>元亨 玉膳坊</t>
  </si>
  <si>
    <r>
      <t>长</t>
    </r>
    <r>
      <rPr>
        <sz val="11"/>
        <color theme="1"/>
        <rFont val="ＭＳ Ｐゴシック"/>
        <family val="3"/>
        <charset val="128"/>
        <scheme val="minor"/>
      </rPr>
      <t>沙玉膳坊餐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</si>
  <si>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</si>
  <si>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r>
      <t>云河</t>
    </r>
    <r>
      <rPr>
        <sz val="11"/>
        <color theme="1"/>
        <rFont val="ＭＳ Ｐゴシック"/>
        <family val="3"/>
        <charset val="134"/>
        <scheme val="minor"/>
      </rPr>
      <t>图</t>
    </r>
  </si>
  <si>
    <r>
      <t>河南麦道文化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</si>
  <si>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梨酒;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</si>
  <si>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LINDENIN</t>
  </si>
  <si>
    <r>
      <t>绥</t>
    </r>
    <r>
      <rPr>
        <sz val="11"/>
        <color theme="1"/>
        <rFont val="ＭＳ Ｐゴシック"/>
        <family val="3"/>
        <charset val="128"/>
        <scheme val="minor"/>
      </rPr>
      <t>芬河市俄蜜源生物科技有限公司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</si>
  <si>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蜂蜜酒;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</si>
  <si>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赐</t>
    </r>
    <r>
      <rPr>
        <sz val="11"/>
        <color theme="1"/>
        <rFont val="ＭＳ Ｐゴシック"/>
        <family val="3"/>
        <charset val="128"/>
        <scheme val="minor"/>
      </rPr>
      <t>之品</t>
    </r>
  </si>
  <si>
    <t>刘文娟</t>
  </si>
  <si>
    <r>
      <t>伏特加酒;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开胃酒; 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</si>
  <si>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坊茨方</t>
  </si>
  <si>
    <t>益橙（深圳）生物科技有限公司</t>
  </si>
  <si>
    <r>
      <t>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葡萄酒; 黄酒;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用烈酒;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果酒; 清酒; 高粱酒</t>
    </r>
  </si>
  <si>
    <t>冉淙</t>
  </si>
  <si>
    <r>
      <t>海口美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区</t>
    </r>
    <r>
      <rPr>
        <sz val="11"/>
        <color theme="1"/>
        <rFont val="ＭＳ Ｐゴシック"/>
        <family val="3"/>
        <charset val="134"/>
        <scheme val="minor"/>
      </rPr>
      <t>栎联农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</si>
  <si>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 xml:space="preserve">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果酒; 高粱酒; 葡萄酒; 白酒; 黄酒</t>
    </r>
  </si>
  <si>
    <r>
      <t>红树观</t>
    </r>
    <r>
      <rPr>
        <sz val="11"/>
        <color theme="1"/>
        <rFont val="ＭＳ Ｐゴシック"/>
        <family val="3"/>
        <charset val="128"/>
        <scheme val="minor"/>
      </rPr>
      <t>潮</t>
    </r>
  </si>
  <si>
    <r>
      <t>湖北</t>
    </r>
    <r>
      <rPr>
        <sz val="11"/>
        <color theme="1"/>
        <rFont val="ＭＳ Ｐゴシック"/>
        <family val="3"/>
        <charset val="134"/>
        <scheme val="minor"/>
      </rPr>
      <t>红树</t>
    </r>
    <r>
      <rPr>
        <sz val="11"/>
        <color theme="1"/>
        <rFont val="ＭＳ Ｐゴシック"/>
        <family val="3"/>
        <charset val="128"/>
        <scheme val="minor"/>
      </rPr>
      <t>林教育科技有限公司</t>
    </r>
  </si>
  <si>
    <r>
      <t>苹果酒;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蜂蜜酒; 白酒; 黄酒; 米酒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</si>
  <si>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世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</si>
  <si>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 xml:space="preserve">果酒（含酒精）; 清酒（日本米酒）;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</t>
    </r>
  </si>
  <si>
    <r>
      <t>拉芙</t>
    </r>
    <r>
      <rPr>
        <sz val="11"/>
        <color theme="1"/>
        <rFont val="ＭＳ Ｐゴシック"/>
        <family val="3"/>
        <charset val="134"/>
        <scheme val="minor"/>
      </rPr>
      <t>劳仑</t>
    </r>
  </si>
  <si>
    <r>
      <t>深圳美葡商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</si>
  <si>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威士忌; 米酒;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</si>
  <si>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t>嘉月豪</t>
  </si>
  <si>
    <r>
      <t>遵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市嘉月豪商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</si>
  <si>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清酒（日本米酒）; 黄酒; 葡萄酒; 青稞酒; 米酒</t>
    </r>
  </si>
  <si>
    <t>孝言道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</si>
  <si>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餐后酒（利口酒和烈酒）;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食用酒精</t>
    </r>
  </si>
  <si>
    <r>
      <t>贵兹</t>
    </r>
    <r>
      <rPr>
        <sz val="11"/>
        <color theme="1"/>
        <rFont val="ＭＳ Ｐゴシック"/>
        <family val="3"/>
        <charset val="128"/>
        <scheme val="minor"/>
      </rPr>
      <t>3泉</t>
    </r>
  </si>
  <si>
    <r>
      <t>进贤县莲</t>
    </r>
    <r>
      <rPr>
        <sz val="11"/>
        <color theme="1"/>
        <rFont val="ＭＳ Ｐゴシック"/>
        <family val="3"/>
        <charset val="128"/>
        <scheme val="minor"/>
      </rPr>
      <t>塘酒厂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</si>
  <si>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果酒（含酒精）; 葡萄酒; 白酒; 朗姆酒;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食用酒精; 米酒</t>
    </r>
  </si>
  <si>
    <t>灵泉湾</t>
  </si>
  <si>
    <t>井大魏</t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</si>
  <si>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白酒; 甜酒; 葡萄酒; 威士忌; 米酒; 黄酒; 开胃酒</t>
    </r>
  </si>
  <si>
    <r>
      <t>鑫魂心</t>
    </r>
    <r>
      <rPr>
        <sz val="11"/>
        <color theme="1"/>
        <rFont val="ＭＳ Ｐゴシック"/>
        <family val="3"/>
        <charset val="134"/>
        <scheme val="minor"/>
      </rPr>
      <t>润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</si>
  <si>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界</t>
    </r>
    <r>
      <rPr>
        <sz val="11"/>
        <color theme="1"/>
        <rFont val="ＭＳ Ｐゴシック"/>
        <family val="3"/>
        <charset val="134"/>
        <scheme val="minor"/>
      </rPr>
      <t>权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</si>
  <si>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高粱酒;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食用酒精; 果酒</t>
    </r>
  </si>
  <si>
    <r>
      <t>日吉</t>
    </r>
    <r>
      <rPr>
        <sz val="11"/>
        <color theme="1"/>
        <rFont val="ＭＳ Ｐゴシック"/>
        <family val="3"/>
        <charset val="134"/>
        <scheme val="minor"/>
      </rPr>
      <t>纳</t>
    </r>
  </si>
  <si>
    <t>沈阳美作宅配家居有限公司</t>
  </si>
  <si>
    <r>
      <t>清酒; 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</si>
  <si>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昌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博物</t>
    </r>
    <r>
      <rPr>
        <sz val="11"/>
        <color theme="1"/>
        <rFont val="ＭＳ Ｐゴシック"/>
        <family val="3"/>
        <charset val="134"/>
        <scheme val="minor"/>
      </rPr>
      <t>馆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</si>
  <si>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威士忌; 利口酒; 果酒（含酒精）;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黄酒</t>
    </r>
  </si>
  <si>
    <t>椹川牌</t>
  </si>
  <si>
    <r>
      <t>仁墅（广州）企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</si>
  <si>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黄酒;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</si>
  <si>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百家潭小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将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</si>
  <si>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州百家潭酒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</si>
  <si>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威士忌;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</si>
  <si>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坤臣</t>
  </si>
  <si>
    <r>
      <t>何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峰</t>
    </r>
  </si>
  <si>
    <r>
      <t>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米酒; 葡萄酒</t>
    </r>
  </si>
  <si>
    <t>百聚良</t>
  </si>
  <si>
    <r>
      <t>四川中天名品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</si>
  <si>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烈酒; 青梅酒;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高粱酒;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</si>
  <si>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熊真堂</t>
  </si>
  <si>
    <r>
      <t xml:space="preserve">高粱酒;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</t>
    </r>
  </si>
  <si>
    <t>晋痴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</si>
  <si>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威士忌; 米酒; 葡萄酒; 黄酒; 高粱酒;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</si>
  <si>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FORWARD FORTUNE</t>
  </si>
  <si>
    <r>
      <t>前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宝供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</si>
  <si>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</si>
  <si>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t>君之迎</t>
  </si>
  <si>
    <r>
      <t xml:space="preserve">伏特加酒; 白酒; 青稞酒;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开胃酒</t>
    </r>
  </si>
  <si>
    <t>拾山玥</t>
  </si>
  <si>
    <r>
      <t>邓</t>
    </r>
    <r>
      <rPr>
        <sz val="11"/>
        <color theme="1"/>
        <rFont val="ＭＳ Ｐゴシック"/>
        <family val="3"/>
        <charset val="128"/>
        <scheme val="minor"/>
      </rPr>
      <t>雅琳</t>
    </r>
  </si>
  <si>
    <r>
      <t>白酒; 黄酒; 烈酒; 高粱酒;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</si>
  <si>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听松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眠</t>
    </r>
  </si>
  <si>
    <r>
      <t>海南酒洲</t>
    </r>
    <r>
      <rPr>
        <sz val="11"/>
        <color theme="1"/>
        <rFont val="ＭＳ Ｐゴシック"/>
        <family val="3"/>
        <charset val="134"/>
        <scheme val="minor"/>
      </rPr>
      <t>鲲鹏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控股有限公司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</si>
  <si>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开胃酒; 米酒;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</t>
    </r>
  </si>
  <si>
    <t>童木星</t>
  </si>
  <si>
    <r>
      <t>湖南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晟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</si>
  <si>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起泡白葡萄酒;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天然汽酒; 果酒;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</si>
  <si>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云田西</t>
  </si>
  <si>
    <t>河南泰永来健康管理有限公司</t>
  </si>
  <si>
    <r>
      <t>薄荷酒; 利口酒; 米酒; 伏特加酒;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茴香酒（利口酒）;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含酒精的气泡水</t>
    </r>
  </si>
  <si>
    <t>直隶都署</t>
  </si>
  <si>
    <r>
      <t>河北元</t>
    </r>
    <r>
      <rPr>
        <sz val="11"/>
        <color theme="1"/>
        <rFont val="ＭＳ Ｐゴシック"/>
        <family val="3"/>
        <charset val="134"/>
        <scheme val="minor"/>
      </rPr>
      <t>则</t>
    </r>
    <r>
      <rPr>
        <sz val="11"/>
        <color theme="1"/>
        <rFont val="ＭＳ Ｐゴシック"/>
        <family val="3"/>
        <charset val="128"/>
        <scheme val="minor"/>
      </rPr>
      <t>教育科技有限公司</t>
    </r>
  </si>
  <si>
    <r>
      <t xml:space="preserve">白干酒（中国白酒）; 果酒（含酒精）; 苦味酒; 开胃酒;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</si>
  <si>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水梦</t>
    </r>
  </si>
  <si>
    <t>肖英波</t>
  </si>
  <si>
    <r>
      <t xml:space="preserve">果酒（含酒精）; 葡萄酒; 食用酒精;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清酒（日本米酒）;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</si>
  <si>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平乎</t>
  </si>
  <si>
    <r>
      <t>淮北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</si>
  <si>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</si>
  <si>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r>
      <t>凤龙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</si>
  <si>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>冯</t>
    </r>
    <r>
      <rPr>
        <sz val="11"/>
        <color theme="1"/>
        <rFont val="ＭＳ Ｐゴシック"/>
        <family val="3"/>
        <charset val="128"/>
        <scheme val="minor"/>
      </rPr>
      <t>涛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</si>
  <si>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米酒; 果酒（含酒精）; 黄酒; 开胃酒;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</si>
  <si>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悦·如梵</t>
  </si>
  <si>
    <t>刘文哲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</si>
  <si>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白酒;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蜂蜜酒; 黄酒</t>
    </r>
  </si>
  <si>
    <r>
      <t>千</t>
    </r>
    <r>
      <rPr>
        <sz val="11"/>
        <color theme="1"/>
        <rFont val="ＭＳ Ｐゴシック"/>
        <family val="3"/>
        <charset val="134"/>
        <scheme val="minor"/>
      </rPr>
      <t>进</t>
    </r>
  </si>
  <si>
    <t>刘小月</t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</si>
  <si>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威士忌; 清酒（日本米酒）</t>
    </r>
  </si>
  <si>
    <r>
      <t>乾</t>
    </r>
    <r>
      <rPr>
        <sz val="11"/>
        <color theme="1"/>
        <rFont val="ＭＳ Ｐゴシック"/>
        <family val="3"/>
        <charset val="134"/>
        <scheme val="minor"/>
      </rPr>
      <t>济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</si>
  <si>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>刘家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</si>
  <si>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食用酒精</t>
    </r>
  </si>
  <si>
    <t>独彩</t>
  </si>
  <si>
    <r>
      <t>王文</t>
    </r>
    <r>
      <rPr>
        <sz val="11"/>
        <color theme="1"/>
        <rFont val="ＭＳ Ｐゴシック"/>
        <family val="3"/>
        <charset val="134"/>
        <scheme val="minor"/>
      </rPr>
      <t>晓</t>
    </r>
  </si>
  <si>
    <r>
      <t xml:space="preserve">烈酒; 果酒; 白酒; 米酒; 高粱酒;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青稞酒</t>
    </r>
  </si>
  <si>
    <r>
      <t>桉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谷</t>
    </r>
  </si>
  <si>
    <r>
      <t>苏鹏进</t>
    </r>
    <r>
      <rPr>
        <sz val="11"/>
        <color theme="1"/>
        <rFont val="ＭＳ Ｐゴシック"/>
        <family val="3"/>
        <charset val="128"/>
        <scheme val="minor"/>
      </rPr>
      <t>出口（烟台）有限公司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</si>
  <si>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</si>
  <si>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大粮昌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</si>
  <si>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食用酒精; 清酒（日本米酒）; 葡萄酒; 黄酒; 果酒（含酒精）; 米酒</t>
    </r>
  </si>
  <si>
    <r>
      <t>鼓</t>
    </r>
    <r>
      <rPr>
        <sz val="11"/>
        <color theme="1"/>
        <rFont val="ＭＳ Ｐゴシック"/>
        <family val="3"/>
        <charset val="134"/>
        <scheme val="minor"/>
      </rPr>
      <t>谱</t>
    </r>
  </si>
  <si>
    <r>
      <t>朱建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</si>
  <si>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果酒（含酒精）; 餐后酒（利口酒和烈酒）;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白酒; 含酒精的气泡水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</si>
  <si>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泉君悦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</si>
  <si>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雷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</si>
  <si>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朗姆酒;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威士忌;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</si>
  <si>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茅台玖章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</si>
  <si>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清酒（日本米酒）;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</si>
  <si>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御皖佳</t>
  </si>
  <si>
    <r>
      <t>安徽御皖酒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</si>
  <si>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高粱酒; 葡萄酒; 米酒;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露酒; 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</si>
  <si>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氏</t>
    </r>
    <r>
      <rPr>
        <sz val="11"/>
        <color theme="1"/>
        <rFont val="ＭＳ Ｐゴシック"/>
        <family val="3"/>
        <charset val="134"/>
        <scheme val="minor"/>
      </rPr>
      <t>统</t>
    </r>
    <r>
      <rPr>
        <sz val="11"/>
        <color theme="1"/>
        <rFont val="ＭＳ Ｐゴシック"/>
        <family val="3"/>
        <charset val="128"/>
        <scheme val="minor"/>
      </rPr>
      <t>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</si>
  <si>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</t>
    </r>
    <r>
      <rPr>
        <sz val="11"/>
        <color theme="1"/>
        <rFont val="ＭＳ Ｐゴシック"/>
        <family val="3"/>
        <charset val="134"/>
        <scheme val="minor"/>
      </rPr>
      <t>统</t>
    </r>
    <r>
      <rPr>
        <sz val="11"/>
        <color theme="1"/>
        <rFont val="ＭＳ Ｐゴシック"/>
        <family val="3"/>
        <charset val="128"/>
        <scheme val="minor"/>
      </rPr>
      <t>醉酒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</si>
  <si>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葡萄汽酒; 甜酒; 松叶酒; 梅酒; 白酒; 桑格利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汽酒; 起泡白葡萄酒; 奶油利口酒; 水果汽酒;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</si>
  <si>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烈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</si>
  <si>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</t>
    </r>
  </si>
  <si>
    <r>
      <t>鸟</t>
    </r>
    <r>
      <rPr>
        <sz val="11"/>
        <color theme="1"/>
        <rFont val="ＭＳ Ｐゴシック"/>
        <family val="3"/>
        <charset val="128"/>
        <scheme val="minor"/>
      </rPr>
      <t>蜜</t>
    </r>
  </si>
  <si>
    <t>北京林恒溢鑫生物科技有限公司</t>
  </si>
  <si>
    <r>
      <t xml:space="preserve">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威士忌;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</si>
  <si>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源健安科技有限公司</t>
    </r>
  </si>
  <si>
    <r>
      <t>烈酒;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白酒; 米酒; 食用酒精</t>
    </r>
  </si>
  <si>
    <r>
      <t>ICYORAV 冰</t>
    </r>
    <r>
      <rPr>
        <sz val="11"/>
        <color theme="1"/>
        <rFont val="ＭＳ Ｐゴシック"/>
        <family val="3"/>
        <charset val="134"/>
        <scheme val="minor"/>
      </rPr>
      <t>兰维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</si>
  <si>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</t>
    </r>
  </si>
  <si>
    <r>
      <t xml:space="preserve">金文峰 </t>
    </r>
    <r>
      <rPr>
        <sz val="11"/>
        <color theme="1"/>
        <rFont val="ＭＳ Ｐゴシック"/>
        <family val="3"/>
        <charset val="134"/>
        <scheme val="minor"/>
      </rPr>
      <t>围</t>
    </r>
    <r>
      <rPr>
        <sz val="11"/>
        <color theme="1"/>
        <rFont val="ＭＳ Ｐゴシック"/>
        <family val="3"/>
        <charset val="128"/>
        <scheme val="minor"/>
      </rPr>
      <t>花瓷</t>
    </r>
  </si>
  <si>
    <r>
      <t>湖北文峰酒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</si>
  <si>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餐后酒（利口酒和烈酒）;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</si>
  <si>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丹 159</t>
    </r>
  </si>
  <si>
    <r>
      <t>佐丹力健康</t>
    </r>
    <r>
      <rPr>
        <sz val="11"/>
        <color theme="1"/>
        <rFont val="ＭＳ Ｐゴシック"/>
        <family val="3"/>
        <charset val="134"/>
        <scheme val="minor"/>
      </rPr>
      <t>产业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</si>
  <si>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米酒;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白酒; 苹果酒;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</si>
  <si>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湖南金豪国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</si>
  <si>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米酒; 黄酒; 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清酒;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</si>
  <si>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r>
      <t>津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达仁堂集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</si>
  <si>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果酒（含酒精）; 酸酒（低等葡萄酒）; 露酒;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白酒</t>
    </r>
  </si>
  <si>
    <t>臻照</t>
  </si>
  <si>
    <r>
      <t>马晓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</si>
  <si>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青稞酒;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白酒; 黄酒;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</si>
  <si>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乐鹮</t>
  </si>
  <si>
    <r>
      <t xml:space="preserve">黄酒; 白酒;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梅酒;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蜂蜜酒; 米酒; 烈酒</t>
    </r>
  </si>
  <si>
    <t>千酲醉</t>
  </si>
  <si>
    <r>
      <t>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白酒; 米酒; 清酒; 高粱酒; 烈酒</t>
    </r>
  </si>
  <si>
    <t>犇泉</t>
  </si>
  <si>
    <t>沈桂全</t>
  </si>
  <si>
    <r>
      <t xml:space="preserve">白酒; 米酒; 高粱酒; 葡萄酒; 开胃酒; 食用酒精;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白干酒（中国白酒）</t>
    </r>
  </si>
  <si>
    <t>悦陵州 YUE LING ZHOU HOTEL</t>
  </si>
  <si>
    <r>
      <t>四川采悦文化旅游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</si>
  <si>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梨酒;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威士忌;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</si>
  <si>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t>柔洞</t>
  </si>
  <si>
    <r>
      <t>周</t>
    </r>
    <r>
      <rPr>
        <sz val="11"/>
        <color theme="1"/>
        <rFont val="ＭＳ Ｐゴシック"/>
        <family val="3"/>
        <charset val="134"/>
        <scheme val="minor"/>
      </rPr>
      <t>训</t>
    </r>
  </si>
  <si>
    <r>
      <t xml:space="preserve">白酒;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黄酒</t>
    </r>
  </si>
  <si>
    <t>唯富壹套</t>
  </si>
  <si>
    <r>
      <t>内蒙古众道商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</si>
  <si>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葡萄酒; 米酒; 高粱酒;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</si>
  <si>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法</t>
    </r>
    <r>
      <rPr>
        <sz val="11"/>
        <color theme="1"/>
        <rFont val="ＭＳ Ｐゴシック"/>
        <family val="3"/>
        <charset val="134"/>
        <scheme val="minor"/>
      </rPr>
      <t>贝热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</si>
  <si>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起泡白葡萄酒;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</si>
  <si>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金文峰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天</t>
    </r>
  </si>
  <si>
    <r>
      <t>餐后酒（利口酒和烈酒）;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</si>
  <si>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湖北</t>
    </r>
    <r>
      <rPr>
        <sz val="11"/>
        <color theme="1"/>
        <rFont val="ＭＳ Ｐゴシック"/>
        <family val="3"/>
        <charset val="134"/>
        <scheme val="minor"/>
      </rPr>
      <t>泽</t>
    </r>
    <r>
      <rPr>
        <sz val="11"/>
        <color theme="1"/>
        <rFont val="ＭＳ Ｐゴシック"/>
        <family val="3"/>
        <charset val="128"/>
        <scheme val="minor"/>
      </rPr>
      <t>康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</si>
  <si>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汽酒; 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</si>
  <si>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WEIFUYITAO</t>
  </si>
  <si>
    <r>
      <t xml:space="preserve">汽酒; 食用酒精;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</t>
    </r>
  </si>
  <si>
    <t>珂珂庄园</t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</si>
  <si>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葡萄汽酒;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不起泡葡萄酒;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</si>
  <si>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神坡</t>
    </r>
    <r>
      <rPr>
        <sz val="11"/>
        <color theme="1"/>
        <rFont val="ＭＳ Ｐゴシック"/>
        <family val="3"/>
        <charset val="134"/>
        <scheme val="minor"/>
      </rPr>
      <t>塬</t>
    </r>
  </si>
  <si>
    <t>刘琦</t>
  </si>
  <si>
    <r>
      <t>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桃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</si>
  <si>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t>怒江印象</t>
  </si>
  <si>
    <r>
      <t>云南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卡河商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</si>
  <si>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露酒; 白酒; 黄酒; 高粱酒; 果酒（含酒精）; 葡萄酒; 利口酒</t>
    </r>
  </si>
  <si>
    <r>
      <t>一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知君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</si>
  <si>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开胃酒</t>
    </r>
  </si>
  <si>
    <t>涵雨香</t>
  </si>
  <si>
    <t>尤慧娟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</si>
  <si>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食用酒精</t>
    </r>
  </si>
  <si>
    <t>阿市海力森</t>
  </si>
  <si>
    <r>
      <t>科右前旗古</t>
    </r>
    <r>
      <rPr>
        <sz val="11"/>
        <color theme="1"/>
        <rFont val="ＭＳ Ｐゴシック"/>
        <family val="3"/>
        <charset val="129"/>
        <scheme val="minor"/>
      </rPr>
      <t>榆</t>
    </r>
    <r>
      <rPr>
        <sz val="11"/>
        <color theme="1"/>
        <rFont val="ＭＳ Ｐゴシック"/>
        <family val="3"/>
        <charset val="134"/>
        <scheme val="minor"/>
      </rPr>
      <t>钱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</si>
  <si>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黄酒; 白酒; 米酒; 蒸煮提取物（利口酒和烈酒）;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</si>
  <si>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良状元</t>
  </si>
  <si>
    <r>
      <t xml:space="preserve">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清酒（日本米酒）;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</t>
    </r>
  </si>
  <si>
    <t>稻花香晶</t>
  </si>
  <si>
    <r>
      <t>湖北稻花香酒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</si>
  <si>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 xml:space="preserve">果酒（含酒精）; 葡萄酒; 米酒; 开胃酒;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</si>
  <si>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咚</t>
    </r>
    <r>
      <rPr>
        <sz val="11"/>
        <color theme="1"/>
        <rFont val="ＭＳ Ｐゴシック"/>
        <family val="3"/>
        <charset val="128"/>
        <scheme val="minor"/>
      </rPr>
      <t>洋洋</t>
    </r>
  </si>
  <si>
    <r>
      <t>渔</t>
    </r>
    <r>
      <rPr>
        <sz val="11"/>
        <color theme="1"/>
        <rFont val="ＭＳ Ｐゴシック"/>
        <family val="3"/>
        <charset val="128"/>
        <scheme val="minor"/>
      </rPr>
      <t>米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（广州）</t>
    </r>
    <r>
      <rPr>
        <sz val="11"/>
        <color theme="1"/>
        <rFont val="ＭＳ Ｐゴシック"/>
        <family val="3"/>
        <charset val="134"/>
        <scheme val="minor"/>
      </rPr>
      <t>渔业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</si>
  <si>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果酒（含酒精）;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清酒（日本米酒）; 米酒; 汽酒; 白酒; 朗姆酒</t>
    </r>
  </si>
  <si>
    <t>燕芝都</t>
  </si>
  <si>
    <t>关棣株</t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</si>
  <si>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茴香酒（利口酒）;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黄酒; 白酒</t>
    </r>
  </si>
  <si>
    <r>
      <t>芒</t>
    </r>
    <r>
      <rPr>
        <sz val="11"/>
        <color theme="1"/>
        <rFont val="ＭＳ Ｐゴシック"/>
        <family val="3"/>
        <charset val="134"/>
        <scheme val="minor"/>
      </rPr>
      <t>砀</t>
    </r>
    <r>
      <rPr>
        <sz val="11"/>
        <color theme="1"/>
        <rFont val="ＭＳ Ｐゴシック"/>
        <family val="3"/>
        <charset val="128"/>
        <scheme val="minor"/>
      </rPr>
      <t>山馥雅香</t>
    </r>
  </si>
  <si>
    <r>
      <t>河南皇沟酒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</si>
  <si>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蒸煮提取物（利口酒和烈酒）;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</si>
  <si>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谯</t>
    </r>
    <r>
      <rPr>
        <sz val="11"/>
        <color theme="1"/>
        <rFont val="ＭＳ Ｐゴシック"/>
        <family val="3"/>
        <charset val="128"/>
        <scheme val="minor"/>
      </rPr>
      <t>御医</t>
    </r>
  </si>
  <si>
    <r>
      <t>亳州兮梦</t>
    </r>
    <r>
      <rPr>
        <sz val="11"/>
        <color theme="1"/>
        <rFont val="ＭＳ Ｐゴシック"/>
        <family val="3"/>
        <charset val="134"/>
        <scheme val="minor"/>
      </rPr>
      <t>阁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</si>
  <si>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米酒; 果酒（含酒精）;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白酒</t>
    </r>
  </si>
  <si>
    <t>荷小粮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</si>
  <si>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葡萄酒;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</si>
  <si>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酉源仁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</si>
  <si>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州酉源仁酒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</si>
  <si>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</t>
    </r>
  </si>
  <si>
    <t>微度清源</t>
  </si>
  <si>
    <r>
      <t>山西德元春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林科技有限公司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</si>
  <si>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伏特加酒;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</si>
  <si>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裕</t>
    </r>
    <r>
      <rPr>
        <sz val="11"/>
        <color theme="1"/>
        <rFont val="ＭＳ Ｐゴシック"/>
        <family val="3"/>
        <charset val="134"/>
        <scheme val="minor"/>
      </rPr>
      <t>邻</t>
    </r>
  </si>
  <si>
    <t>邱邱</t>
  </si>
  <si>
    <r>
      <t>葡萄酒; 威士忌;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青稞酒</t>
    </r>
  </si>
  <si>
    <r>
      <t>甄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熊</t>
    </r>
  </si>
  <si>
    <t>何超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</si>
  <si>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白酒; 威士忌; 朗姆酒; 黄酒; 食用酒精;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</si>
  <si>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易登富瑞斯 EDENGFURUIS</t>
  </si>
  <si>
    <r>
      <t>烟台市富瑞斯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</si>
  <si>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威士忌; 黄酒; 汽酒;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清酒（日本米酒）</t>
    </r>
  </si>
  <si>
    <r>
      <t>妙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大湖湘</t>
    </r>
  </si>
  <si>
    <r>
      <t>北京智者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妙商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</si>
  <si>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葡萄酒; 清酒（日本米酒）</t>
    </r>
  </si>
  <si>
    <r>
      <t>闪闪</t>
    </r>
    <r>
      <rPr>
        <sz val="11"/>
        <color theme="1"/>
        <rFont val="ＭＳ Ｐゴシック"/>
        <family val="3"/>
        <charset val="128"/>
        <scheme val="minor"/>
      </rPr>
      <t>将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</si>
  <si>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飞红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</si>
  <si>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餐后酒（利口酒和烈酒）;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</si>
  <si>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醇而</t>
  </si>
  <si>
    <r>
      <t>利口酒; 清酒（日本米酒）; 黄酒; 白酒; 青稞酒; 威士忌;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</si>
  <si>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锋</t>
    </r>
    <r>
      <rPr>
        <sz val="11"/>
        <color theme="1"/>
        <rFont val="ＭＳ Ｐゴシック"/>
        <family val="3"/>
        <charset val="128"/>
        <scheme val="minor"/>
      </rPr>
      <t>影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</si>
  <si>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州偃月坊酒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</si>
  <si>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清酒（日本米酒）;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威士忌;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</si>
  <si>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闪</t>
    </r>
    <r>
      <rPr>
        <sz val="11"/>
        <color theme="1"/>
        <rFont val="ＭＳ Ｐゴシック"/>
        <family val="3"/>
        <charset val="128"/>
        <scheme val="minor"/>
      </rPr>
      <t>萄</t>
    </r>
  </si>
  <si>
    <r>
      <t>深圳快送酒供</t>
    </r>
    <r>
      <rPr>
        <sz val="11"/>
        <color theme="1"/>
        <rFont val="ＭＳ Ｐゴシック"/>
        <family val="3"/>
        <charset val="134"/>
        <scheme val="minor"/>
      </rPr>
      <t>应链贸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</si>
  <si>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清酒;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</si>
  <si>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奇</t>
    </r>
    <r>
      <rPr>
        <sz val="11"/>
        <color theme="1"/>
        <rFont val="ＭＳ Ｐゴシック"/>
        <family val="3"/>
        <charset val="134"/>
        <scheme val="minor"/>
      </rPr>
      <t>丽绮</t>
    </r>
    <r>
      <rPr>
        <sz val="11"/>
        <color theme="1"/>
        <rFont val="ＭＳ Ｐゴシック"/>
        <family val="3"/>
        <charset val="128"/>
        <scheme val="minor"/>
      </rPr>
      <t>娜</t>
    </r>
  </si>
  <si>
    <r>
      <t>上海方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</si>
  <si>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清酒; 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</si>
  <si>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响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</si>
  <si>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深圳市日耕文化商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</si>
  <si>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</t>
    </r>
  </si>
  <si>
    <t>源石沫莉</t>
  </si>
  <si>
    <r>
      <t>宁夏志</t>
    </r>
    <r>
      <rPr>
        <sz val="11"/>
        <color theme="1"/>
        <rFont val="ＭＳ Ｐゴシック"/>
        <family val="3"/>
        <charset val="134"/>
        <scheme val="minor"/>
      </rPr>
      <t>辉</t>
    </r>
    <r>
      <rPr>
        <sz val="11"/>
        <color theme="1"/>
        <rFont val="ＭＳ Ｐゴシック"/>
        <family val="3"/>
        <charset val="128"/>
        <scheme val="minor"/>
      </rPr>
      <t>源石葡萄酒庄有限公司</t>
    </r>
  </si>
  <si>
    <r>
      <t>甜酒; 烈酒;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加烈葡萄酒; 利口酒; 葡萄酒</t>
    </r>
  </si>
  <si>
    <r>
      <t>共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共粮</t>
    </r>
  </si>
  <si>
    <r>
      <t>魏</t>
    </r>
    <r>
      <rPr>
        <sz val="11"/>
        <color theme="1"/>
        <rFont val="ＭＳ Ｐゴシック"/>
        <family val="3"/>
        <charset val="134"/>
        <scheme val="minor"/>
      </rPr>
      <t>现军</t>
    </r>
  </si>
  <si>
    <r>
      <t>葡萄酒; 利口酒;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</t>
    </r>
  </si>
  <si>
    <r>
      <t>吴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家</t>
    </r>
  </si>
  <si>
    <t>吴常桂</t>
  </si>
  <si>
    <r>
      <t>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</t>
    </r>
  </si>
  <si>
    <t>花苑里</t>
  </si>
  <si>
    <r>
      <t>中</t>
    </r>
    <r>
      <rPr>
        <sz val="11"/>
        <color theme="1"/>
        <rFont val="ＭＳ Ｐゴシック"/>
        <family val="3"/>
        <charset val="134"/>
        <scheme val="minor"/>
      </rPr>
      <t>驰车</t>
    </r>
    <r>
      <rPr>
        <sz val="11"/>
        <color theme="1"/>
        <rFont val="ＭＳ Ｐゴシック"/>
        <family val="3"/>
        <charset val="128"/>
        <scheme val="minor"/>
      </rPr>
      <t>之谷互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科技(青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)有限公司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</si>
  <si>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黄酒; 果酒（含酒精）</t>
    </r>
  </si>
  <si>
    <r>
      <t>谷小</t>
    </r>
    <r>
      <rPr>
        <sz val="11"/>
        <color theme="1"/>
        <rFont val="ＭＳ Ｐゴシック"/>
        <family val="3"/>
        <charset val="134"/>
        <scheme val="minor"/>
      </rPr>
      <t>爱</t>
    </r>
  </si>
  <si>
    <r>
      <t>刘依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</si>
  <si>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</si>
  <si>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醉眠翠滴醇</t>
  </si>
  <si>
    <t>蒋俊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</si>
  <si>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果酒（含酒精）; 甜果酒; 白酒; 白干酒（中国白酒）;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</si>
  <si>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桂悦黔</t>
  </si>
  <si>
    <r>
      <t>冯</t>
    </r>
    <r>
      <rPr>
        <sz val="11"/>
        <color theme="1"/>
        <rFont val="ＭＳ Ｐゴシック"/>
        <family val="3"/>
        <charset val="128"/>
        <scheme val="minor"/>
      </rPr>
      <t>淦******************</t>
    </r>
  </si>
  <si>
    <r>
      <t xml:space="preserve">米酒; 葡萄酒; 白酒; 蜂蜜酒; 黄酒; 青稞酒; 开胃酒;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</si>
  <si>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木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星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</si>
  <si>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酩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行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出口有限公司</t>
    </r>
  </si>
  <si>
    <r>
      <t xml:space="preserve">黄酒; 梅酒;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果酒（含酒精）; 威士忌; 葡萄酒</t>
    </r>
  </si>
  <si>
    <t>扈邑</t>
  </si>
  <si>
    <t>深圳市欧邑科技有限公司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</si>
  <si>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</si>
  <si>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井兄</t>
  </si>
  <si>
    <r>
      <t>白酒; 清酒（日本米酒）; 黄酒;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</si>
  <si>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燕之都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</si>
  <si>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茴香酒（利口酒）</t>
    </r>
  </si>
  <si>
    <r>
      <t>泗阳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云渡桃雕工</t>
    </r>
    <r>
      <rPr>
        <sz val="11"/>
        <color theme="1"/>
        <rFont val="ＭＳ Ｐゴシック"/>
        <family val="3"/>
        <charset val="134"/>
        <scheme val="minor"/>
      </rPr>
      <t>艺</t>
    </r>
    <r>
      <rPr>
        <sz val="11"/>
        <color theme="1"/>
        <rFont val="ＭＳ Ｐゴシック"/>
        <family val="3"/>
        <charset val="128"/>
        <scheme val="minor"/>
      </rPr>
      <t>品厂</t>
    </r>
  </si>
  <si>
    <r>
      <t xml:space="preserve">果酒（含酒精）;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苹果酒; 清酒（日本米酒）; 白酒</t>
    </r>
  </si>
  <si>
    <r>
      <t>营</t>
    </r>
    <r>
      <rPr>
        <sz val="11"/>
        <color theme="1"/>
        <rFont val="ＭＳ Ｐゴシック"/>
        <family val="3"/>
        <charset val="128"/>
        <scheme val="minor"/>
      </rPr>
      <t>酒·乾</t>
    </r>
    <r>
      <rPr>
        <sz val="11"/>
        <color theme="1"/>
        <rFont val="ＭＳ Ｐゴシック"/>
        <family val="3"/>
        <charset val="134"/>
        <scheme val="minor"/>
      </rPr>
      <t>灏</t>
    </r>
  </si>
  <si>
    <t>王俊先</t>
  </si>
  <si>
    <r>
      <t xml:space="preserve">米酒; 食用酒精;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白酒; 威士忌;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</si>
  <si>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速葡</t>
  </si>
  <si>
    <r>
      <t>深圳黑</t>
    </r>
    <r>
      <rPr>
        <sz val="11"/>
        <color theme="1"/>
        <rFont val="ＭＳ Ｐゴシック"/>
        <family val="3"/>
        <charset val="134"/>
        <scheme val="minor"/>
      </rPr>
      <t>鲸</t>
    </r>
    <r>
      <rPr>
        <sz val="11"/>
        <color theme="1"/>
        <rFont val="ＭＳ Ｐゴシック"/>
        <family val="3"/>
        <charset val="128"/>
        <scheme val="minor"/>
      </rPr>
      <t>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</si>
  <si>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清酒;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果酒（含酒精）; 烈酒</t>
    </r>
  </si>
  <si>
    <t>颂临门</t>
  </si>
  <si>
    <r>
      <t>烈酒;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</si>
  <si>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帝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盛</t>
    </r>
  </si>
  <si>
    <r>
      <t>四川梓爵酒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</si>
  <si>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白干酒（中国白酒）;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烈性干酒;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米酒</t>
    </r>
  </si>
  <si>
    <t>帝之彩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</si>
  <si>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果酒; 高粱酒; 青稞酒; 烈酒</t>
    </r>
  </si>
  <si>
    <t>炯达</t>
  </si>
  <si>
    <r>
      <t>乐</t>
    </r>
    <r>
      <rPr>
        <sz val="11"/>
        <color theme="1"/>
        <rFont val="ＭＳ Ｐゴシック"/>
        <family val="3"/>
        <charset val="128"/>
        <scheme val="minor"/>
      </rPr>
      <t>清肆坊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</si>
  <si>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</si>
  <si>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t>大秦隆接</t>
  </si>
  <si>
    <t>秦永文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</si>
  <si>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苹果酒; 餐后酒（利口酒和烈酒）; 露酒; 葡萄酒;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</si>
  <si>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源拓特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</si>
  <si>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源拓特（河南）生物科技有限公司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</si>
  <si>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果酒（含酒精）; 米酒; 伏特加酒</t>
    </r>
  </si>
  <si>
    <r>
      <t>百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宴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</si>
  <si>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</si>
  <si>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白干酒（中国白酒）; 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用烈酒; 高粱酒</t>
    </r>
  </si>
  <si>
    <r>
      <t>闪</t>
    </r>
    <r>
      <rPr>
        <sz val="11"/>
        <color theme="1"/>
        <rFont val="ＭＳ Ｐゴシック"/>
        <family val="3"/>
        <charset val="128"/>
        <scheme val="minor"/>
      </rPr>
      <t>葡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</si>
  <si>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清酒; 白酒;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</t>
    </r>
  </si>
  <si>
    <t>湘千肴</t>
  </si>
  <si>
    <r>
      <t>吴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</si>
  <si>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果酒（含酒精）;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白酒; 黄酒; 梅酒;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</si>
  <si>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r>
      <t>纯</t>
    </r>
    <r>
      <rPr>
        <sz val="11"/>
        <color theme="1"/>
        <rFont val="ＭＳ Ｐゴシック"/>
        <family val="3"/>
        <charset val="128"/>
        <scheme val="minor"/>
      </rPr>
      <t>乃康</t>
    </r>
  </si>
  <si>
    <r>
      <t>上海海礼文化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</si>
  <si>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烈酒; 葡萄酒; 汽酒;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</si>
  <si>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荔麒</t>
  </si>
  <si>
    <r>
      <t>高粱酒;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甜果酒</t>
    </r>
  </si>
  <si>
    <t>七星葚美</t>
  </si>
  <si>
    <r>
      <t>巴州七星美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</si>
  <si>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米酒; 黄酒; 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梨酒;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</si>
  <si>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觅</t>
    </r>
    <r>
      <rPr>
        <sz val="11"/>
        <color theme="1"/>
        <rFont val="ＭＳ Ｐゴシック"/>
        <family val="3"/>
        <charset val="128"/>
        <scheme val="minor"/>
      </rPr>
      <t>雪冰白</t>
    </r>
  </si>
  <si>
    <r>
      <t>赵华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</si>
  <si>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 xml:space="preserve">利口酒; 果酒（含酒精）;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葡萄酒; 黄酒; 开胃酒</t>
    </r>
  </si>
  <si>
    <r>
      <t>赴</t>
    </r>
    <r>
      <rPr>
        <sz val="11"/>
        <color theme="1"/>
        <rFont val="ＭＳ Ｐゴシック"/>
        <family val="3"/>
        <charset val="134"/>
        <scheme val="minor"/>
      </rPr>
      <t>临门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</si>
  <si>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白酒; 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</t>
    </r>
  </si>
  <si>
    <r>
      <t>安徽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威酒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</si>
  <si>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蜂蜜酒;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果酒（含酒精）;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</si>
  <si>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狮</t>
    </r>
    <r>
      <rPr>
        <sz val="11"/>
        <color theme="1"/>
        <rFont val="ＭＳ Ｐゴシック"/>
        <family val="3"/>
        <charset val="128"/>
        <scheme val="minor"/>
      </rPr>
      <t>牌大</t>
    </r>
    <r>
      <rPr>
        <sz val="11"/>
        <color theme="1"/>
        <rFont val="ＭＳ Ｐゴシック"/>
        <family val="3"/>
        <charset val="134"/>
        <scheme val="minor"/>
      </rPr>
      <t>师</t>
    </r>
  </si>
  <si>
    <t>温彦国</t>
  </si>
  <si>
    <r>
      <t xml:space="preserve">黄酒; 白酒; 米酒;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伏特加酒</t>
    </r>
  </si>
  <si>
    <r>
      <t>涡</t>
    </r>
    <r>
      <rPr>
        <sz val="11"/>
        <color theme="1"/>
        <rFont val="ＭＳ Ｐゴシック"/>
        <family val="3"/>
        <charset val="128"/>
        <scheme val="minor"/>
      </rPr>
      <t>口</t>
    </r>
  </si>
  <si>
    <r>
      <t>深圳开甲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天科技有限公司</t>
    </r>
  </si>
  <si>
    <r>
      <t>黄酒; 薄荷酒; 白酒; 苹果酒; 梨酒;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</si>
  <si>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谷尚煌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</si>
  <si>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威士忌;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清酒（日本米酒）; 青稞酒; 黄酒</t>
    </r>
  </si>
  <si>
    <r>
      <t>易水泉窖</t>
    </r>
    <r>
      <rPr>
        <sz val="11"/>
        <color theme="1"/>
        <rFont val="ＭＳ Ｐゴシック"/>
        <family val="3"/>
        <charset val="134"/>
        <scheme val="minor"/>
      </rPr>
      <t>龄</t>
    </r>
  </si>
  <si>
    <r>
      <t>河北易水泉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</si>
  <si>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白酒; 果酒（含酒精）; 青稞酒;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</si>
  <si>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琼</t>
    </r>
    <r>
      <rPr>
        <sz val="11"/>
        <color theme="1"/>
        <rFont val="ＭＳ Ｐゴシック"/>
        <family val="3"/>
        <charset val="128"/>
        <scheme val="minor"/>
      </rPr>
      <t>舟玉液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</si>
  <si>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春梅</t>
    </r>
  </si>
  <si>
    <r>
      <t>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汽酒; 葡萄酒; 利口酒; 黄酒; 白酒; 清酒; 果酒（含酒精）</t>
    </r>
  </si>
  <si>
    <t>宴南燕</t>
  </si>
  <si>
    <r>
      <t>湖北</t>
    </r>
    <r>
      <rPr>
        <sz val="11"/>
        <color theme="1"/>
        <rFont val="ＭＳ Ｐゴシック"/>
        <family val="3"/>
        <charset val="134"/>
        <scheme val="minor"/>
      </rPr>
      <t>郧兑兑</t>
    </r>
    <r>
      <rPr>
        <sz val="11"/>
        <color theme="1"/>
        <rFont val="ＭＳ Ｐゴシック"/>
        <family val="3"/>
        <charset val="128"/>
        <scheme val="minor"/>
      </rPr>
      <t>数字科技有限公司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</si>
  <si>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甜酒; 高粱酒; 果酒（含酒精）; 白酒;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</si>
  <si>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t>ELLOCK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</si>
  <si>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东爱</t>
    </r>
    <r>
      <rPr>
        <sz val="11"/>
        <color theme="1"/>
        <rFont val="ＭＳ Ｐゴシック"/>
        <family val="3"/>
        <charset val="128"/>
        <scheme val="minor"/>
      </rPr>
      <t>洛克新材料科技有限公司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</si>
  <si>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薄荷酒; 葡萄酒; 蜂蜜酒; 清酒（日本米酒）; 米酒; 白酒; 果酒（含酒精）</t>
    </r>
  </si>
  <si>
    <t>斗金香</t>
  </si>
  <si>
    <r>
      <t>湄潭</t>
    </r>
    <r>
      <rPr>
        <sz val="11"/>
        <color theme="1"/>
        <rFont val="ＭＳ Ｐゴシック"/>
        <family val="3"/>
        <charset val="134"/>
        <scheme val="minor"/>
      </rPr>
      <t>荆桥贸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</si>
  <si>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黄酒; 葡萄酒; 伏特加酒; 清酒（日本米酒）; 果酒（含酒精）; 白酒;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</si>
  <si>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荔祺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</si>
  <si>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米酒; 白酒; 白干酒（中国白酒）; 果酒（含酒精）; 甜果酒</t>
    </r>
  </si>
  <si>
    <t>中林繁花</t>
  </si>
  <si>
    <r>
      <t>九江中林大家居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</si>
  <si>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高粱酒; 果酒（含酒精）; 葡萄酒;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清酒; 蒸煮提取物（利口酒和烈酒）; 白酒</t>
    </r>
  </si>
  <si>
    <t>聚愁</t>
  </si>
  <si>
    <r>
      <t>汤</t>
    </r>
    <r>
      <rPr>
        <sz val="11"/>
        <color theme="1"/>
        <rFont val="ＭＳ Ｐゴシック"/>
        <family val="3"/>
        <charset val="128"/>
        <scheme val="minor"/>
      </rPr>
      <t>英杰</t>
    </r>
  </si>
  <si>
    <r>
      <t>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清酒（日本米酒）;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果酒（含酒精）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</si>
  <si>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线</t>
    </r>
    <r>
      <rPr>
        <sz val="11"/>
        <color theme="1"/>
        <rFont val="ＭＳ Ｐゴシック"/>
        <family val="3"/>
        <charset val="128"/>
        <scheme val="minor"/>
      </rPr>
      <t>之上</t>
    </r>
  </si>
  <si>
    <r>
      <t>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市合景酒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</si>
  <si>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米酒; 梅酒;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</t>
    </r>
  </si>
  <si>
    <t>天之彩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</si>
  <si>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米酒; 白酒; 烈酒; 高粱酒; 青稞酒; 黄酒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</si>
  <si>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融达</t>
    </r>
  </si>
  <si>
    <r>
      <t>福建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融达生物技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</si>
  <si>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果酒（含酒精）; 含酒精的气泡水; 梅酒;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</t>
    </r>
  </si>
  <si>
    <r>
      <t>刘正方</t>
    </r>
    <r>
      <rPr>
        <sz val="11"/>
        <color theme="1"/>
        <rFont val="ＭＳ Ｐゴシック"/>
        <family val="3"/>
        <charset val="134"/>
        <scheme val="minor"/>
      </rPr>
      <t>圆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</si>
  <si>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志勇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</si>
  <si>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清酒; 白酒; 米酒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</si>
  <si>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万世</t>
    </r>
  </si>
  <si>
    <t>牛朝阳</t>
  </si>
  <si>
    <r>
      <t>利口酒; 米酒; 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威士忌</t>
    </r>
  </si>
  <si>
    <r>
      <t>圆</t>
    </r>
    <r>
      <rPr>
        <sz val="11"/>
        <color theme="1"/>
        <rFont val="ＭＳ Ｐゴシック"/>
        <family val="3"/>
        <charset val="128"/>
        <scheme val="minor"/>
      </rPr>
      <t>梦四宝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</si>
  <si>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圆</t>
    </r>
    <r>
      <rPr>
        <sz val="11"/>
        <color theme="1"/>
        <rFont val="ＭＳ Ｐゴシック"/>
        <family val="3"/>
        <charset val="128"/>
        <scheme val="minor"/>
      </rPr>
      <t>梦坤沙</t>
    </r>
    <r>
      <rPr>
        <sz val="11"/>
        <color theme="1"/>
        <rFont val="ＭＳ Ｐゴシック"/>
        <family val="3"/>
        <charset val="134"/>
        <scheme val="minor"/>
      </rPr>
      <t>酱</t>
    </r>
    <r>
      <rPr>
        <sz val="11"/>
        <color theme="1"/>
        <rFont val="ＭＳ Ｐゴシック"/>
        <family val="3"/>
        <charset val="128"/>
        <scheme val="minor"/>
      </rPr>
      <t>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</si>
  <si>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葡萄酒; 白酒</t>
    </r>
  </si>
  <si>
    <t>粮福川</t>
  </si>
  <si>
    <r>
      <t>安泗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</si>
  <si>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清酒;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黄酒; 米酒</t>
    </r>
  </si>
  <si>
    <r>
      <t>馥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吉祥</t>
    </r>
  </si>
  <si>
    <r>
      <t>刘学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</si>
  <si>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果酒; 葡萄酒; 开胃酒;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</si>
  <si>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福万世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</si>
  <si>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威士忌; 烈酒; 利口酒; 高粱酒; 白酒; 米酒</t>
    </r>
  </si>
  <si>
    <r>
      <t>群雄</t>
    </r>
    <r>
      <rPr>
        <sz val="11"/>
        <color theme="1"/>
        <rFont val="ＭＳ Ｐゴシック"/>
        <family val="3"/>
        <charset val="134"/>
        <scheme val="minor"/>
      </rPr>
      <t>赋</t>
    </r>
  </si>
  <si>
    <t>周迎梅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</si>
  <si>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利口酒; 白酒; 高粱酒;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烈酒;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</si>
  <si>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大峡谷水</t>
  </si>
  <si>
    <r>
      <t>北京市仁</t>
    </r>
    <r>
      <rPr>
        <sz val="11"/>
        <color theme="1"/>
        <rFont val="ＭＳ Ｐゴシック"/>
        <family val="3"/>
        <charset val="134"/>
        <scheme val="minor"/>
      </rPr>
      <t>爱</t>
    </r>
    <r>
      <rPr>
        <sz val="11"/>
        <color theme="1"/>
        <rFont val="ＭＳ Ｐゴシック"/>
        <family val="3"/>
        <charset val="128"/>
        <scheme val="minor"/>
      </rPr>
      <t>教育</t>
    </r>
    <r>
      <rPr>
        <sz val="11"/>
        <color theme="1"/>
        <rFont val="ＭＳ Ｐゴシック"/>
        <family val="3"/>
        <charset val="134"/>
        <scheme val="minor"/>
      </rPr>
      <t>图书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</si>
  <si>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黄酒; 白酒; 清酒（日本米酒）; 威士忌;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</t>
    </r>
  </si>
  <si>
    <t>共甘</t>
  </si>
  <si>
    <t>王凡凡</t>
  </si>
  <si>
    <r>
      <t>米酒; 威士忌; 利口酒; 果酒; 烈酒; 高粱酒;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</si>
  <si>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吉林省王家鹿园参茸有限公司</t>
  </si>
  <si>
    <r>
      <t>白酒; 露酒; 开胃酒;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餐后酒（利口酒和烈酒）;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果酒;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</t>
    </r>
  </si>
  <si>
    <t>雪洲</t>
  </si>
  <si>
    <r>
      <t>绍兴岁</t>
    </r>
    <r>
      <rPr>
        <sz val="11"/>
        <color theme="1"/>
        <rFont val="ＭＳ Ｐゴシック"/>
        <family val="3"/>
        <charset val="128"/>
        <scheme val="minor"/>
      </rPr>
      <t>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</si>
  <si>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米酒; 白酒; 黄酒; 果酒（含酒精）</t>
  </si>
  <si>
    <t>心灵灵</t>
  </si>
  <si>
    <r>
      <t>不二心舟企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管理（成都）有限公司</t>
    </r>
  </si>
  <si>
    <r>
      <t xml:space="preserve">茴芹酒（利口酒）;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米酒; 苦味酒; 葡萄酒; 青梅酒;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</t>
    </r>
  </si>
  <si>
    <t>西湖雅</t>
  </si>
  <si>
    <r>
      <t>赵</t>
    </r>
    <r>
      <rPr>
        <sz val="11"/>
        <color theme="1"/>
        <rFont val="ＭＳ Ｐゴシック"/>
        <family val="3"/>
        <charset val="128"/>
        <scheme val="minor"/>
      </rPr>
      <t>冉</t>
    </r>
  </si>
  <si>
    <r>
      <t>开胃酒;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黄酒; 白酒; 清酒（日本米酒）; 葡萄酒;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</si>
  <si>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共期</t>
  </si>
  <si>
    <r>
      <t>利口酒;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白酒</t>
    </r>
  </si>
  <si>
    <r>
      <t>锦贵</t>
    </r>
    <r>
      <rPr>
        <sz val="11"/>
        <color theme="1"/>
        <rFont val="ＭＳ Ｐゴシック"/>
        <family val="3"/>
        <charset val="128"/>
        <scheme val="minor"/>
      </rPr>
      <t>山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</si>
  <si>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州国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宏</t>
    </r>
    <r>
      <rPr>
        <sz val="11"/>
        <color theme="1"/>
        <rFont val="ＭＳ Ｐゴシック"/>
        <family val="3"/>
        <charset val="134"/>
        <scheme val="minor"/>
      </rPr>
      <t>诚</t>
    </r>
    <r>
      <rPr>
        <sz val="11"/>
        <color theme="1"/>
        <rFont val="ＭＳ Ｐゴシック"/>
        <family val="3"/>
        <charset val="128"/>
        <scheme val="minor"/>
      </rPr>
      <t>控股（集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</si>
  <si>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</t>
    </r>
  </si>
  <si>
    <r>
      <t>锦贵</t>
    </r>
    <r>
      <rPr>
        <sz val="11"/>
        <color theme="1"/>
        <rFont val="ＭＳ Ｐゴシック"/>
        <family val="3"/>
        <charset val="128"/>
        <scheme val="minor"/>
      </rPr>
      <t>客</t>
    </r>
  </si>
  <si>
    <r>
      <t xml:space="preserve">米酒;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白干酒（中国白酒）;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米酒（泡盛酒）; 白酒; 果酒; 高粱酒</t>
    </r>
  </si>
  <si>
    <r>
      <t>白酒; 露酒;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餐后酒（利口酒和烈酒）;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烈酒; 果酒; 高粱酒; 开胃酒</t>
    </r>
  </si>
  <si>
    <t>陌念</t>
  </si>
  <si>
    <t>唐荣杰</t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</si>
  <si>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黄酒; 葡萄酒; 清酒（日本米酒）;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</t>
    </r>
  </si>
  <si>
    <t>佰集芦丰</t>
  </si>
  <si>
    <r>
      <t>山西省宁武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芦丰土特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</si>
  <si>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</si>
  <si>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郧</t>
    </r>
    <r>
      <rPr>
        <sz val="11"/>
        <color theme="1"/>
        <rFont val="ＭＳ Ｐゴシック"/>
        <family val="3"/>
        <charset val="128"/>
        <scheme val="minor"/>
      </rPr>
      <t>府令</t>
    </r>
  </si>
  <si>
    <t>石从虎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</si>
  <si>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白干酒（中国白酒）; 果酒（含酒精）; 葡萄酒; 高粱酒; 威士忌</t>
    </r>
  </si>
  <si>
    <t>大通天地（福建）科技有限公司</t>
  </si>
  <si>
    <r>
      <t>果酒（含酒精）;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清酒（日本米酒）</t>
    </r>
  </si>
  <si>
    <t>宜健云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</si>
  <si>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州宜健云酒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</si>
  <si>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食用酒精; 白酒; 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格利酒（朝</t>
    </r>
    <r>
      <rPr>
        <sz val="11"/>
        <color theme="1"/>
        <rFont val="ＭＳ Ｐゴシック"/>
        <family val="3"/>
        <charset val="134"/>
        <scheme val="minor"/>
      </rPr>
      <t>鲜传统</t>
    </r>
    <r>
      <rPr>
        <sz val="11"/>
        <color theme="1"/>
        <rFont val="ＭＳ Ｐゴシック"/>
        <family val="3"/>
        <charset val="128"/>
        <scheme val="minor"/>
      </rPr>
      <t xml:space="preserve">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混合威士忌酒; 露酒; 高粱酒; 果酒</t>
    </r>
  </si>
  <si>
    <r>
      <t>裕池</t>
    </r>
    <r>
      <rPr>
        <sz val="11"/>
        <color theme="1"/>
        <rFont val="ＭＳ Ｐゴシック"/>
        <family val="3"/>
        <charset val="134"/>
        <scheme val="minor"/>
      </rPr>
      <t>苏</t>
    </r>
  </si>
  <si>
    <r>
      <t>南通索</t>
    </r>
    <r>
      <rPr>
        <sz val="11"/>
        <color theme="1"/>
        <rFont val="ＭＳ Ｐゴシック"/>
        <family val="3"/>
        <charset val="134"/>
        <scheme val="minor"/>
      </rPr>
      <t>诺环</t>
    </r>
    <r>
      <rPr>
        <sz val="11"/>
        <color theme="1"/>
        <rFont val="ＭＳ Ｐゴシック"/>
        <family val="3"/>
        <charset val="128"/>
        <scheme val="minor"/>
      </rPr>
      <t>保科技有限公司</t>
    </r>
  </si>
  <si>
    <r>
      <t xml:space="preserve">米酒; 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白酒; 甜酒; 威士忌</t>
    </r>
  </si>
  <si>
    <t>读贤</t>
  </si>
  <si>
    <r>
      <t>洪志</t>
    </r>
    <r>
      <rPr>
        <sz val="11"/>
        <color theme="1"/>
        <rFont val="ＭＳ Ｐゴシック"/>
        <family val="3"/>
        <charset val="134"/>
        <scheme val="minor"/>
      </rPr>
      <t>发</t>
    </r>
  </si>
  <si>
    <r>
      <t>葡萄酒; 威士忌; 白葡萄酒;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高粱酒; 白酒; 米酒;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</si>
  <si>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r>
      <t>北京德恩煊感恩文化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</si>
  <si>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食用酒精; 葡萄酒;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</si>
  <si>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信已</t>
  </si>
  <si>
    <r>
      <t>北京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家信息咨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</si>
  <si>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不起泡葡萄酒;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清酒; 米酒</t>
    </r>
  </si>
  <si>
    <t>仁中皇</t>
  </si>
  <si>
    <r>
      <t>葛</t>
    </r>
    <r>
      <rPr>
        <sz val="11"/>
        <color theme="1"/>
        <rFont val="ＭＳ Ｐゴシック"/>
        <family val="3"/>
        <charset val="134"/>
        <scheme val="minor"/>
      </rPr>
      <t>晓亚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</si>
  <si>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清酒（日本米酒）; 白酒; 含酒精的气泡水;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</si>
  <si>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智安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</si>
  <si>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汾阳市清香酒城酒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</si>
  <si>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</si>
  <si>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荐</t>
    </r>
  </si>
  <si>
    <r>
      <t>姜俊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</si>
  <si>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果酒; 烈酒; 白酒;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</t>
    </r>
  </si>
  <si>
    <t>克芮旺斯</t>
  </si>
  <si>
    <r>
      <t>上海巨</t>
    </r>
    <r>
      <rPr>
        <sz val="11"/>
        <color theme="1"/>
        <rFont val="ＭＳ Ｐゴシック"/>
        <family val="3"/>
        <charset val="134"/>
        <scheme val="minor"/>
      </rPr>
      <t>馔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</si>
  <si>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含酒精的气泡水; 葡萄酒; 果酒（含酒精）; 苹果酒; 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桑格利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汽酒; 酸酒（低等葡萄酒）</t>
    </r>
  </si>
  <si>
    <t>荣匠心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</si>
  <si>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</si>
  <si>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儒士雅</t>
    </r>
    <r>
      <rPr>
        <sz val="11"/>
        <color theme="1"/>
        <rFont val="ＭＳ Ｐゴシック"/>
        <family val="3"/>
        <charset val="134"/>
        <scheme val="minor"/>
      </rPr>
      <t>宾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</si>
  <si>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祥苑茶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</si>
  <si>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</si>
  <si>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豫煌</t>
    </r>
  </si>
  <si>
    <t>葛守林******************</t>
  </si>
  <si>
    <r>
      <t xml:space="preserve">餐后酒（利口酒和烈酒）; 苦味酒;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青稞酒</t>
    </r>
  </si>
  <si>
    <t>GRACA DA PEDRA</t>
  </si>
  <si>
    <r>
      <t>国</t>
    </r>
    <r>
      <rPr>
        <sz val="11"/>
        <color theme="1"/>
        <rFont val="ＭＳ Ｐゴシック"/>
        <family val="3"/>
        <charset val="134"/>
        <scheme val="minor"/>
      </rPr>
      <t>际饮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</si>
  <si>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朗姆酒</t>
    </r>
  </si>
  <si>
    <t>赤运来</t>
  </si>
  <si>
    <r>
      <t>孙</t>
    </r>
    <r>
      <rPr>
        <sz val="11"/>
        <color theme="1"/>
        <rFont val="ＭＳ Ｐゴシック"/>
        <family val="3"/>
        <charset val="128"/>
        <scheme val="minor"/>
      </rPr>
      <t>旭</t>
    </r>
    <r>
      <rPr>
        <sz val="11"/>
        <color theme="1"/>
        <rFont val="ＭＳ Ｐゴシック"/>
        <family val="3"/>
        <charset val="134"/>
        <scheme val="minor"/>
      </rPr>
      <t>跃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</si>
  <si>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蜂蜜酒;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</t>
    </r>
  </si>
  <si>
    <t>臻首礼</t>
  </si>
  <si>
    <r>
      <t>陶成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</si>
  <si>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蜂蜜酒; 食用酒精; 葡萄酒; 威士忌;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</si>
  <si>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渝韵礼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</si>
  <si>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流通服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中心</t>
    </r>
  </si>
  <si>
    <r>
      <t>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白酒; 清酒（日本米酒）;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</si>
  <si>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狐十三</t>
  </si>
  <si>
    <r>
      <t>辽</t>
    </r>
    <r>
      <rPr>
        <sz val="11"/>
        <color theme="1"/>
        <rFont val="ＭＳ Ｐゴシック"/>
        <family val="3"/>
        <charset val="128"/>
        <scheme val="minor"/>
      </rPr>
      <t>宁狐十三影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</si>
  <si>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朝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族米酒; 含酒精的气泡水;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食用酒精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</si>
  <si>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豫煌子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</si>
  <si>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青稞酒;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苦味酒;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餐后酒（利口酒和烈酒）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</si>
  <si>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尚人西凰</t>
    </r>
  </si>
  <si>
    <r>
      <t>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</t>
    </r>
  </si>
  <si>
    <r>
      <t>小塞</t>
    </r>
    <r>
      <rPr>
        <sz val="11"/>
        <color theme="1"/>
        <rFont val="ＭＳ Ｐゴシック"/>
        <family val="3"/>
        <charset val="134"/>
        <scheme val="minor"/>
      </rPr>
      <t>驼</t>
    </r>
  </si>
  <si>
    <r>
      <t>甘</t>
    </r>
    <r>
      <rPr>
        <sz val="11"/>
        <color theme="1"/>
        <rFont val="ＭＳ Ｐゴシック"/>
        <family val="3"/>
        <charset val="134"/>
        <scheme val="minor"/>
      </rPr>
      <t>肃</t>
    </r>
    <r>
      <rPr>
        <sz val="11"/>
        <color theme="1"/>
        <rFont val="ＭＳ Ｐゴシック"/>
        <family val="3"/>
        <charset val="128"/>
        <scheme val="minor"/>
      </rPr>
      <t>塞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</si>
  <si>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白酒;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威士忌; 伏特加酒; 青稞酒; 开胃酒; 黄酒</t>
    </r>
  </si>
  <si>
    <t>诗经汉赋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</si>
  <si>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清酒（日本米酒）</t>
    </r>
  </si>
  <si>
    <r>
      <t>树</t>
    </r>
    <r>
      <rPr>
        <sz val="11"/>
        <color theme="1"/>
        <rFont val="ＭＳ Ｐゴシック"/>
        <family val="3"/>
        <charset val="128"/>
        <scheme val="minor"/>
      </rPr>
      <t>祥醉</t>
    </r>
  </si>
  <si>
    <r>
      <t>刘</t>
    </r>
    <r>
      <rPr>
        <sz val="11"/>
        <color theme="1"/>
        <rFont val="ＭＳ Ｐゴシック"/>
        <family val="3"/>
        <charset val="134"/>
        <scheme val="minor"/>
      </rPr>
      <t>树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</si>
  <si>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>葡萄酒; 烈酒;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</si>
  <si>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禧</t>
    </r>
    <r>
      <rPr>
        <sz val="11"/>
        <color theme="1"/>
        <rFont val="ＭＳ Ｐゴシック"/>
        <family val="3"/>
        <charset val="134"/>
        <scheme val="minor"/>
      </rPr>
      <t>龙谭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</si>
  <si>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清酒（日本米酒）; 白酒; 果酒（含酒精）; 开胃酒; 葡萄酒; 黄酒</t>
    </r>
  </si>
  <si>
    <t>封山天养</t>
  </si>
  <si>
    <r>
      <t>吴永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</si>
  <si>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黄酒;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汽酒</t>
    </r>
  </si>
  <si>
    <t>赤棣澳</t>
  </si>
  <si>
    <t>王金花</t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</si>
  <si>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>酒</t>
    </r>
  </si>
  <si>
    <t>御戎泉</t>
  </si>
  <si>
    <r>
      <t>长</t>
    </r>
    <r>
      <rPr>
        <sz val="11"/>
        <color theme="1"/>
        <rFont val="ＭＳ Ｐゴシック"/>
        <family val="3"/>
        <charset val="128"/>
        <scheme val="minor"/>
      </rPr>
      <t>春市御戎泉商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</si>
  <si>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蜂蜜酒;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</si>
  <si>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醧</t>
    </r>
    <r>
      <rPr>
        <sz val="11"/>
        <color theme="1"/>
        <rFont val="ＭＳ Ｐゴシック"/>
        <family val="3"/>
        <charset val="128"/>
        <scheme val="minor"/>
      </rPr>
      <t>醆</t>
    </r>
  </si>
  <si>
    <r>
      <t>北京成</t>
    </r>
    <r>
      <rPr>
        <sz val="11"/>
        <color theme="1"/>
        <rFont val="ＭＳ Ｐゴシック"/>
        <family val="3"/>
        <charset val="134"/>
        <scheme val="minor"/>
      </rPr>
      <t>义烧</t>
    </r>
    <r>
      <rPr>
        <sz val="11"/>
        <color theme="1"/>
        <rFont val="ＭＳ Ｐゴシック"/>
        <family val="3"/>
        <charset val="128"/>
        <scheme val="minor"/>
      </rPr>
      <t>坊品牌运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</si>
  <si>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露酒; 黄酒; 梅酒; 甜酒; 青梅酒; 米酒; 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</t>
    </r>
  </si>
  <si>
    <t>云泉黔盛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</si>
  <si>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州通泰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（集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</si>
  <si>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威士忌; 蜂蜜酒; 开胃酒; 黄酒; 蒸煮提取物（利口酒和烈酒）;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</t>
    </r>
  </si>
  <si>
    <t>渝伴礼</t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</si>
  <si>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</si>
  <si>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t>下塘丰粮</t>
  </si>
  <si>
    <r>
      <t>合肥淝上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</si>
  <si>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烈酒; 伏特加酒; 葡萄酒; 黄酒;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米酒</t>
    </r>
  </si>
  <si>
    <t>SERENERY</t>
  </si>
  <si>
    <r>
      <t>浔</t>
    </r>
    <r>
      <rPr>
        <sz val="11"/>
        <color theme="1"/>
        <rFont val="ＭＳ Ｐゴシック"/>
        <family val="3"/>
        <charset val="128"/>
        <scheme val="minor"/>
      </rPr>
      <t>清</t>
    </r>
    <r>
      <rPr>
        <sz val="11"/>
        <color theme="1"/>
        <rFont val="ＭＳ Ｐゴシック"/>
        <family val="3"/>
        <charset val="134"/>
        <scheme val="minor"/>
      </rPr>
      <t>欢</t>
    </r>
    <r>
      <rPr>
        <sz val="11"/>
        <color theme="1"/>
        <rFont val="ＭＳ Ｐゴシック"/>
        <family val="3"/>
        <charset val="128"/>
        <scheme val="minor"/>
      </rPr>
      <t>品牌管理（广州）有限公司</t>
    </r>
  </si>
  <si>
    <r>
      <t>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梅酒; 白酒; 葡萄酒; 伏特加酒;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汽酒</t>
    </r>
  </si>
  <si>
    <t>英雄渡共享酒庄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</si>
  <si>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市英雄渡酒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</si>
  <si>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青梅酒; 烈酒; 高粱酒;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果酒; 葡萄酒</t>
    </r>
  </si>
  <si>
    <t>半迹</t>
  </si>
  <si>
    <r>
      <t>广州半迹酒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</si>
  <si>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食用酒精;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</si>
  <si>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LEFU SILVER</t>
  </si>
  <si>
    <r>
      <t>南通瑶和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</si>
  <si>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薄荷酒; 威士忌;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青稞酒;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伏特加酒</t>
    </r>
  </si>
  <si>
    <t>子爻</t>
  </si>
  <si>
    <r>
      <t>宿州千宸智</t>
    </r>
    <r>
      <rPr>
        <sz val="11"/>
        <color theme="1"/>
        <rFont val="ＭＳ Ｐゴシック"/>
        <family val="3"/>
        <charset val="134"/>
        <scheme val="minor"/>
      </rPr>
      <t>卫图书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</si>
  <si>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黄酒;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</si>
  <si>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黔因</t>
  </si>
  <si>
    <r>
      <t>胡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</si>
  <si>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黄酒; 威士忌; 烈酒; 果酒（含酒精）</t>
    </r>
  </si>
  <si>
    <t>PENLISTEN</t>
  </si>
  <si>
    <r>
      <t>深圳市深羽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</si>
  <si>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 xml:space="preserve">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干型苹果酒</t>
    </r>
  </si>
  <si>
    <t>金汴煌子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</si>
  <si>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青稞酒; 黄酒; 苦味酒; 白酒;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</si>
  <si>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祭</t>
    </r>
  </si>
  <si>
    <r>
      <t>米酒; 青稞酒;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开胃酒; 白干酒（中国白酒）; 蒸煮提取物（利口酒和烈酒）; 果酒（含酒精）; 苦味酒; 白酒; 食用酒精</t>
    </r>
  </si>
  <si>
    <r>
      <t>佰喜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生物科技(唐山)有限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</si>
  <si>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青稞酒;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</si>
  <si>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财</t>
    </r>
    <r>
      <rPr>
        <sz val="11"/>
        <color theme="1"/>
        <rFont val="ＭＳ Ｐゴシック"/>
        <family val="3"/>
        <charset val="128"/>
        <scheme val="minor"/>
      </rPr>
      <t>舜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</si>
  <si>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研智信息技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</si>
  <si>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青稞酒; 食用酒精;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米酒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</si>
  <si>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食用酒精;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葡萄酒; 果酒（含酒精）</t>
    </r>
  </si>
  <si>
    <t>聊茆</t>
  </si>
  <si>
    <r>
      <t>聊城市圣凰酒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</si>
  <si>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高粱酒; 白酒; 葡萄酒; 清酒; 甜酒; 果酒</t>
    </r>
  </si>
  <si>
    <r>
      <t>楚辞</t>
    </r>
    <r>
      <rPr>
        <sz val="11"/>
        <color theme="1"/>
        <rFont val="ＭＳ Ｐゴシック"/>
        <family val="3"/>
        <charset val="134"/>
        <scheme val="minor"/>
      </rPr>
      <t>骄</t>
    </r>
    <r>
      <rPr>
        <sz val="11"/>
        <color theme="1"/>
        <rFont val="ＭＳ Ｐゴシック"/>
        <family val="3"/>
        <charset val="128"/>
        <scheme val="minor"/>
      </rPr>
      <t>子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</si>
  <si>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清酒（日本米酒）; 蜂蜜酒;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白酒</t>
    </r>
  </si>
  <si>
    <r>
      <t>乾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</si>
  <si>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葡萄酒; 白酒</t>
    </r>
  </si>
  <si>
    <r>
      <t>云泉黔</t>
    </r>
    <r>
      <rPr>
        <sz val="11"/>
        <color theme="1"/>
        <rFont val="ＭＳ Ｐゴシック"/>
        <family val="3"/>
        <charset val="134"/>
        <scheme val="minor"/>
      </rPr>
      <t>锦</t>
    </r>
  </si>
  <si>
    <r>
      <t>葡萄酒; 黄酒; 威士忌; 白酒; 清酒（日本米酒）; 蒸煮提取物（利口酒和烈酒）; 米酒; 开胃酒;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</si>
  <si>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哦久尼 WOJJON</t>
  </si>
  <si>
    <r>
      <t>姚世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</si>
  <si>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>白酒; 薄荷酒; 威士忌; 果酒（含酒精）;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</si>
  <si>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连</t>
    </r>
    <r>
      <rPr>
        <sz val="11"/>
        <color theme="1"/>
        <rFont val="ＭＳ Ｐゴシック"/>
        <family val="3"/>
        <charset val="128"/>
        <scheme val="minor"/>
      </rPr>
      <t>意</t>
    </r>
  </si>
  <si>
    <r>
      <t>连</t>
    </r>
    <r>
      <rPr>
        <sz val="11"/>
        <color theme="1"/>
        <rFont val="ＭＳ Ｐゴシック"/>
        <family val="3"/>
        <charset val="128"/>
        <scheme val="minor"/>
      </rPr>
      <t>少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</si>
  <si>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伏特加酒;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</si>
  <si>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r>
      <t>江雨</t>
    </r>
    <r>
      <rPr>
        <sz val="11"/>
        <color theme="1"/>
        <rFont val="ＭＳ Ｐゴシック"/>
        <family val="3"/>
        <charset val="134"/>
        <scheme val="minor"/>
      </rPr>
      <t>浓</t>
    </r>
  </si>
  <si>
    <r>
      <t>江山市江小茅酒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</si>
  <si>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食用酒精;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蜂蜜酒; 葡萄酒;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</si>
  <si>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r>
      <t>酉礼酉</t>
    </r>
    <r>
      <rPr>
        <sz val="11"/>
        <color theme="1"/>
        <rFont val="ＭＳ Ｐゴシック"/>
        <family val="3"/>
        <charset val="134"/>
        <scheme val="minor"/>
      </rPr>
      <t>节</t>
    </r>
  </si>
  <si>
    <r>
      <t>福州大酉可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物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</si>
  <si>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白酒; 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</si>
  <si>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t>KUY LOVEE</t>
  </si>
  <si>
    <r>
      <t>中山市持恒酒</t>
    </r>
    <r>
      <rPr>
        <sz val="11"/>
        <color theme="1"/>
        <rFont val="ＭＳ Ｐゴシック"/>
        <family val="3"/>
        <charset val="134"/>
        <scheme val="minor"/>
      </rPr>
      <t>类贸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</si>
  <si>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白酒; 汽酒</t>
    </r>
  </si>
  <si>
    <t>御亨</t>
  </si>
  <si>
    <r>
      <t>祁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天人自然裕健健康管理有限公司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</si>
  <si>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薄荷酒;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</si>
  <si>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立宇清</t>
    </r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</si>
  <si>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投参茸酒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</si>
  <si>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</si>
  <si>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玉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媛</t>
    </r>
  </si>
  <si>
    <r>
      <t>宇源（北京）新能源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</si>
  <si>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葡萄酒; 薄荷酒; 白酒; 果酒（含酒精）; 含酒精的气泡水;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 xml:space="preserve">梅酒;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</si>
  <si>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MANHASTUN</t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</si>
  <si>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曼哈斯盾科技有限公司</t>
    </r>
  </si>
  <si>
    <r>
      <t xml:space="preserve">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</si>
  <si>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鉴</t>
    </r>
    <r>
      <rPr>
        <sz val="11"/>
        <color theme="1"/>
        <rFont val="ＭＳ Ｐゴシック"/>
        <family val="3"/>
        <charset val="128"/>
        <scheme val="minor"/>
      </rPr>
      <t>丹青</t>
    </r>
  </si>
  <si>
    <r>
      <t>乔</t>
    </r>
    <r>
      <rPr>
        <sz val="11"/>
        <color theme="1"/>
        <rFont val="ＭＳ Ｐゴシック"/>
        <family val="3"/>
        <charset val="128"/>
        <scheme val="minor"/>
      </rPr>
      <t>增燃</t>
    </r>
  </si>
  <si>
    <r>
      <t>白酒; 米酒; 烈酒;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清酒（日本米酒）; 葡萄酒; 果酒（含酒精）; 威士忌</t>
    </r>
  </si>
  <si>
    <t>云泉麦吧</t>
  </si>
  <si>
    <r>
      <t>白酒; 蜂蜜酒; 开胃酒; 清酒（日本米酒）; 蒸煮提取物（利口酒和烈酒）; 葡萄酒; 威士忌;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</si>
  <si>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银</t>
    </r>
    <r>
      <rPr>
        <sz val="11"/>
        <color theme="1"/>
        <rFont val="ＭＳ Ｐゴシック"/>
        <family val="3"/>
        <charset val="128"/>
        <scheme val="minor"/>
      </rPr>
      <t>汴煌子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</si>
  <si>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葡萄酒; 苦味酒;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餐后酒（利口酒和烈酒）; 青稞酒</t>
    </r>
  </si>
  <si>
    <t>千百嘉</t>
  </si>
  <si>
    <r>
      <t>青稞酒;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</si>
  <si>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r>
      <t>澳之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珠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</si>
  <si>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葡萄酒; 伏特加酒; 米酒;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</si>
  <si>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雷</t>
    </r>
    <r>
      <rPr>
        <sz val="11"/>
        <color theme="1"/>
        <rFont val="ＭＳ Ｐゴシック"/>
        <family val="3"/>
        <charset val="134"/>
        <scheme val="minor"/>
      </rPr>
      <t>电鲲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</si>
  <si>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雷</t>
    </r>
    <r>
      <rPr>
        <sz val="11"/>
        <color theme="1"/>
        <rFont val="ＭＳ Ｐゴシック"/>
        <family val="3"/>
        <charset val="134"/>
        <scheme val="minor"/>
      </rPr>
      <t>电鲲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</si>
  <si>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开胃酒; 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</t>
    </r>
  </si>
  <si>
    <t>都市烟火</t>
  </si>
  <si>
    <r>
      <t>瀚</t>
    </r>
    <r>
      <rPr>
        <sz val="11"/>
        <color theme="1"/>
        <rFont val="ＭＳ Ｐゴシック"/>
        <family val="3"/>
        <charset val="134"/>
        <scheme val="minor"/>
      </rPr>
      <t>库</t>
    </r>
    <r>
      <rPr>
        <sz val="11"/>
        <color theme="1"/>
        <rFont val="ＭＳ Ｐゴシック"/>
        <family val="3"/>
        <charset val="128"/>
        <scheme val="minor"/>
      </rPr>
      <t>（惠州市）网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</si>
  <si>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</t>
    </r>
  </si>
  <si>
    <r>
      <t>翠</t>
    </r>
    <r>
      <rPr>
        <sz val="11"/>
        <color theme="1"/>
        <rFont val="ＭＳ Ｐゴシック"/>
        <family val="3"/>
        <charset val="134"/>
        <scheme val="minor"/>
      </rPr>
      <t>语</t>
    </r>
  </si>
  <si>
    <t>汪倩</t>
  </si>
  <si>
    <r>
      <t xml:space="preserve">白酒;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高粱酒; 果酒（含酒精）; 米酒; 烈酒; 葡萄酒</t>
    </r>
  </si>
  <si>
    <r>
      <t>金</t>
    </r>
    <r>
      <rPr>
        <sz val="11"/>
        <color theme="1"/>
        <rFont val="ＭＳ Ｐゴシック"/>
        <family val="3"/>
        <charset val="134"/>
        <scheme val="minor"/>
      </rPr>
      <t>钻乐</t>
    </r>
  </si>
  <si>
    <r>
      <t>开胃酒;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</si>
  <si>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古</t>
    </r>
    <r>
      <rPr>
        <sz val="11"/>
        <color theme="1"/>
        <rFont val="ＭＳ Ｐゴシック"/>
        <family val="3"/>
        <charset val="134"/>
        <scheme val="minor"/>
      </rPr>
      <t>镇隐</t>
    </r>
  </si>
  <si>
    <r>
      <t>清酒;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黄酒; 白干酒（中国白酒）;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白酒; 甜酒</t>
    </r>
  </si>
  <si>
    <t>玄岳太极泉</t>
  </si>
  <si>
    <r>
      <t>湖北醉泉商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</si>
  <si>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餐后酒（利口酒和烈酒）;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</si>
  <si>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多米郎</t>
  </si>
  <si>
    <t>蒋仕明</t>
  </si>
  <si>
    <r>
      <t xml:space="preserve">汽酒; 白酒; 果酒（含酒精）;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</si>
  <si>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金字古</t>
  </si>
  <si>
    <r>
      <t>赵</t>
    </r>
    <r>
      <rPr>
        <sz val="11"/>
        <color theme="1"/>
        <rFont val="ＭＳ Ｐゴシック"/>
        <family val="3"/>
        <charset val="128"/>
        <scheme val="minor"/>
      </rPr>
      <t>光明</t>
    </r>
  </si>
  <si>
    <r>
      <t>食用酒精;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苹果酒;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</si>
  <si>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r>
      <t>贡</t>
    </r>
    <r>
      <rPr>
        <sz val="11"/>
        <color theme="1"/>
        <rFont val="ＭＳ Ｐゴシック"/>
        <family val="3"/>
        <charset val="128"/>
        <scheme val="minor"/>
      </rPr>
      <t>水河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</si>
  <si>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世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</si>
  <si>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蜂蜜酒; 黄酒; 果酒（含酒精）; 葡萄酒;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</si>
  <si>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克莱皇家</t>
  </si>
  <si>
    <r>
      <t>安阳酒在</t>
    </r>
    <r>
      <rPr>
        <sz val="11"/>
        <color theme="1"/>
        <rFont val="ＭＳ Ｐゴシック"/>
        <family val="3"/>
        <charset val="134"/>
        <scheme val="minor"/>
      </rPr>
      <t>线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</si>
  <si>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葡萄酒; 清酒（日本米酒）; 米酒</t>
    </r>
  </si>
  <si>
    <t>繁星雀</t>
  </si>
  <si>
    <t>刘斌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</si>
  <si>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苹果酒; 蜂蜜酒;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葡萄酒; 白酒</t>
    </r>
  </si>
  <si>
    <t>都蓉新</t>
  </si>
  <si>
    <r>
      <t>泸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赖</t>
    </r>
    <r>
      <rPr>
        <sz val="11"/>
        <color theme="1"/>
        <rFont val="ＭＳ Ｐゴシック"/>
        <family val="3"/>
        <charset val="128"/>
        <scheme val="minor"/>
      </rPr>
      <t>公酒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</si>
  <si>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食用酒精;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</si>
  <si>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t>粮粮王</t>
  </si>
  <si>
    <r>
      <t xml:space="preserve">白酒; 果酒（含酒精）; 葡萄酒;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蜂蜜酒; 米酒; 苹果酒; 梨酒;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</si>
  <si>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高粱酒; 利口酒;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</si>
  <si>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金豫煌子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</si>
  <si>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餐后酒（利口酒和烈酒）; 苦味酒;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青稞酒; 白酒; 葡萄酒</t>
    </r>
  </si>
  <si>
    <r>
      <t>吴均</t>
    </r>
    <r>
      <rPr>
        <sz val="11"/>
        <color theme="1"/>
        <rFont val="ＭＳ Ｐゴシック"/>
        <family val="3"/>
        <charset val="134"/>
        <scheme val="minor"/>
      </rPr>
      <t>论</t>
    </r>
  </si>
  <si>
    <r>
      <t xml:space="preserve">开胃酒; 白酒; 葡萄酒;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</t>
    </r>
  </si>
  <si>
    <r>
      <t>淮</t>
    </r>
    <r>
      <rPr>
        <sz val="11"/>
        <color theme="1"/>
        <rFont val="ＭＳ Ｐゴシック"/>
        <family val="3"/>
        <charset val="134"/>
        <scheme val="minor"/>
      </rPr>
      <t>扬龙</t>
    </r>
  </si>
  <si>
    <r>
      <t>梁金</t>
    </r>
    <r>
      <rPr>
        <sz val="11"/>
        <color theme="1"/>
        <rFont val="ＭＳ Ｐゴシック"/>
        <family val="3"/>
        <charset val="134"/>
        <scheme val="minor"/>
      </rPr>
      <t>琼</t>
    </r>
  </si>
  <si>
    <r>
      <t xml:space="preserve">威士忌; 米酒; 白酒; 开胃酒;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</si>
  <si>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桑</t>
    </r>
    <r>
      <rPr>
        <sz val="11"/>
        <color theme="1"/>
        <rFont val="ＭＳ Ｐゴシック"/>
        <family val="3"/>
        <charset val="134"/>
        <scheme val="minor"/>
      </rPr>
      <t>颂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</si>
  <si>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紫椹生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庄园有限公司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</si>
  <si>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利口酒;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</si>
  <si>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千</t>
    </r>
    <r>
      <rPr>
        <sz val="11"/>
        <color theme="1"/>
        <rFont val="ＭＳ Ｐゴシック"/>
        <family val="3"/>
        <charset val="134"/>
        <scheme val="minor"/>
      </rPr>
      <t>谣颂</t>
    </r>
  </si>
  <si>
    <r>
      <t>广州鼎一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</si>
  <si>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梨酒;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白酒</t>
    </r>
  </si>
  <si>
    <r>
      <t>岁</t>
    </r>
    <r>
      <rPr>
        <sz val="11"/>
        <color theme="1"/>
        <rFont val="ＭＳ Ｐゴシック"/>
        <family val="3"/>
        <charset val="128"/>
        <scheme val="minor"/>
      </rPr>
      <t>月志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</si>
  <si>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莞市梓邦机</t>
    </r>
    <r>
      <rPr>
        <sz val="11"/>
        <color theme="1"/>
        <rFont val="ＭＳ Ｐゴシック"/>
        <family val="3"/>
        <charset val="134"/>
        <scheme val="minor"/>
      </rPr>
      <t>电设备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</si>
  <si>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黄酒;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</si>
  <si>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咘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尼克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</si>
  <si>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杰</t>
    </r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</si>
  <si>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</si>
  <si>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t>北小禾</t>
  </si>
  <si>
    <t>吴振野</t>
  </si>
  <si>
    <r>
      <t>黄酒;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果酒; 葡萄酒; 苹果酒; 白酒</t>
    </r>
  </si>
  <si>
    <t>宴逍遥</t>
  </si>
  <si>
    <r>
      <t xml:space="preserve">葡萄酒;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酸酒（低等葡萄酒）;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</si>
  <si>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禧荣耀</t>
  </si>
  <si>
    <r>
      <t>青稞酒;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</si>
  <si>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青恋鹿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（浙江）生</t>
    </r>
    <r>
      <rPr>
        <sz val="11"/>
        <color theme="1"/>
        <rFont val="ＭＳ Ｐゴシック"/>
        <family val="3"/>
        <charset val="134"/>
        <scheme val="minor"/>
      </rPr>
      <t>态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</si>
  <si>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白酒; 果酒（含酒精）; 蜂蜜酒; 开胃酒;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</si>
  <si>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t>天酉州道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</si>
  <si>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利口酒; 米酒; 白酒; 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</t>
    </r>
  </si>
  <si>
    <t>美洞美</t>
  </si>
  <si>
    <r>
      <t>杨</t>
    </r>
    <r>
      <rPr>
        <sz val="11"/>
        <color theme="1"/>
        <rFont val="ＭＳ Ｐゴシック"/>
        <family val="3"/>
        <charset val="128"/>
        <scheme val="minor"/>
      </rPr>
      <t>家喜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</si>
  <si>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五加皮酒（中国混合烈酒）; 蒸煮提取物（利口酒和烈酒）; 白干酒（中国白酒）; 烈性干酒;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</si>
  <si>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常黑子</t>
  </si>
  <si>
    <r>
      <t>宁夏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麓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</si>
  <si>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</si>
  <si>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古尊池</t>
  </si>
  <si>
    <r>
      <t>应</t>
    </r>
    <r>
      <rPr>
        <sz val="11"/>
        <color theme="1"/>
        <rFont val="ＭＳ Ｐゴシック"/>
        <family val="3"/>
        <charset val="128"/>
        <scheme val="minor"/>
      </rPr>
      <t>智明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</si>
  <si>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米酒; 威士忌; 黄酒; 白酒;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果酒(含酒精)</t>
    </r>
  </si>
  <si>
    <t>吉松供</t>
  </si>
  <si>
    <r>
      <t>松原供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合</t>
    </r>
    <r>
      <rPr>
        <sz val="11"/>
        <color theme="1"/>
        <rFont val="ＭＳ Ｐゴシック"/>
        <family val="3"/>
        <charset val="134"/>
        <scheme val="minor"/>
      </rPr>
      <t>兴资产</t>
    </r>
    <r>
      <rPr>
        <sz val="11"/>
        <color theme="1"/>
        <rFont val="ＭＳ Ｐゴシック"/>
        <family val="3"/>
        <charset val="128"/>
        <scheme val="minor"/>
      </rPr>
      <t>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</si>
  <si>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烈酒;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梨酒</t>
    </r>
  </si>
  <si>
    <t>云坤水</t>
  </si>
  <si>
    <r>
      <t>北京市云坤水科技有限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</si>
  <si>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清酒（日本米酒）; 白酒</t>
    </r>
  </si>
  <si>
    <t>百帝皇</t>
  </si>
  <si>
    <r>
      <t>杨</t>
    </r>
    <r>
      <rPr>
        <sz val="11"/>
        <color theme="1"/>
        <rFont val="ＭＳ Ｐゴシック"/>
        <family val="3"/>
        <charset val="128"/>
        <scheme val="minor"/>
      </rPr>
      <t>宏安</t>
    </r>
  </si>
  <si>
    <r>
      <t>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茴香酒（利口酒）; 青稞酒; 伏特加酒; 葡萄酒; 果酒（含酒精）</t>
    </r>
  </si>
  <si>
    <r>
      <t>丰</t>
    </r>
    <r>
      <rPr>
        <sz val="11"/>
        <color theme="1"/>
        <rFont val="ＭＳ Ｐゴシック"/>
        <family val="3"/>
        <charset val="134"/>
        <scheme val="minor"/>
      </rPr>
      <t>兴陈</t>
    </r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</si>
  <si>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瑞盈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</si>
  <si>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高粱酒; 黄酒;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蝮蛇酒; 葡萄酒</t>
    </r>
  </si>
  <si>
    <r>
      <t>万寿</t>
    </r>
    <r>
      <rPr>
        <sz val="11"/>
        <color theme="1"/>
        <rFont val="ＭＳ Ｐゴシック"/>
        <family val="3"/>
        <charset val="134"/>
        <scheme val="minor"/>
      </rPr>
      <t>岛</t>
    </r>
  </si>
  <si>
    <t>朱影平</t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</si>
  <si>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</t>
    </r>
  </si>
  <si>
    <t>首拙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</si>
  <si>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威士忌; 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</si>
  <si>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t>广酉州礼</t>
  </si>
  <si>
    <r>
      <t>果酒（含酒精）; 葡萄酒; 汽酒; 白酒; 甜酒;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</si>
  <si>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友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客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</si>
  <si>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大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</si>
  <si>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</si>
  <si>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果岳</t>
  </si>
  <si>
    <r>
      <t>尚</t>
    </r>
    <r>
      <rPr>
        <sz val="11"/>
        <color theme="1"/>
        <rFont val="ＭＳ Ｐゴシック"/>
        <family val="3"/>
        <charset val="134"/>
        <scheme val="minor"/>
      </rPr>
      <t>义</t>
    </r>
    <r>
      <rPr>
        <sz val="11"/>
        <color theme="1"/>
        <rFont val="ＭＳ Ｐゴシック"/>
        <family val="3"/>
        <charset val="128"/>
        <scheme val="minor"/>
      </rPr>
      <t>京欧系欧李种植有限公司</t>
    </r>
  </si>
  <si>
    <r>
      <t>果酒;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利口酒; 黄酒</t>
    </r>
  </si>
  <si>
    <r>
      <t>龟</t>
    </r>
    <r>
      <rPr>
        <sz val="11"/>
        <color theme="1"/>
        <rFont val="ＭＳ Ｐゴシック"/>
        <family val="3"/>
        <charset val="128"/>
        <scheme val="minor"/>
      </rPr>
      <t>崎</t>
    </r>
  </si>
  <si>
    <t>酸酒（低等葡萄酒）; 清酒; 果酒（含酒精）; 梅酒; 米酒; 高粱酒; 甜酒; 白酒; 烈酒; 草莓酒</t>
  </si>
  <si>
    <t>仰都</t>
  </si>
  <si>
    <r>
      <t>杨</t>
    </r>
    <r>
      <rPr>
        <sz val="11"/>
        <color theme="1"/>
        <rFont val="ＭＳ Ｐゴシック"/>
        <family val="3"/>
        <charset val="128"/>
        <scheme val="minor"/>
      </rPr>
      <t>志</t>
    </r>
  </si>
  <si>
    <r>
      <t xml:space="preserve">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果酒（含酒精）; 黄酒</t>
    </r>
  </si>
  <si>
    <t>藏量</t>
  </si>
  <si>
    <t>冷俊杰</t>
  </si>
  <si>
    <r>
      <t xml:space="preserve">朗姆酒; 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 xml:space="preserve">力酒; 利口酒; 开胃酒; 葡萄酒; 苹果酒;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薄荷酒; 白酒</t>
    </r>
  </si>
  <si>
    <r>
      <t>碧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</si>
  <si>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白酒; 高粱酒; 葡萄酒; 黄酒;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</si>
  <si>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富迎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</si>
  <si>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果酒（含酒精）;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开胃酒</t>
    </r>
  </si>
  <si>
    <r>
      <t>悦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月</t>
    </r>
  </si>
  <si>
    <r>
      <t xml:space="preserve">青稞酒; 食用酒精; 果酒（含酒精）;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清酒（日本米酒）</t>
    </r>
  </si>
  <si>
    <t>ANZOOLIQUOR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</si>
  <si>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米酒; 开胃酒;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</si>
  <si>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LEVENTEN</t>
  </si>
  <si>
    <r>
      <t>广州市</t>
    </r>
    <r>
      <rPr>
        <sz val="11"/>
        <color theme="1"/>
        <rFont val="ＭＳ Ｐゴシック"/>
        <family val="3"/>
        <charset val="134"/>
        <scheme val="minor"/>
      </rPr>
      <t>陆</t>
    </r>
    <r>
      <rPr>
        <sz val="11"/>
        <color theme="1"/>
        <rFont val="ＭＳ Ｐゴシック"/>
        <family val="3"/>
        <charset val="128"/>
        <scheme val="minor"/>
      </rPr>
      <t>易通商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</si>
  <si>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白酒</t>
    </r>
  </si>
  <si>
    <r>
      <t>齐</t>
    </r>
    <r>
      <rPr>
        <sz val="11"/>
        <color theme="1"/>
        <rFont val="ＭＳ Ｐゴシック"/>
        <family val="3"/>
        <charset val="128"/>
        <scheme val="minor"/>
      </rPr>
      <t>酉州礼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</si>
  <si>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甜酒; 葡萄酒; 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</si>
  <si>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吉鑫元禾</t>
  </si>
  <si>
    <r>
      <t>安</t>
    </r>
    <r>
      <rPr>
        <sz val="11"/>
        <color theme="1"/>
        <rFont val="ＭＳ Ｐゴシック"/>
        <family val="3"/>
        <charset val="134"/>
        <scheme val="minor"/>
      </rPr>
      <t>泽县</t>
    </r>
    <r>
      <rPr>
        <sz val="11"/>
        <color theme="1"/>
        <rFont val="ＭＳ Ｐゴシック"/>
        <family val="3"/>
        <charset val="128"/>
        <scheme val="minor"/>
      </rPr>
      <t>国香茶叶</t>
    </r>
    <r>
      <rPr>
        <sz val="11"/>
        <color theme="1"/>
        <rFont val="ＭＳ Ｐゴシック"/>
        <family val="3"/>
        <charset val="134"/>
        <scheme val="minor"/>
      </rPr>
      <t>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</si>
  <si>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>露酒; 高粱酒; 白酒; 烈酒; 果酒;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</si>
  <si>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弘炬堂</t>
  </si>
  <si>
    <r>
      <t>查</t>
    </r>
    <r>
      <rPr>
        <sz val="11"/>
        <color theme="1"/>
        <rFont val="ＭＳ Ｐゴシック"/>
        <family val="3"/>
        <charset val="134"/>
        <scheme val="minor"/>
      </rPr>
      <t>刚见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</si>
  <si>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</t>
    </r>
  </si>
  <si>
    <t>宝帝皇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</si>
  <si>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青稞酒; 威士忌;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</t>
    </r>
  </si>
  <si>
    <r>
      <t>塘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牛</t>
    </r>
    <r>
      <rPr>
        <sz val="11"/>
        <color theme="1"/>
        <rFont val="ＭＳ Ｐゴシック"/>
        <family val="3"/>
        <charset val="134"/>
        <scheme val="minor"/>
      </rPr>
      <t>头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</si>
  <si>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门玮骏</t>
    </r>
    <r>
      <rPr>
        <sz val="11"/>
        <color theme="1"/>
        <rFont val="ＭＳ Ｐゴシック"/>
        <family val="3"/>
        <charset val="128"/>
        <scheme val="minor"/>
      </rPr>
      <t>家居用品有限公司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</si>
  <si>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白干酒（中国白酒）; 混合威士忌酒; 威士忌;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白葡萄酒; 白酒; 葡萄酒</t>
    </r>
  </si>
  <si>
    <t>淮掌柜</t>
  </si>
  <si>
    <r>
      <t xml:space="preserve">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果酒（含酒精）; 黄酒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</si>
  <si>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逍遥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</si>
  <si>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清酒（日本米酒）;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</si>
  <si>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果</t>
    </r>
    <r>
      <rPr>
        <sz val="11"/>
        <color theme="1"/>
        <rFont val="ＭＳ Ｐゴシック"/>
        <family val="3"/>
        <charset val="134"/>
        <scheme val="minor"/>
      </rPr>
      <t>挚</t>
    </r>
  </si>
  <si>
    <r>
      <t>清酒（日本米酒）;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</si>
  <si>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运双雄</t>
    </r>
  </si>
  <si>
    <t>徐永祥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</si>
  <si>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青梅酒; 清酒（日本米酒）; 高粱酒;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</si>
  <si>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小拇指</t>
  </si>
  <si>
    <r>
      <t>杭州小拇指汽</t>
    </r>
    <r>
      <rPr>
        <sz val="11"/>
        <color theme="1"/>
        <rFont val="ＭＳ Ｐゴシック"/>
        <family val="3"/>
        <charset val="134"/>
        <scheme val="minor"/>
      </rPr>
      <t>车</t>
    </r>
    <r>
      <rPr>
        <sz val="11"/>
        <color theme="1"/>
        <rFont val="ＭＳ Ｐゴシック"/>
        <family val="3"/>
        <charset val="128"/>
        <scheme val="minor"/>
      </rPr>
      <t>科技服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</si>
  <si>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t>白酒; 开胃酒; 天然汽酒; 威士忌; 葡萄酒; 薄荷酒; 果酒（含酒精）; 蜂蜜酒; 苹果酒; 黄酒</t>
  </si>
  <si>
    <t>桃珍</t>
  </si>
  <si>
    <r>
      <t>杨</t>
    </r>
    <r>
      <rPr>
        <sz val="11"/>
        <color theme="1"/>
        <rFont val="ＭＳ Ｐゴシック"/>
        <family val="3"/>
        <charset val="128"/>
        <scheme val="minor"/>
      </rPr>
      <t>桃珍</t>
    </r>
  </si>
  <si>
    <r>
      <t>米酒; 果酒（含酒精）; 利口酒;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</si>
  <si>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>观风</t>
    </r>
    <r>
      <rPr>
        <sz val="11"/>
        <color theme="1"/>
        <rFont val="ＭＳ Ｐゴシック"/>
        <family val="3"/>
        <charset val="128"/>
        <scheme val="minor"/>
      </rPr>
      <t>雅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</si>
  <si>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旖旎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</si>
  <si>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食用酒精;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</si>
  <si>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BEIIU</t>
  </si>
  <si>
    <r>
      <t>广州云商圈网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</si>
  <si>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葡萄酒; 清酒;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</si>
  <si>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t>尚匠王子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</si>
  <si>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</t>
    </r>
    <r>
      <rPr>
        <sz val="11"/>
        <color theme="1"/>
        <rFont val="ＭＳ Ｐゴシック"/>
        <family val="3"/>
        <charset val="134"/>
        <scheme val="minor"/>
      </rPr>
      <t>诚华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</si>
  <si>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青梅酒;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含酒精的气泡水; 白干酒（中国白酒）; 开胃酒</t>
    </r>
  </si>
  <si>
    <t>好道之君</t>
  </si>
  <si>
    <r>
      <t>杨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</si>
  <si>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葡萄酒; 开胃酒; 甜果酒;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</si>
  <si>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昆</t>
    </r>
    <r>
      <rPr>
        <sz val="11"/>
        <color theme="1"/>
        <rFont val="ＭＳ Ｐゴシック"/>
        <family val="3"/>
        <charset val="134"/>
        <scheme val="minor"/>
      </rPr>
      <t>仑</t>
    </r>
    <r>
      <rPr>
        <sz val="11"/>
        <color theme="1"/>
        <rFont val="ＭＳ Ｐゴシック"/>
        <family val="3"/>
        <charset val="128"/>
        <scheme val="minor"/>
      </rPr>
      <t>榜</t>
    </r>
  </si>
  <si>
    <r>
      <t>果酒(含酒精);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威士忌; 葡萄酒; 米酒; 白酒;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甜酒</t>
    </r>
  </si>
  <si>
    <r>
      <t>郡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</si>
  <si>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晏</t>
    </r>
    <r>
      <rPr>
        <sz val="11"/>
        <color theme="1"/>
        <rFont val="ＭＳ Ｐゴシック"/>
        <family val="3"/>
        <charset val="129"/>
        <scheme val="minor"/>
      </rPr>
      <t>强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</si>
  <si>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 xml:space="preserve">米酒;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清酒（日本米酒）;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威士忌; 白酒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</si>
  <si>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纽</t>
    </r>
    <r>
      <rPr>
        <sz val="11"/>
        <color theme="1"/>
        <rFont val="ＭＳ Ｐゴシック"/>
        <family val="3"/>
        <charset val="128"/>
        <scheme val="minor"/>
      </rPr>
      <t>灵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</si>
  <si>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混合威士忌酒;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</si>
  <si>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葚</t>
    </r>
    <r>
      <rPr>
        <sz val="11"/>
        <color theme="1"/>
        <rFont val="ＭＳ Ｐゴシック"/>
        <family val="3"/>
        <charset val="134"/>
        <scheme val="minor"/>
      </rPr>
      <t>归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</si>
  <si>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利口酒; 果酒（含酒精）;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</si>
  <si>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中首盛世</t>
    </r>
    <r>
      <rPr>
        <sz val="11"/>
        <color theme="1"/>
        <rFont val="ＭＳ Ｐゴシック"/>
        <family val="3"/>
        <charset val="134"/>
        <scheme val="minor"/>
      </rPr>
      <t>华诞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</si>
  <si>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甜果酒; 黄酒; 白酒;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</si>
  <si>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茴小二</t>
  </si>
  <si>
    <r>
      <t>广西睿千投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</si>
  <si>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 xml:space="preserve">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烈酒</t>
    </r>
  </si>
  <si>
    <t>雪之音</t>
  </si>
  <si>
    <r>
      <t xml:space="preserve">葡萄酒; 蜂蜜酒; 白酒; 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</si>
  <si>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梦天酉礼</t>
  </si>
  <si>
    <r>
      <t>葡萄酒;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</t>
    </r>
  </si>
  <si>
    <r>
      <t>归</t>
    </r>
    <r>
      <rPr>
        <sz val="11"/>
        <color theme="1"/>
        <rFont val="ＭＳ Ｐゴシック"/>
        <family val="3"/>
        <charset val="128"/>
        <scheme val="minor"/>
      </rPr>
      <t>心</t>
    </r>
    <r>
      <rPr>
        <sz val="11"/>
        <color theme="1"/>
        <rFont val="ＭＳ Ｐゴシック"/>
        <family val="3"/>
        <charset val="134"/>
        <scheme val="minor"/>
      </rPr>
      <t>时</t>
    </r>
    <r>
      <rPr>
        <sz val="11"/>
        <color theme="1"/>
        <rFont val="ＭＳ Ｐゴシック"/>
        <family val="3"/>
        <charset val="128"/>
        <scheme val="minor"/>
      </rPr>
      <t>养</t>
    </r>
  </si>
  <si>
    <r>
      <t>娜畹面（无</t>
    </r>
    <r>
      <rPr>
        <sz val="11"/>
        <color theme="1"/>
        <rFont val="ＭＳ Ｐゴシック"/>
        <family val="3"/>
        <charset val="134"/>
        <scheme val="minor"/>
      </rPr>
      <t>锡</t>
    </r>
    <r>
      <rPr>
        <sz val="11"/>
        <color theme="1"/>
        <rFont val="ＭＳ Ｐゴシック"/>
        <family val="3"/>
        <charset val="128"/>
        <scheme val="minor"/>
      </rPr>
      <t>）餐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</si>
  <si>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蒸煮提取物（利口酒和烈酒）; 青稞酒; 果酒（含酒精）;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</si>
  <si>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乡</t>
    </r>
    <r>
      <rPr>
        <sz val="11"/>
        <color theme="1"/>
        <rFont val="ＭＳ Ｐゴシック"/>
        <family val="3"/>
        <charset val="128"/>
        <scheme val="minor"/>
      </rPr>
      <t>匠心</t>
    </r>
  </si>
  <si>
    <r>
      <t>葡萄酒; 伏特加酒;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</si>
  <si>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中首当今盛世</t>
  </si>
  <si>
    <r>
      <t>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甜果酒; 白酒</t>
    </r>
  </si>
  <si>
    <r>
      <t>为</t>
    </r>
    <r>
      <rPr>
        <sz val="11"/>
        <color theme="1"/>
        <rFont val="ＭＳ Ｐゴシック"/>
        <family val="3"/>
        <charset val="128"/>
        <scheme val="minor"/>
      </rPr>
      <t>邦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</si>
  <si>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甜酒; 葡萄酒; 米酒; 黄酒; 果酒(含酒精); 白酒;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</t>
    </r>
  </si>
  <si>
    <t>王自省</t>
  </si>
  <si>
    <r>
      <t>成都自省网</t>
    </r>
    <r>
      <rPr>
        <sz val="11"/>
        <color theme="1"/>
        <rFont val="ＭＳ Ｐゴシック"/>
        <family val="3"/>
        <charset val="134"/>
        <scheme val="minor"/>
      </rPr>
      <t>络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</si>
  <si>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葡萄酒; 米酒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</si>
  <si>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娘子</t>
    </r>
  </si>
  <si>
    <r>
      <t>徐州第壹</t>
    </r>
    <r>
      <rPr>
        <sz val="11"/>
        <color theme="1"/>
        <rFont val="ＭＳ Ｐゴシック"/>
        <family val="3"/>
        <charset val="134"/>
        <scheme val="minor"/>
      </rPr>
      <t>凤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</si>
  <si>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蒸煮提取物（利口酒和烈酒）;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苦味酒;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</t>
    </r>
  </si>
  <si>
    <r>
      <t>始</t>
    </r>
    <r>
      <rPr>
        <sz val="11"/>
        <color theme="1"/>
        <rFont val="ＭＳ Ｐゴシック"/>
        <family val="3"/>
        <charset val="134"/>
        <scheme val="minor"/>
      </rPr>
      <t>见</t>
    </r>
    <r>
      <rPr>
        <sz val="11"/>
        <color theme="1"/>
        <rFont val="ＭＳ Ｐゴシック"/>
        <family val="3"/>
        <charset val="128"/>
        <scheme val="minor"/>
      </rPr>
      <t>真</t>
    </r>
  </si>
  <si>
    <r>
      <t xml:space="preserve">清酒;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高粱酒;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</t>
    </r>
  </si>
  <si>
    <r>
      <t>正香</t>
    </r>
    <r>
      <rPr>
        <sz val="11"/>
        <color theme="1"/>
        <rFont val="ＭＳ Ｐゴシック"/>
        <family val="3"/>
        <charset val="134"/>
        <scheme val="minor"/>
      </rPr>
      <t>见</t>
    </r>
  </si>
  <si>
    <r>
      <t>四川蜀之坊酒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</si>
  <si>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开胃酒; 蜂蜜酒; 米酒; 青稞酒;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柑香酒; 利口酒;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果酒（含酒精）</t>
    </r>
  </si>
  <si>
    <r>
      <t>中首盛世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夏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</si>
  <si>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</si>
  <si>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HI FUNNNNNY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</si>
  <si>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莞市物岸玩文化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</si>
  <si>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青稞酒;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威士忌; 朗姆酒; 伏特加酒; 白酒; 清酒（日本米酒）</t>
    </r>
  </si>
  <si>
    <r>
      <t>祖</t>
    </r>
    <r>
      <rPr>
        <sz val="11"/>
        <color theme="1"/>
        <rFont val="ＭＳ Ｐゴシック"/>
        <family val="3"/>
        <charset val="134"/>
        <scheme val="minor"/>
      </rPr>
      <t>龙凤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</si>
  <si>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青稞酒;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</t>
    </r>
  </si>
  <si>
    <r>
      <t>鑫</t>
    </r>
    <r>
      <rPr>
        <sz val="11"/>
        <color theme="1"/>
        <rFont val="ＭＳ Ｐゴシック"/>
        <family val="3"/>
        <charset val="134"/>
        <scheme val="minor"/>
      </rPr>
      <t>忆</t>
    </r>
    <r>
      <rPr>
        <sz val="11"/>
        <color theme="1"/>
        <rFont val="ＭＳ Ｐゴシック"/>
        <family val="3"/>
        <charset val="128"/>
        <scheme val="minor"/>
      </rPr>
      <t>森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</si>
  <si>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台市惠得利商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</si>
  <si>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蜂蜜酒; 白酒; 果酒（含酒精）;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</si>
  <si>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共</t>
    </r>
    <r>
      <rPr>
        <sz val="11"/>
        <color theme="1"/>
        <rFont val="ＭＳ Ｐゴシック"/>
        <family val="3"/>
        <charset val="134"/>
        <scheme val="minor"/>
      </rPr>
      <t>浓</t>
    </r>
  </si>
  <si>
    <r>
      <t>米酒; 白酒;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果酒(含酒精); 甜酒;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</si>
  <si>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陇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塬</t>
    </r>
    <r>
      <rPr>
        <sz val="11"/>
        <color theme="1"/>
        <rFont val="ＭＳ Ｐゴシック"/>
        <family val="3"/>
        <charset val="128"/>
        <scheme val="minor"/>
      </rPr>
      <t xml:space="preserve"> 珍品</t>
    </r>
  </si>
  <si>
    <r>
      <t>兰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绿</t>
    </r>
    <r>
      <rPr>
        <sz val="11"/>
        <color theme="1"/>
        <rFont val="ＭＳ Ｐゴシック"/>
        <family val="3"/>
        <charset val="128"/>
        <scheme val="minor"/>
      </rPr>
      <t>地源商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</si>
  <si>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青梅酒; 苦</t>
    </r>
    <r>
      <rPr>
        <sz val="11"/>
        <color theme="1"/>
        <rFont val="ＭＳ Ｐゴシック"/>
        <family val="3"/>
        <charset val="134"/>
        <scheme val="minor"/>
      </rPr>
      <t>荞</t>
    </r>
    <r>
      <rPr>
        <sz val="11"/>
        <color theme="1"/>
        <rFont val="ＭＳ Ｐゴシック"/>
        <family val="3"/>
        <charset val="128"/>
        <scheme val="minor"/>
      </rPr>
      <t xml:space="preserve">酒; 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白酒; 黄酒; 米酒; 青稞酒; 葡萄酒; 白葡萄酒</t>
    </r>
  </si>
  <si>
    <t>UNICE DMN</t>
  </si>
  <si>
    <t>杭州壹零好美科技有限公司</t>
  </si>
  <si>
    <r>
      <t xml:space="preserve">米酒; 含酒精的气泡水;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白酒; 清酒（日本米酒）;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葡萄酒</t>
    </r>
  </si>
  <si>
    <t>JIKANBU</t>
  </si>
  <si>
    <r>
      <t>吉堪布（云南）国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</si>
  <si>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利口酒; 蜂蜜酒;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青梅酒; 白酒;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</si>
  <si>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r>
      <t>芳姊佳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</si>
  <si>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梁</t>
    </r>
    <r>
      <rPr>
        <sz val="11"/>
        <color theme="1"/>
        <rFont val="ＭＳ Ｐゴシック"/>
        <family val="3"/>
        <charset val="134"/>
        <scheme val="minor"/>
      </rPr>
      <t>连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</si>
  <si>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开胃酒;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果酒（含酒精）</t>
    </r>
  </si>
  <si>
    <t>室季</t>
  </si>
  <si>
    <r>
      <t>杭州未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医</t>
    </r>
    <r>
      <rPr>
        <sz val="11"/>
        <color theme="1"/>
        <rFont val="ＭＳ Ｐゴシック"/>
        <family val="3"/>
        <charset val="134"/>
        <scheme val="minor"/>
      </rPr>
      <t>疗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</si>
  <si>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开胃酒; 白酒; 青稞酒;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清酒（日本米酒）; 葡萄酒;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</si>
  <si>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幽馥金香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</si>
  <si>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葡萄酒;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蒸煮提取物（利口酒和烈酒）; 米酒; 黄酒; 汽酒; 食用酒精; 白酒</t>
    </r>
  </si>
  <si>
    <r>
      <t>水雕旅</t>
    </r>
    <r>
      <rPr>
        <sz val="11"/>
        <color theme="1"/>
        <rFont val="ＭＳ Ｐゴシック"/>
        <family val="3"/>
        <charset val="129"/>
        <scheme val="minor"/>
      </rPr>
      <t>屾</t>
    </r>
  </si>
  <si>
    <r>
      <t>四川</t>
    </r>
    <r>
      <rPr>
        <sz val="11"/>
        <color theme="1"/>
        <rFont val="ＭＳ Ｐゴシック"/>
        <family val="3"/>
        <charset val="134"/>
        <scheme val="minor"/>
      </rPr>
      <t>浓</t>
    </r>
    <r>
      <rPr>
        <sz val="11"/>
        <color theme="1"/>
        <rFont val="ＭＳ Ｐゴシック"/>
        <family val="3"/>
        <charset val="128"/>
        <scheme val="minor"/>
      </rPr>
      <t>墨文化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</si>
  <si>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果酒（含酒精）; 甜果酒;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柑香酒; 水果汽酒;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甜酒; 白酒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</si>
  <si>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祥光</t>
    </r>
  </si>
  <si>
    <r>
      <t xml:space="preserve">白酒;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</si>
  <si>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城</t>
    </r>
  </si>
  <si>
    <r>
      <t>苏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韵</t>
    </r>
    <r>
      <rPr>
        <sz val="11"/>
        <color theme="1"/>
        <rFont val="ＭＳ Ｐゴシック"/>
        <family val="3"/>
        <charset val="134"/>
        <scheme val="minor"/>
      </rPr>
      <t>斋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</si>
  <si>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苹果酒;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葡萄酒; 米酒; 黄酒</t>
    </r>
  </si>
  <si>
    <r>
      <t>初</t>
    </r>
    <r>
      <rPr>
        <sz val="11"/>
        <color theme="1"/>
        <rFont val="ＭＳ Ｐゴシック"/>
        <family val="3"/>
        <charset val="134"/>
        <scheme val="minor"/>
      </rPr>
      <t>觞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</si>
  <si>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苹果酒; 白酒;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</si>
  <si>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GOOAFOSS</t>
  </si>
  <si>
    <r>
      <t>江西潮望投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</si>
  <si>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蜂蜜酒;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白酒;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</si>
  <si>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匠王福</t>
  </si>
  <si>
    <r>
      <t>蜂蜜酒; 白酒; 清酒（日本米酒）;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</si>
  <si>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小微嘉山</t>
  </si>
  <si>
    <r>
      <t>安徽省恒逸</t>
    </r>
    <r>
      <rPr>
        <sz val="11"/>
        <color theme="1"/>
        <rFont val="ＭＳ Ｐゴシック"/>
        <family val="3"/>
        <charset val="134"/>
        <scheme val="minor"/>
      </rPr>
      <t>项</t>
    </r>
    <r>
      <rPr>
        <sz val="11"/>
        <color theme="1"/>
        <rFont val="ＭＳ Ｐゴシック"/>
        <family val="3"/>
        <charset val="128"/>
        <scheme val="minor"/>
      </rPr>
      <t>目管理有限公司</t>
    </r>
  </si>
  <si>
    <r>
      <t>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甜酒; 清酒（日本米酒）; 果酒（含酒精）; 葡萄酒</t>
    </r>
  </si>
  <si>
    <r>
      <t>跃</t>
    </r>
    <r>
      <rPr>
        <sz val="11"/>
        <color theme="1"/>
        <rFont val="ＭＳ Ｐゴシック"/>
        <family val="3"/>
        <charset val="128"/>
        <scheme val="minor"/>
      </rPr>
      <t>取</t>
    </r>
  </si>
  <si>
    <r>
      <t>广州中杰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</si>
  <si>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清酒（日本米酒）;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黄酒</t>
    </r>
  </si>
  <si>
    <t>元渡</t>
  </si>
  <si>
    <r>
      <t xml:space="preserve">清酒（日本米酒）;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果酒（含酒精）; 威士忌;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开胃酒</t>
    </r>
  </si>
  <si>
    <t>椹道</t>
  </si>
  <si>
    <t>河北碧泉山庄生物科技有限公司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</si>
  <si>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伏特加酒; 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</si>
  <si>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里序</t>
  </si>
  <si>
    <t>杭州里家品牌管理有限公司</t>
  </si>
  <si>
    <r>
      <t>黄酒; 果酒（含酒精）;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白酒; 开胃酒;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</si>
  <si>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林之灵 L.Z.LING</t>
  </si>
  <si>
    <r>
      <t>吉林省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悦文化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</si>
  <si>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青稞酒</t>
    </r>
  </si>
  <si>
    <t>金香雪</t>
  </si>
  <si>
    <r>
      <t xml:space="preserve">葡萄酒; 烈酒; 黄酒; 白酒; 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</t>
    </r>
  </si>
  <si>
    <r>
      <t>粤</t>
    </r>
    <r>
      <rPr>
        <sz val="11"/>
        <color theme="1"/>
        <rFont val="ＭＳ Ｐゴシック"/>
        <family val="3"/>
        <charset val="134"/>
        <scheme val="minor"/>
      </rPr>
      <t>龙巅</t>
    </r>
  </si>
  <si>
    <t>梁平元</t>
  </si>
  <si>
    <r>
      <t>米酒; 黄酒;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清酒; 利口酒; 白酒</t>
    </r>
  </si>
  <si>
    <t>融韵通</t>
  </si>
  <si>
    <r>
      <t>平和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知行合一茶厂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</si>
  <si>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</si>
  <si>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梦天</t>
    </r>
    <r>
      <rPr>
        <sz val="11"/>
        <color theme="1"/>
        <rFont val="ＭＳ Ｐゴシック"/>
        <family val="3"/>
        <charset val="134"/>
        <scheme val="minor"/>
      </rPr>
      <t>贺</t>
    </r>
    <r>
      <rPr>
        <sz val="11"/>
        <color theme="1"/>
        <rFont val="ＭＳ Ｐゴシック"/>
        <family val="3"/>
        <charset val="128"/>
        <scheme val="minor"/>
      </rPr>
      <t>李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</si>
  <si>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汽酒; 利口酒; 果酒（含酒精）; 白酒; 甜酒; 葡萄酒</t>
    </r>
  </si>
  <si>
    <r>
      <t>威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博</t>
    </r>
  </si>
  <si>
    <r>
      <t>河</t>
    </r>
    <r>
      <rPr>
        <sz val="11"/>
        <color theme="1"/>
        <rFont val="ＭＳ Ｐゴシック"/>
        <family val="3"/>
        <charset val="134"/>
        <scheme val="minor"/>
      </rPr>
      <t>钢</t>
    </r>
    <r>
      <rPr>
        <sz val="11"/>
        <color theme="1"/>
        <rFont val="ＭＳ Ｐゴシック"/>
        <family val="3"/>
        <charset val="128"/>
        <scheme val="minor"/>
      </rPr>
      <t>数字技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</si>
  <si>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威士忌; 酸酒（低等葡萄酒）;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</si>
  <si>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悟深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</si>
  <si>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清酒（日本米酒）; 米酒; 伏特加酒;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</t>
    </r>
  </si>
  <si>
    <t>隆千年</t>
  </si>
  <si>
    <r>
      <t>刘学</t>
    </r>
    <r>
      <rPr>
        <sz val="11"/>
        <color theme="1"/>
        <rFont val="ＭＳ Ｐゴシック"/>
        <family val="3"/>
        <charset val="134"/>
        <scheme val="minor"/>
      </rPr>
      <t>兰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</si>
  <si>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黄酒; 葡萄酒; 果酒;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</si>
  <si>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积转</t>
    </r>
    <r>
      <rPr>
        <sz val="11"/>
        <color theme="1"/>
        <rFont val="ＭＳ Ｐゴシック"/>
        <family val="3"/>
        <charset val="128"/>
        <scheme val="minor"/>
      </rPr>
      <t>无限</t>
    </r>
  </si>
  <si>
    <r>
      <t>厦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鑫</t>
    </r>
    <r>
      <rPr>
        <sz val="11"/>
        <color theme="1"/>
        <rFont val="ＭＳ Ｐゴシック"/>
        <family val="3"/>
        <charset val="134"/>
        <scheme val="minor"/>
      </rPr>
      <t>鹭鸿</t>
    </r>
    <r>
      <rPr>
        <sz val="11"/>
        <color theme="1"/>
        <rFont val="ＭＳ Ｐゴシック"/>
        <family val="3"/>
        <charset val="128"/>
        <scheme val="minor"/>
      </rPr>
      <t>源信息技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</si>
  <si>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食用酒精; 葡萄酒; 威士忌;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</si>
  <si>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白礼西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</si>
  <si>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白礼西上品</t>
    </r>
    <r>
      <rPr>
        <sz val="11"/>
        <color theme="1"/>
        <rFont val="ＭＳ Ｐゴシック"/>
        <family val="3"/>
        <charset val="134"/>
        <scheme val="minor"/>
      </rPr>
      <t>营销</t>
    </r>
    <r>
      <rPr>
        <sz val="11"/>
        <color theme="1"/>
        <rFont val="ＭＳ Ｐゴシック"/>
        <family val="3"/>
        <charset val="128"/>
        <scheme val="minor"/>
      </rPr>
      <t>策划有限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</si>
  <si>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果酒（含酒精）; 米酒; 白酒; 五加皮酒（中国混合烈酒）;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</si>
  <si>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寒</t>
    </r>
    <r>
      <rPr>
        <sz val="11"/>
        <color theme="1"/>
        <rFont val="ＭＳ Ｐゴシック"/>
        <family val="3"/>
        <charset val="134"/>
        <scheme val="minor"/>
      </rPr>
      <t>彻</t>
    </r>
  </si>
  <si>
    <r>
      <t>安徽妙可威医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</si>
  <si>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 xml:space="preserve">烈酒;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不起泡葡萄酒;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利口酒; 葡萄酒; 白葡萄酒;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白酒</t>
    </r>
  </si>
  <si>
    <t>LEVMAG</t>
  </si>
  <si>
    <r>
      <t>炽</t>
    </r>
    <r>
      <rPr>
        <sz val="11"/>
        <color theme="1"/>
        <rFont val="ＭＳ Ｐゴシック"/>
        <family val="3"/>
        <charset val="128"/>
        <scheme val="minor"/>
      </rPr>
      <t>笔美学（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莞市）</t>
    </r>
    <r>
      <rPr>
        <sz val="11"/>
        <color theme="1"/>
        <rFont val="ＭＳ Ｐゴシック"/>
        <family val="3"/>
        <charset val="134"/>
        <scheme val="minor"/>
      </rPr>
      <t>设计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</si>
  <si>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</si>
  <si>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纯</t>
    </r>
    <r>
      <rPr>
        <sz val="11"/>
        <color theme="1"/>
        <rFont val="ＭＳ Ｐゴシック"/>
        <family val="3"/>
        <charset val="128"/>
        <scheme val="minor"/>
      </rPr>
      <t>宇</t>
    </r>
  </si>
  <si>
    <r>
      <t>广州醇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然乳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</si>
  <si>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威士忌</t>
    </r>
  </si>
  <si>
    <t>西湖坎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</si>
  <si>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威士忌;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</si>
  <si>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r>
      <t>秦</t>
    </r>
    <r>
      <rPr>
        <sz val="11"/>
        <color theme="1"/>
        <rFont val="ＭＳ Ｐゴシック"/>
        <family val="3"/>
        <charset val="134"/>
        <scheme val="minor"/>
      </rPr>
      <t>饮飞觞</t>
    </r>
  </si>
  <si>
    <r>
      <t>西安大秦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</si>
  <si>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白酒</t>
    </r>
  </si>
  <si>
    <t>观忆</t>
  </si>
  <si>
    <r>
      <t>赵</t>
    </r>
    <r>
      <rPr>
        <sz val="11"/>
        <color theme="1"/>
        <rFont val="ＭＳ Ｐゴシック"/>
        <family val="3"/>
        <charset val="128"/>
        <scheme val="minor"/>
      </rPr>
      <t>小</t>
    </r>
    <r>
      <rPr>
        <sz val="11"/>
        <color theme="1"/>
        <rFont val="ＭＳ Ｐゴシック"/>
        <family val="3"/>
        <charset val="134"/>
        <scheme val="minor"/>
      </rPr>
      <t>丽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</si>
  <si>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果酒（含酒精）; 清酒（日本米酒）;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</si>
  <si>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伏威利</t>
  </si>
  <si>
    <t>刘涵宇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</si>
  <si>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黄酒; 清酒（日本米酒）;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果酒;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</si>
  <si>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荻花洲</t>
  </si>
  <si>
    <r>
      <t>四川丰中泰商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</si>
  <si>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蜂蜜酒;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白酒; 高粱酒; 果酒; 米酒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</si>
  <si>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晨</t>
    </r>
    <r>
      <rPr>
        <sz val="11"/>
        <color theme="1"/>
        <rFont val="ＭＳ Ｐゴシック"/>
        <family val="3"/>
        <charset val="134"/>
        <scheme val="minor"/>
      </rPr>
      <t>烨轴</t>
    </r>
    <r>
      <rPr>
        <sz val="11"/>
        <color theme="1"/>
        <rFont val="ＭＳ Ｐゴシック"/>
        <family val="3"/>
        <charset val="128"/>
        <scheme val="minor"/>
      </rPr>
      <t>承科技有限公司</t>
    </r>
  </si>
  <si>
    <r>
      <t>清酒;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米酒; 果酒; 利口酒;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</si>
  <si>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IVOA</t>
  </si>
  <si>
    <r>
      <t>娇</t>
    </r>
    <r>
      <rPr>
        <sz val="11"/>
        <color theme="1"/>
        <rFont val="ＭＳ Ｐゴシック"/>
        <family val="3"/>
        <charset val="128"/>
        <scheme val="minor"/>
      </rPr>
      <t>子花园化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</si>
  <si>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>开胃酒; 米酒; 日本梅子酒;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白干酒（中国白酒）; 黄酒</t>
    </r>
  </si>
  <si>
    <r>
      <t>寻</t>
    </r>
    <r>
      <rPr>
        <sz val="11"/>
        <color theme="1"/>
        <rFont val="ＭＳ Ｐゴシック"/>
        <family val="3"/>
        <charset val="128"/>
        <scheme val="minor"/>
      </rPr>
      <t>壹田</t>
    </r>
  </si>
  <si>
    <r>
      <t>柳州市星</t>
    </r>
    <r>
      <rPr>
        <sz val="11"/>
        <color theme="1"/>
        <rFont val="ＭＳ Ｐゴシック"/>
        <family val="3"/>
        <charset val="134"/>
        <scheme val="minor"/>
      </rPr>
      <t>贝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</si>
  <si>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黄酒; 果酒（含酒精）; 伏特加酒</t>
    </r>
  </si>
  <si>
    <t>君安元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</si>
  <si>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荣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达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</si>
  <si>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葡萄酒; 白酒;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米酒; 清酒（日本米酒）;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</si>
  <si>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秦天冠</t>
  </si>
  <si>
    <t>刘燕</t>
  </si>
  <si>
    <r>
      <t xml:space="preserve">白酒;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</si>
  <si>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品养</t>
    </r>
    <r>
      <rPr>
        <sz val="11"/>
        <color theme="1"/>
        <rFont val="ＭＳ Ｐゴシック"/>
        <family val="3"/>
        <charset val="134"/>
        <scheme val="minor"/>
      </rPr>
      <t>狮</t>
    </r>
  </si>
  <si>
    <r>
      <t>禾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</si>
  <si>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食用酒精;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</si>
  <si>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祖娜</t>
    </r>
    <r>
      <rPr>
        <sz val="11"/>
        <color theme="1"/>
        <rFont val="ＭＳ Ｐゴシック"/>
        <family val="3"/>
        <charset val="134"/>
        <scheme val="minor"/>
      </rPr>
      <t>尔</t>
    </r>
  </si>
  <si>
    <r>
      <t>新疆广鑫达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</si>
  <si>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白酒; 葡萄酒; 清酒（日本米酒）;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</si>
  <si>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袁家婆</t>
  </si>
  <si>
    <r>
      <t>四川三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五企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</si>
  <si>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薄荷酒; 食用酒精; 黄酒; 威士忌; 葡萄酒;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</si>
  <si>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徐晃</t>
  </si>
  <si>
    <r>
      <t>郸</t>
    </r>
    <r>
      <rPr>
        <sz val="11"/>
        <color theme="1"/>
        <rFont val="ＭＳ Ｐゴシック"/>
        <family val="3"/>
        <charset val="128"/>
        <scheme val="minor"/>
      </rPr>
      <t>城</t>
    </r>
    <r>
      <rPr>
        <sz val="11"/>
        <color theme="1"/>
        <rFont val="ＭＳ Ｐゴシック"/>
        <family val="3"/>
        <charset val="134"/>
        <scheme val="minor"/>
      </rPr>
      <t>县陈飘钊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店</t>
    </r>
  </si>
  <si>
    <r>
      <t>威士忌; 食用酒精;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</t>
    </r>
  </si>
  <si>
    <r>
      <t>北京上</t>
    </r>
    <r>
      <rPr>
        <sz val="11"/>
        <color theme="1"/>
        <rFont val="ＭＳ Ｐゴシック"/>
        <family val="3"/>
        <charset val="134"/>
        <scheme val="minor"/>
      </rPr>
      <t>观</t>
    </r>
    <r>
      <rPr>
        <sz val="11"/>
        <color theme="1"/>
        <rFont val="ＭＳ Ｐゴシック"/>
        <family val="3"/>
        <charset val="128"/>
        <scheme val="minor"/>
      </rPr>
      <t>塘文化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播有限公司</t>
    </r>
  </si>
  <si>
    <r>
      <t xml:space="preserve">威士忌;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白酒</t>
    </r>
  </si>
  <si>
    <r>
      <t>涵</t>
    </r>
    <r>
      <rPr>
        <sz val="11"/>
        <color theme="1"/>
        <rFont val="ＭＳ Ｐゴシック"/>
        <family val="3"/>
        <charset val="134"/>
        <scheme val="minor"/>
      </rPr>
      <t>纳</t>
    </r>
  </si>
  <si>
    <t>大布</t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</si>
  <si>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米酒; 黄酒; 伏特加酒;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</si>
  <si>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朴室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</si>
  <si>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延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朴会</t>
    </r>
    <r>
      <rPr>
        <sz val="11"/>
        <color theme="1"/>
        <rFont val="ＭＳ Ｐゴシック"/>
        <family val="3"/>
        <charset val="134"/>
        <scheme val="minor"/>
      </rPr>
      <t>长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</si>
  <si>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果酒（含酒精）; 白酒;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</si>
  <si>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扬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春茶媛餐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</si>
  <si>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果酒（含酒精）; 甜酒; 葡萄酒; 米酒;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</si>
  <si>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义庆</t>
    </r>
    <r>
      <rPr>
        <sz val="11"/>
        <color theme="1"/>
        <rFont val="ＭＳ Ｐゴシック"/>
        <family val="3"/>
        <charset val="128"/>
        <scheme val="minor"/>
      </rPr>
      <t>号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</si>
  <si>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杰</t>
    </r>
    <r>
      <rPr>
        <sz val="11"/>
        <color theme="1"/>
        <rFont val="ＭＳ Ｐゴシック"/>
        <family val="3"/>
        <charset val="134"/>
        <scheme val="minor"/>
      </rPr>
      <t>辉</t>
    </r>
  </si>
  <si>
    <r>
      <t>清酒;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清酒（日本米酒）; 葡萄酒; 伏特加酒; 朗姆酒;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</si>
  <si>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纪岁</t>
  </si>
  <si>
    <r>
      <t>江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市新会六真好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皮生</t>
    </r>
    <r>
      <rPr>
        <sz val="11"/>
        <color theme="1"/>
        <rFont val="ＭＳ Ｐゴシック"/>
        <family val="3"/>
        <charset val="134"/>
        <scheme val="minor"/>
      </rPr>
      <t>态农业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</si>
  <si>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威士忌; 果酒（含酒精）; 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茴香酒（利口酒）;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薄荷酒</t>
    </r>
  </si>
  <si>
    <r>
      <t>叙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</si>
  <si>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市叙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34"/>
        <scheme val="minor"/>
      </rPr>
      <t>乐</t>
    </r>
    <r>
      <rPr>
        <sz val="11"/>
        <color theme="1"/>
        <rFont val="ＭＳ Ｐゴシック"/>
        <family val="3"/>
        <charset val="128"/>
        <scheme val="minor"/>
      </rPr>
      <t>食品有限公司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</si>
  <si>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青稞酒; 黄酒; 果酒(含酒精); 食用酒精; 汽酒; 白酒; 蒸煮提取物(利口酒和烈酒); 薄荷酒;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</si>
  <si>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史雅娜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</si>
  <si>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蜂蜜酒; 苹果酒;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含酒精的气泡水; 白酒; 葡萄酒</t>
    </r>
  </si>
  <si>
    <t>杏苒好味道</t>
  </si>
  <si>
    <r>
      <t>山西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</si>
  <si>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蒸煮提取物（利口酒和烈酒）;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果酒（含酒精）</t>
    </r>
  </si>
  <si>
    <r>
      <t>浙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皖通</t>
    </r>
  </si>
  <si>
    <t>杭州申家杭食品有限公司</t>
  </si>
  <si>
    <r>
      <t>苹果酒;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薄荷酒; 葡萄酒; 果酒（含酒精）; 蜂蜜酒;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</t>
    </r>
  </si>
  <si>
    <r>
      <t>梦天李</t>
    </r>
    <r>
      <rPr>
        <sz val="11"/>
        <color theme="1"/>
        <rFont val="ＭＳ Ｐゴシック"/>
        <family val="3"/>
        <charset val="134"/>
        <scheme val="minor"/>
      </rPr>
      <t>贺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</si>
  <si>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利口酒; 米酒; 甜酒;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汽酒</t>
    </r>
  </si>
  <si>
    <t>昇灶</t>
  </si>
  <si>
    <r>
      <t>陈</t>
    </r>
    <r>
      <rPr>
        <sz val="11"/>
        <color theme="1"/>
        <rFont val="ＭＳ Ｐゴシック"/>
        <family val="3"/>
        <charset val="128"/>
        <scheme val="minor"/>
      </rPr>
      <t>斌燚</t>
    </r>
  </si>
  <si>
    <r>
      <t>威士忌; 黄酒; 白酒;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清酒（日本米酒）; 开胃酒; 果酒（含酒精）</t>
    </r>
  </si>
  <si>
    <r>
      <t>荣泰</t>
    </r>
    <r>
      <rPr>
        <sz val="11"/>
        <color theme="1"/>
        <rFont val="ＭＳ Ｐゴシック"/>
        <family val="3"/>
        <charset val="134"/>
        <scheme val="minor"/>
      </rPr>
      <t>鹏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</si>
  <si>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威士忌;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葡萄酒</t>
    </r>
  </si>
  <si>
    <t>阿米豆</t>
  </si>
  <si>
    <r>
      <t>喻</t>
    </r>
    <r>
      <rPr>
        <sz val="11"/>
        <color theme="1"/>
        <rFont val="ＭＳ Ｐゴシック"/>
        <family val="3"/>
        <charset val="128"/>
        <scheme val="minor"/>
      </rPr>
      <t>体俊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</si>
  <si>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葡萄酒;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</si>
  <si>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LI PEI JIU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</si>
  <si>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五加皮酒（中国混合烈酒）</t>
    </r>
  </si>
  <si>
    <t>酩中酩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</si>
  <si>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开胃酒; 葡萄酒; 蜂蜜酒;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</si>
  <si>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问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</si>
  <si>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苏汤</t>
    </r>
    <r>
      <rPr>
        <sz val="11"/>
        <color theme="1"/>
        <rFont val="ＭＳ Ｐゴシック"/>
        <family val="3"/>
        <charset val="128"/>
        <scheme val="minor"/>
      </rPr>
      <t>沟两相和酒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</si>
  <si>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白干酒（中国白酒）; 米酒;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</si>
  <si>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蓝蓝</t>
    </r>
    <r>
      <rPr>
        <sz val="11"/>
        <color theme="1"/>
        <rFont val="ＭＳ Ｐゴシック"/>
        <family val="3"/>
        <charset val="128"/>
        <scheme val="minor"/>
      </rPr>
      <t>美大河</t>
    </r>
  </si>
  <si>
    <r>
      <t>宿迁市美人河酒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</si>
  <si>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高粱酒;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</t>
    </r>
  </si>
  <si>
    <r>
      <t>帝雅黛</t>
    </r>
    <r>
      <rPr>
        <sz val="11"/>
        <color theme="1"/>
        <rFont val="ＭＳ Ｐゴシック"/>
        <family val="3"/>
        <charset val="134"/>
        <scheme val="minor"/>
      </rPr>
      <t>玛</t>
    </r>
  </si>
  <si>
    <r>
      <t>常州天派国</t>
    </r>
    <r>
      <rPr>
        <sz val="11"/>
        <color theme="1"/>
        <rFont val="ＭＳ Ｐゴシック"/>
        <family val="3"/>
        <charset val="134"/>
        <scheme val="minor"/>
      </rPr>
      <t>际贸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</si>
  <si>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</t>
    </r>
  </si>
  <si>
    <t>北固楼御品</t>
  </si>
  <si>
    <t>张军</t>
  </si>
  <si>
    <r>
      <t>葡萄酒; 米酒; 餐后酒（利口酒和烈酒）; 白酒;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苹果酒</t>
    </r>
  </si>
  <si>
    <r>
      <t>远</t>
    </r>
    <r>
      <rPr>
        <sz val="11"/>
        <color theme="1"/>
        <rFont val="ＭＳ Ｐゴシック"/>
        <family val="3"/>
        <charset val="128"/>
        <scheme val="minor"/>
      </rPr>
      <t>韶</t>
    </r>
  </si>
  <si>
    <r>
      <t>宋云</t>
    </r>
    <r>
      <rPr>
        <sz val="11"/>
        <color theme="1"/>
        <rFont val="ＭＳ Ｐゴシック"/>
        <family val="3"/>
        <charset val="134"/>
        <scheme val="minor"/>
      </rPr>
      <t>飞</t>
    </r>
  </si>
  <si>
    <r>
      <t>白酒;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高粱酒; 果酒（含酒精）</t>
    </r>
  </si>
  <si>
    <t>杏苒晋粮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</si>
  <si>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蒸煮提取物（利口酒和烈酒）;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</si>
  <si>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教</t>
    </r>
    <r>
      <rPr>
        <sz val="11"/>
        <color theme="1"/>
        <rFont val="ＭＳ Ｐゴシック"/>
        <family val="3"/>
        <charset val="134"/>
        <scheme val="minor"/>
      </rPr>
      <t>练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</si>
  <si>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东骐骥</t>
    </r>
    <r>
      <rPr>
        <sz val="11"/>
        <color theme="1"/>
        <rFont val="ＭＳ Ｐゴシック"/>
        <family val="3"/>
        <charset val="128"/>
        <scheme val="minor"/>
      </rPr>
      <t>体育文化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</si>
  <si>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黄酒; 白酒; 米酒;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薄荷酒;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</si>
  <si>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山</t>
    </r>
    <r>
      <rPr>
        <sz val="11"/>
        <color theme="1"/>
        <rFont val="ＭＳ Ｐゴシック"/>
        <family val="3"/>
        <charset val="134"/>
        <scheme val="minor"/>
      </rPr>
      <t>东潍</t>
    </r>
    <r>
      <rPr>
        <sz val="11"/>
        <color theme="1"/>
        <rFont val="ＭＳ Ｐゴシック"/>
        <family val="3"/>
        <charset val="128"/>
        <scheme val="minor"/>
      </rPr>
      <t>坊百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</si>
  <si>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红</t>
    </r>
    <r>
      <rPr>
        <sz val="11"/>
        <color theme="1"/>
        <rFont val="ＭＳ Ｐゴシック"/>
        <family val="3"/>
        <charset val="128"/>
        <scheme val="minor"/>
      </rP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米酒; 黄酒; 白葡萄酒; 朗姆酒;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</t>
    </r>
  </si>
  <si>
    <r>
      <t>誉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迎</t>
    </r>
  </si>
  <si>
    <r>
      <t>太原市尖草坪区恒同</t>
    </r>
    <r>
      <rPr>
        <sz val="11"/>
        <color theme="1"/>
        <rFont val="ＭＳ Ｐゴシック"/>
        <family val="3"/>
        <charset val="134"/>
        <scheme val="minor"/>
      </rPr>
      <t>凯</t>
    </r>
    <r>
      <rPr>
        <sz val="11"/>
        <color theme="1"/>
        <rFont val="ＭＳ Ｐゴシック"/>
        <family val="3"/>
        <charset val="128"/>
        <scheme val="minor"/>
      </rPr>
      <t>服装店(个体工商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)</t>
    </r>
  </si>
  <si>
    <r>
      <t xml:space="preserve">葡萄酒;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烈酒; 汽酒; 黄酒; 果酒</t>
    </r>
  </si>
  <si>
    <r>
      <t>河北雄安永兆商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</si>
  <si>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清酒;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汽酒; 梨酒;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</si>
  <si>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RUN YUAN NIANG</t>
  </si>
  <si>
    <r>
      <t>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五加皮酒（中国混合烈酒）;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米酒; 果酒（含酒精）;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</si>
  <si>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碧晋</t>
  </si>
  <si>
    <t>尹添添</t>
  </si>
  <si>
    <r>
      <t>黄酒;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开胃酒; 威士忌; 米酒; 果酒（含酒精）</t>
    </r>
  </si>
  <si>
    <t>北固楼盛宴</t>
  </si>
  <si>
    <r>
      <t>葡萄酒; 米酒; 露酒;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苹果酒; 餐后酒（利口酒和烈酒）;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</si>
  <si>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科</t>
    </r>
    <r>
      <rPr>
        <sz val="11"/>
        <color theme="1"/>
        <rFont val="ＭＳ Ｐゴシック"/>
        <family val="3"/>
        <charset val="134"/>
        <scheme val="minor"/>
      </rPr>
      <t>轻颜</t>
    </r>
  </si>
  <si>
    <r>
      <t>北京聚佳美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</si>
  <si>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食用酒精;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黄酒; 米酒; 伏特加酒</t>
    </r>
  </si>
  <si>
    <t>水商之情</t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</si>
  <si>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果酒（含酒精）; 白酒; 米酒</t>
    </r>
  </si>
  <si>
    <r>
      <t>老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匠 SILVERMASTER</t>
    </r>
  </si>
  <si>
    <r>
      <t>北京老</t>
    </r>
    <r>
      <rPr>
        <sz val="11"/>
        <color theme="1"/>
        <rFont val="ＭＳ Ｐゴシック"/>
        <family val="3"/>
        <charset val="134"/>
        <scheme val="minor"/>
      </rPr>
      <t>银</t>
    </r>
    <r>
      <rPr>
        <sz val="11"/>
        <color theme="1"/>
        <rFont val="ＭＳ Ｐゴシック"/>
        <family val="3"/>
        <charset val="128"/>
        <scheme val="minor"/>
      </rPr>
      <t>匠珠宝有限公司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</si>
  <si>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利口酒; 米酒;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</si>
  <si>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磁小</t>
    </r>
    <r>
      <rPr>
        <sz val="11"/>
        <color theme="1"/>
        <rFont val="ＭＳ Ｐゴシック"/>
        <family val="3"/>
        <charset val="134"/>
        <scheme val="minor"/>
      </rPr>
      <t>弹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</si>
  <si>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威士忌; 食用酒精</t>
    </r>
  </si>
  <si>
    <t>京窖河</t>
  </si>
  <si>
    <r>
      <t xml:space="preserve">清酒（日本米酒）; 黄酒; 开胃酒; 蜂蜜酒;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</si>
  <si>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女美人谷</t>
    </r>
  </si>
  <si>
    <r>
      <t>甘孜州丹巴女王城堡酒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</si>
  <si>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米酒; 白酒; 果酒;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青稞酒;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</si>
  <si>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真</t>
    </r>
    <r>
      <rPr>
        <sz val="11"/>
        <color theme="1"/>
        <rFont val="ＭＳ Ｐゴシック"/>
        <family val="3"/>
        <charset val="134"/>
        <scheme val="minor"/>
      </rPr>
      <t>远</t>
    </r>
    <r>
      <rPr>
        <sz val="11"/>
        <color theme="1"/>
        <rFont val="ＭＳ Ｐゴシック"/>
        <family val="3"/>
        <charset val="128"/>
        <scheme val="minor"/>
      </rPr>
      <t>酒坊</t>
    </r>
  </si>
  <si>
    <r>
      <t>宜</t>
    </r>
    <r>
      <rPr>
        <sz val="11"/>
        <color theme="1"/>
        <rFont val="ＭＳ Ｐゴシック"/>
        <family val="3"/>
        <charset val="134"/>
        <scheme val="minor"/>
      </rPr>
      <t>宾</t>
    </r>
    <r>
      <rPr>
        <sz val="11"/>
        <color theme="1"/>
        <rFont val="ＭＳ Ｐゴシック"/>
        <family val="3"/>
        <charset val="128"/>
        <scheme val="minor"/>
      </rPr>
      <t>子均</t>
    </r>
    <r>
      <rPr>
        <sz val="11"/>
        <color theme="1"/>
        <rFont val="ＭＳ Ｐゴシック"/>
        <family val="3"/>
        <charset val="134"/>
        <scheme val="minor"/>
      </rPr>
      <t>邓</t>
    </r>
    <r>
      <rPr>
        <sz val="11"/>
        <color theme="1"/>
        <rFont val="ＭＳ Ｐゴシック"/>
        <family val="3"/>
        <charset val="128"/>
        <scheme val="minor"/>
      </rPr>
      <t>公液酒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</si>
  <si>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开胃酒; 烈酒;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白酒; 蜂蜜酒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</si>
  <si>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九熙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</si>
  <si>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元元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</si>
  <si>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汽酒; 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白干酒（中国白酒）; 米酒; 烈酒; 黄酒</t>
    </r>
  </si>
  <si>
    <r>
      <t>凌</t>
    </r>
    <r>
      <rPr>
        <sz val="11"/>
        <color theme="1"/>
        <rFont val="ＭＳ Ｐゴシック"/>
        <family val="3"/>
        <charset val="134"/>
        <scheme val="minor"/>
      </rPr>
      <t>顶</t>
    </r>
    <r>
      <rPr>
        <sz val="11"/>
        <color theme="1"/>
        <rFont val="ＭＳ Ｐゴシック"/>
        <family val="3"/>
        <charset val="128"/>
        <scheme val="minor"/>
      </rPr>
      <t>微</t>
    </r>
    <r>
      <rPr>
        <sz val="11"/>
        <color theme="1"/>
        <rFont val="ＭＳ Ｐゴシック"/>
        <family val="3"/>
        <charset val="134"/>
        <scheme val="minor"/>
      </rPr>
      <t>尘</t>
    </r>
  </si>
  <si>
    <r>
      <t xml:space="preserve">果酒（含酒精）; 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伏特加酒;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</t>
    </r>
  </si>
  <si>
    <r>
      <t>奇</t>
    </r>
    <r>
      <rPr>
        <sz val="11"/>
        <color theme="1"/>
        <rFont val="ＭＳ Ｐゴシック"/>
        <family val="3"/>
        <charset val="134"/>
        <scheme val="minor"/>
      </rPr>
      <t>专</t>
    </r>
    <r>
      <rPr>
        <sz val="11"/>
        <color theme="1"/>
        <rFont val="ＭＳ Ｐゴシック"/>
        <family val="3"/>
        <charset val="128"/>
        <scheme val="minor"/>
      </rPr>
      <t>佳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</si>
  <si>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明明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</si>
  <si>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米酒; 蒸煮提取物（利口酒和烈酒）;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</t>
    </r>
  </si>
  <si>
    <t>幽馥液</t>
  </si>
  <si>
    <r>
      <t>黄酒; 蒸煮提取物（利口酒和烈酒）; 葡萄酒; 米酒; 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烈酒;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</si>
  <si>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亲</t>
    </r>
    <r>
      <rPr>
        <sz val="11"/>
        <color theme="1"/>
        <rFont val="ＭＳ Ｐゴシック"/>
        <family val="3"/>
        <charset val="128"/>
        <scheme val="minor"/>
      </rPr>
      <t>之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</si>
  <si>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耶</t>
    </r>
    <r>
      <rPr>
        <sz val="11"/>
        <color theme="1"/>
        <rFont val="ＭＳ Ｐゴシック"/>
        <family val="3"/>
        <charset val="134"/>
        <scheme val="minor"/>
      </rPr>
      <t>鲁</t>
    </r>
    <r>
      <rPr>
        <sz val="11"/>
        <color theme="1"/>
        <rFont val="ＭＳ Ｐゴシック"/>
        <family val="3"/>
        <charset val="128"/>
        <scheme val="minor"/>
      </rPr>
      <t>科技（宿迁）有限公司</t>
    </r>
  </si>
  <si>
    <r>
      <t>果酒（含酒精）;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烈性干酒;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</t>
    </r>
  </si>
  <si>
    <t>太极翁</t>
  </si>
  <si>
    <t>杜天旗</t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</si>
  <si>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</si>
  <si>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白酒; 食用酒精;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烈酒; 果酒</t>
    </r>
  </si>
  <si>
    <t>BAI LI XI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</si>
  <si>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黄酒;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五加皮酒（中国混合烈酒）</t>
    </r>
  </si>
  <si>
    <r>
      <t>鑫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世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</si>
  <si>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州君子台酒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</si>
  <si>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果酒; 清酒;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葡萄酒</t>
    </r>
  </si>
  <si>
    <t>WESHYPER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</si>
  <si>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酸酒（低等葡萄酒）;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伏特加酒;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米酒</t>
    </r>
  </si>
  <si>
    <r>
      <t>磁</t>
    </r>
    <r>
      <rPr>
        <sz val="11"/>
        <color theme="1"/>
        <rFont val="ＭＳ Ｐゴシック"/>
        <family val="3"/>
        <charset val="134"/>
        <scheme val="minor"/>
      </rPr>
      <t>弹</t>
    </r>
  </si>
  <si>
    <r>
      <t>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食用酒精;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葡萄酒; 果酒（含酒精）;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</si>
  <si>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御天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膳堂</t>
    </r>
  </si>
  <si>
    <r>
      <t>黑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江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膳堂食品有限公司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</si>
  <si>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水果汽酒;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白酒</t>
    </r>
  </si>
  <si>
    <t>AUAGROFARM</t>
  </si>
  <si>
    <r>
      <t>澳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（青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）股</t>
    </r>
    <r>
      <rPr>
        <sz val="11"/>
        <color theme="1"/>
        <rFont val="ＭＳ Ｐゴシック"/>
        <family val="3"/>
        <charset val="134"/>
        <scheme val="minor"/>
      </rPr>
      <t>权</t>
    </r>
    <r>
      <rPr>
        <sz val="11"/>
        <color theme="1"/>
        <rFont val="ＭＳ Ｐゴシック"/>
        <family val="3"/>
        <charset val="128"/>
        <scheme val="minor"/>
      </rPr>
      <t>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基金有限公司</t>
    </r>
  </si>
  <si>
    <r>
      <t>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黄酒;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米酒</t>
    </r>
  </si>
  <si>
    <r>
      <t>怀</t>
    </r>
    <r>
      <rPr>
        <sz val="11"/>
        <color theme="1"/>
        <rFont val="ＭＳ Ｐゴシック"/>
        <family val="3"/>
        <charset val="128"/>
        <scheme val="minor"/>
      </rPr>
      <t>扁</t>
    </r>
    <r>
      <rPr>
        <sz val="11"/>
        <color theme="1"/>
        <rFont val="ＭＳ Ｐゴシック"/>
        <family val="3"/>
        <charset val="134"/>
        <scheme val="minor"/>
      </rPr>
      <t>鹊</t>
    </r>
  </si>
  <si>
    <r>
      <t>果酒（含酒精）;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白干酒（中国白酒）; 高粱酒; 食用酒精</t>
    </r>
  </si>
  <si>
    <t>杜著</t>
  </si>
  <si>
    <r>
      <t>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白酒; 高粱酒;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</t>
    </r>
  </si>
  <si>
    <r>
      <t>井</t>
    </r>
    <r>
      <rPr>
        <sz val="11"/>
        <color theme="1"/>
        <rFont val="ＭＳ Ｐゴシック"/>
        <family val="3"/>
        <charset val="134"/>
        <scheme val="minor"/>
      </rPr>
      <t>岁</t>
    </r>
    <r>
      <rPr>
        <sz val="11"/>
        <color theme="1"/>
        <rFont val="ＭＳ Ｐゴシック"/>
        <family val="3"/>
        <charset val="128"/>
        <scheme val="minor"/>
      </rPr>
      <t>台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</si>
  <si>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春</t>
    </r>
    <r>
      <rPr>
        <sz val="11"/>
        <color theme="1"/>
        <rFont val="ＭＳ Ｐゴシック"/>
        <family val="3"/>
        <charset val="134"/>
        <scheme val="minor"/>
      </rPr>
      <t>颖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</si>
  <si>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料(啤酒除外); 烈酒(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料); 白酒;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果酒(含酒精);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</t>
    </r>
  </si>
  <si>
    <r>
      <t>菜班</t>
    </r>
    <r>
      <rPr>
        <sz val="11"/>
        <color theme="1"/>
        <rFont val="ＭＳ Ｐゴシック"/>
        <family val="3"/>
        <charset val="134"/>
        <scheme val="minor"/>
      </rPr>
      <t>岛</t>
    </r>
  </si>
  <si>
    <r>
      <t>珠海市新濠</t>
    </r>
    <r>
      <rPr>
        <sz val="11"/>
        <color theme="1"/>
        <rFont val="ＭＳ Ｐゴシック"/>
        <family val="3"/>
        <charset val="134"/>
        <scheme val="minor"/>
      </rPr>
      <t>汇</t>
    </r>
    <r>
      <rPr>
        <sz val="11"/>
        <color theme="1"/>
        <rFont val="ＭＳ Ｐゴシック"/>
        <family val="3"/>
        <charset val="128"/>
        <scheme val="minor"/>
      </rPr>
      <t>信息科技有限公司</t>
    </r>
  </si>
  <si>
    <r>
      <t xml:space="preserve">清酒（日本米酒）;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</si>
  <si>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鸣</t>
    </r>
    <r>
      <rPr>
        <sz val="11"/>
        <color theme="1"/>
        <rFont val="ＭＳ Ｐゴシック"/>
        <family val="3"/>
        <charset val="128"/>
        <scheme val="minor"/>
      </rPr>
      <t>礼小青花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</si>
  <si>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白酒;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蒸煮提取物（利口酒和烈酒）; 黄酒</t>
    </r>
  </si>
  <si>
    <t>裕粮人</t>
  </si>
  <si>
    <r>
      <t>山西益林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</si>
  <si>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梅酒; 高粱酒; 露酒; 朗姆酒;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利口酒</t>
    </r>
  </si>
  <si>
    <t>颜鸯</t>
  </si>
  <si>
    <r>
      <t>张</t>
    </r>
    <r>
      <rPr>
        <sz val="11"/>
        <color theme="1"/>
        <rFont val="ＭＳ Ｐゴシック"/>
        <family val="3"/>
        <charset val="128"/>
        <scheme val="minor"/>
      </rPr>
      <t>敬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</si>
  <si>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果酒（含酒精）; 白酒</t>
    </r>
  </si>
  <si>
    <t>巧香妃</t>
  </si>
  <si>
    <r>
      <t>田</t>
    </r>
    <r>
      <rPr>
        <sz val="11"/>
        <color theme="1"/>
        <rFont val="ＭＳ Ｐゴシック"/>
        <family val="3"/>
        <charset val="134"/>
        <scheme val="minor"/>
      </rPr>
      <t>龙贵</t>
    </r>
  </si>
  <si>
    <r>
      <t>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清酒（日本米酒）;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</si>
  <si>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腾龙</t>
    </r>
    <r>
      <rPr>
        <sz val="11"/>
        <color theme="1"/>
        <rFont val="ＭＳ Ｐゴシック"/>
        <family val="3"/>
        <charset val="128"/>
        <scheme val="minor"/>
      </rPr>
      <t>潞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</si>
  <si>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中孝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</si>
  <si>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黄酒</t>
    </r>
  </si>
  <si>
    <t>宋元巷里</t>
  </si>
  <si>
    <r>
      <t>开封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太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子工程有限公司</t>
    </r>
  </si>
  <si>
    <r>
      <t xml:space="preserve">白酒;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</t>
    </r>
  </si>
  <si>
    <r>
      <t>亦</t>
    </r>
    <r>
      <rPr>
        <sz val="11"/>
        <color theme="1"/>
        <rFont val="ＭＳ Ｐゴシック"/>
        <family val="3"/>
        <charset val="134"/>
        <scheme val="minor"/>
      </rPr>
      <t>绅</t>
    </r>
  </si>
  <si>
    <r>
      <t>赵</t>
    </r>
    <r>
      <rPr>
        <sz val="11"/>
        <color theme="1"/>
        <rFont val="ＭＳ Ｐゴシック"/>
        <family val="3"/>
        <charset val="128"/>
        <scheme val="minor"/>
      </rPr>
      <t>勇康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</si>
  <si>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</si>
  <si>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六恒福</t>
  </si>
  <si>
    <r>
      <t>湛江市</t>
    </r>
    <r>
      <rPr>
        <sz val="11"/>
        <color theme="1"/>
        <rFont val="ＭＳ Ｐゴシック"/>
        <family val="3"/>
        <charset val="134"/>
        <scheme val="minor"/>
      </rPr>
      <t>华</t>
    </r>
    <r>
      <rPr>
        <sz val="11"/>
        <color theme="1"/>
        <rFont val="ＭＳ Ｐゴシック"/>
        <family val="3"/>
        <charset val="128"/>
        <scheme val="minor"/>
      </rPr>
      <t>妃科技有限公司</t>
    </r>
  </si>
  <si>
    <r>
      <t>白酒; 餐后酒（利口酒和烈酒）;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利口酒;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</si>
  <si>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上峰上</t>
  </si>
  <si>
    <t>九江山水武宁食品科技有限公司</t>
  </si>
  <si>
    <r>
      <t xml:space="preserve">米酒;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蜂蜜酒;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</si>
  <si>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天壤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运</t>
    </r>
  </si>
  <si>
    <r>
      <t xml:space="preserve">利口酒; 白酒; 白干酒（中国白酒）; 青梅酒;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朗姆酒;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高粱酒</t>
    </r>
  </si>
  <si>
    <t>戎影</t>
  </si>
  <si>
    <r>
      <t>追梦人（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莞）酒店管理有限公司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</si>
  <si>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米酒; 开胃酒; 青稞酒;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</si>
  <si>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津彩人家</t>
  </si>
  <si>
    <t>梁傑雄</t>
  </si>
  <si>
    <r>
      <t>开胃酒; 清酒（日本米酒）;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餐后酒（利口酒和烈酒）;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</t>
    </r>
  </si>
  <si>
    <t>申城明珠</t>
  </si>
  <si>
    <r>
      <t>信阳</t>
    </r>
    <r>
      <rPr>
        <sz val="11"/>
        <color theme="1"/>
        <rFont val="ＭＳ Ｐゴシック"/>
        <family val="3"/>
        <charset val="134"/>
        <scheme val="minor"/>
      </rPr>
      <t>军发</t>
    </r>
    <r>
      <rPr>
        <sz val="11"/>
        <color theme="1"/>
        <rFont val="ＭＳ Ｐゴシック"/>
        <family val="3"/>
        <charset val="128"/>
        <scheme val="minor"/>
      </rPr>
      <t>茶叶有限公司</t>
    </r>
  </si>
  <si>
    <r>
      <t>高粱酒; 葡萄酒; 白干酒（中国白酒）; 黄酒;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米酒; 烈酒;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</si>
  <si>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斯密达</t>
  </si>
  <si>
    <r>
      <t>利口酒;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梅酒; 甜酒;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尾酒混合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品;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</si>
  <si>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凤</t>
    </r>
    <r>
      <rPr>
        <sz val="11"/>
        <color theme="1"/>
        <rFont val="ＭＳ Ｐゴシック"/>
        <family val="3"/>
        <charset val="128"/>
        <scheme val="minor"/>
      </rPr>
      <t>凛</t>
    </r>
  </si>
  <si>
    <t>月桂冠株式会社</t>
  </si>
  <si>
    <t>清酒（日本米酒）</t>
  </si>
  <si>
    <t>君吟年</t>
  </si>
  <si>
    <r>
      <t>杨</t>
    </r>
    <r>
      <rPr>
        <sz val="11"/>
        <color theme="1"/>
        <rFont val="ＭＳ Ｐゴシック"/>
        <family val="3"/>
        <charset val="128"/>
        <scheme val="minor"/>
      </rPr>
      <t>冰</t>
    </r>
    <r>
      <rPr>
        <sz val="11"/>
        <color theme="1"/>
        <rFont val="ＭＳ Ｐゴシック"/>
        <family val="3"/>
        <charset val="134"/>
        <scheme val="minor"/>
      </rPr>
      <t>凤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</si>
  <si>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威士忌;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青稞酒; 烈酒</t>
    </r>
  </si>
  <si>
    <t>糊涂高球</t>
  </si>
  <si>
    <r>
      <t>佛山市吉利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</si>
  <si>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利口酒; 白酒;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伏特加酒</t>
    </r>
  </si>
  <si>
    <t>天馗</t>
  </si>
  <si>
    <r>
      <t>黄</t>
    </r>
    <r>
      <rPr>
        <sz val="11"/>
        <color theme="1"/>
        <rFont val="ＭＳ Ｐゴシック"/>
        <family val="3"/>
        <charset val="134"/>
        <scheme val="minor"/>
      </rPr>
      <t>欢欢</t>
    </r>
  </si>
  <si>
    <r>
      <t xml:space="preserve">食用酒精; 青稞酒; 开胃酒; 清酒; 茴香酒（利口酒）; 薄荷酒; 苹果酒;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</si>
  <si>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云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寸老板</t>
    </r>
  </si>
  <si>
    <t>涂启兵</t>
  </si>
  <si>
    <r>
      <t>果酒（含酒精）; 葡萄酒; 青稞酒; 食用酒精; 高粱酒;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</si>
  <si>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周</t>
    </r>
    <r>
      <rPr>
        <sz val="11"/>
        <color theme="1"/>
        <rFont val="ＭＳ Ｐゴシック"/>
        <family val="3"/>
        <charset val="134"/>
        <scheme val="minor"/>
      </rPr>
      <t>军</t>
    </r>
    <r>
      <rPr>
        <sz val="11"/>
        <color theme="1"/>
        <rFont val="ＭＳ Ｐゴシック"/>
        <family val="3"/>
        <charset val="128"/>
        <scheme val="minor"/>
      </rPr>
      <t>亮</t>
    </r>
  </si>
  <si>
    <r>
      <t>郑</t>
    </r>
    <r>
      <rPr>
        <sz val="11"/>
        <color theme="1"/>
        <rFont val="ＭＳ Ｐゴシック"/>
        <family val="3"/>
        <charset val="128"/>
        <scheme val="minor"/>
      </rPr>
      <t>州市姊瑞品</t>
    </r>
    <r>
      <rPr>
        <sz val="11"/>
        <color theme="1"/>
        <rFont val="ＭＳ Ｐゴシック"/>
        <family val="3"/>
        <charset val="134"/>
        <scheme val="minor"/>
      </rPr>
      <t>农贸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</si>
  <si>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</si>
  <si>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荣雀</t>
  </si>
  <si>
    <r>
      <t>永嘉洛溪</t>
    </r>
    <r>
      <rPr>
        <sz val="11"/>
        <color theme="1"/>
        <rFont val="ＭＳ Ｐゴシック"/>
        <family val="3"/>
        <charset val="134"/>
        <scheme val="minor"/>
      </rPr>
      <t>陈</t>
    </r>
    <r>
      <rPr>
        <sz val="11"/>
        <color theme="1"/>
        <rFont val="ＭＳ Ｐゴシック"/>
        <family val="3"/>
        <charset val="128"/>
        <scheme val="minor"/>
      </rPr>
      <t>氏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利酒厂</t>
    </r>
  </si>
  <si>
    <r>
      <t xml:space="preserve">清酒（日本米酒）;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杜松子酒;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青稞酒; 黄酒</t>
    </r>
  </si>
  <si>
    <t>登越</t>
  </si>
  <si>
    <r>
      <t>柳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翔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</si>
  <si>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青稞酒; 米酒; 威士忌; 葡萄酒; 利口酒;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</t>
    </r>
  </si>
  <si>
    <t>金善德</t>
  </si>
  <si>
    <r>
      <t>保定三源</t>
    </r>
    <r>
      <rPr>
        <sz val="11"/>
        <color theme="1"/>
        <rFont val="ＭＳ Ｐゴシック"/>
        <family val="3"/>
        <charset val="134"/>
        <scheme val="minor"/>
      </rPr>
      <t>纺织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</si>
  <si>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白酒; 葡萄酒; 威士忌; 米酒; 清酒;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</si>
  <si>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听福</t>
  </si>
  <si>
    <t>潘利娜******************</t>
  </si>
  <si>
    <r>
      <t xml:space="preserve">威士忌; 食用酒精; 葡萄酒; 利口酒;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米酒; 黄酒</t>
    </r>
  </si>
  <si>
    <r>
      <t>姜</t>
    </r>
    <r>
      <rPr>
        <sz val="11"/>
        <color theme="1"/>
        <rFont val="ＭＳ Ｐゴシック"/>
        <family val="3"/>
        <charset val="134"/>
        <scheme val="minor"/>
      </rPr>
      <t>嬷嬷</t>
    </r>
  </si>
  <si>
    <r>
      <t>广州辛地个人</t>
    </r>
    <r>
      <rPr>
        <sz val="11"/>
        <color theme="1"/>
        <rFont val="ＭＳ Ｐゴシック"/>
        <family val="3"/>
        <charset val="134"/>
        <scheme val="minor"/>
      </rPr>
      <t>护</t>
    </r>
    <r>
      <rPr>
        <sz val="11"/>
        <color theme="1"/>
        <rFont val="ＭＳ Ｐゴシック"/>
        <family val="3"/>
        <charset val="128"/>
        <scheme val="minor"/>
      </rPr>
      <t>理品有限公司</t>
    </r>
  </si>
  <si>
    <r>
      <t xml:space="preserve">伏特加酒; 黄酒; 威士忌; 朗姆酒;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</si>
  <si>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志生</t>
    </r>
    <r>
      <rPr>
        <sz val="11"/>
        <color theme="1"/>
        <rFont val="ＭＳ Ｐゴシック"/>
        <family val="3"/>
        <charset val="134"/>
        <scheme val="minor"/>
      </rPr>
      <t>顺龙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</si>
  <si>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源</t>
    </r>
    <r>
      <rPr>
        <sz val="11"/>
        <color theme="1"/>
        <rFont val="ＭＳ Ｐゴシック"/>
        <family val="3"/>
        <charset val="134"/>
        <scheme val="minor"/>
      </rPr>
      <t>县顺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八匠鼎</t>
    </r>
    <r>
      <rPr>
        <sz val="11"/>
        <color theme="1"/>
        <rFont val="ＭＳ Ｐゴシック"/>
        <family val="3"/>
        <charset val="134"/>
        <scheme val="minor"/>
      </rPr>
      <t>顺龙纯</t>
    </r>
    <r>
      <rPr>
        <sz val="11"/>
        <color theme="1"/>
        <rFont val="ＭＳ Ｐゴシック"/>
        <family val="3"/>
        <charset val="128"/>
        <scheme val="minor"/>
      </rPr>
      <t>粮香酒厂</t>
    </r>
  </si>
  <si>
    <r>
      <t>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果酒（含酒精）;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</si>
  <si>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黔旧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</t>
    </r>
  </si>
  <si>
    <r>
      <t>清流</t>
    </r>
    <r>
      <rPr>
        <sz val="11"/>
        <color theme="1"/>
        <rFont val="ＭＳ Ｐゴシック"/>
        <family val="3"/>
        <charset val="134"/>
        <scheme val="minor"/>
      </rPr>
      <t>龙</t>
    </r>
    <r>
      <rPr>
        <sz val="11"/>
        <color theme="1"/>
        <rFont val="ＭＳ Ｐゴシック"/>
        <family val="3"/>
        <charset val="128"/>
        <scheme val="minor"/>
      </rPr>
      <t>津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中</t>
    </r>
    <r>
      <rPr>
        <sz val="11"/>
        <color theme="1"/>
        <rFont val="ＭＳ Ｐゴシック"/>
        <family val="3"/>
        <charset val="134"/>
        <scheme val="minor"/>
      </rPr>
      <t>尔</t>
    </r>
    <r>
      <rPr>
        <sz val="11"/>
        <color theme="1"/>
        <rFont val="ＭＳ Ｐゴシック"/>
        <family val="3"/>
        <charset val="128"/>
        <scheme val="minor"/>
      </rPr>
      <t>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</si>
  <si>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奶油利口酒;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草莓酒; 白酒; 黄酒;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茴香酒; 青梅酒</t>
    </r>
  </si>
  <si>
    <t>君迎唐</t>
  </si>
  <si>
    <r>
      <t xml:space="preserve">黄酒; 葡萄酒;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青稞酒;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烈酒</t>
    </r>
  </si>
  <si>
    <t>百福翁</t>
  </si>
  <si>
    <r>
      <t xml:space="preserve">白酒;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黄酒; 开胃酒; 蜂蜜酒;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</si>
  <si>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俄斯汀</t>
  </si>
  <si>
    <r>
      <t>杨</t>
    </r>
    <r>
      <rPr>
        <sz val="11"/>
        <color theme="1"/>
        <rFont val="ＭＳ Ｐゴシック"/>
        <family val="3"/>
        <charset val="128"/>
        <scheme val="minor"/>
      </rPr>
      <t>中首</t>
    </r>
  </si>
  <si>
    <r>
      <t xml:space="preserve">清酒;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伏特加酒; 威士忌; 汽酒; 黄酒; 葡萄酒</t>
    </r>
  </si>
  <si>
    <r>
      <t>极地</t>
    </r>
    <r>
      <rPr>
        <sz val="11"/>
        <color theme="1"/>
        <rFont val="ＭＳ Ｐゴシック"/>
        <family val="3"/>
        <charset val="134"/>
        <scheme val="minor"/>
      </rPr>
      <t>鸟</t>
    </r>
    <r>
      <rPr>
        <sz val="11"/>
        <color theme="1"/>
        <rFont val="ＭＳ Ｐゴシック"/>
        <family val="3"/>
        <charset val="128"/>
        <scheme val="minor"/>
      </rPr>
      <t xml:space="preserve"> STRONGBIRD</t>
    </r>
  </si>
  <si>
    <r>
      <t>赖</t>
    </r>
    <r>
      <rPr>
        <sz val="11"/>
        <color theme="1"/>
        <rFont val="ＭＳ Ｐゴシック"/>
        <family val="3"/>
        <charset val="128"/>
        <scheme val="minor"/>
      </rPr>
      <t>利平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</si>
  <si>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黄酒; 果酒（含酒精）; 开胃酒; 食用酒精; 米酒; 葡萄酒</t>
    </r>
  </si>
  <si>
    <t>省玗坊</t>
  </si>
  <si>
    <r>
      <t>王支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</si>
  <si>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>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高粱酒; 果酒;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白干酒（中国白酒）; 米酒; 果酒（含酒精）</t>
    </r>
  </si>
  <si>
    <r>
      <t>雅掌</t>
    </r>
    <r>
      <rPr>
        <sz val="11"/>
        <color theme="1"/>
        <rFont val="ＭＳ Ｐゴシック"/>
        <family val="3"/>
        <charset val="134"/>
        <scheme val="minor"/>
      </rPr>
      <t>门</t>
    </r>
  </si>
  <si>
    <t>陈恳</t>
  </si>
  <si>
    <r>
      <t xml:space="preserve">开胃酒;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清酒; 果酒（含酒精）; 威士忌;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</si>
  <si>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极山</t>
  </si>
  <si>
    <r>
      <t>李玉</t>
    </r>
    <r>
      <rPr>
        <sz val="11"/>
        <color theme="1"/>
        <rFont val="ＭＳ Ｐゴシック"/>
        <family val="3"/>
        <charset val="134"/>
        <scheme val="minor"/>
      </rPr>
      <t>东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</si>
  <si>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青稞酒; 露酒; 米酒; 高粱酒; 黄酒;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</si>
  <si>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SOONSERENI</t>
  </si>
  <si>
    <r>
      <t>王惟</t>
    </r>
    <r>
      <rPr>
        <sz val="11"/>
        <color theme="1"/>
        <rFont val="ＭＳ Ｐゴシック"/>
        <family val="3"/>
        <charset val="134"/>
        <scheme val="minor"/>
      </rPr>
      <t>帅</t>
    </r>
  </si>
  <si>
    <r>
      <t>米酒; 果酒（含酒精）; 清酒（日本米酒）;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</t>
    </r>
  </si>
  <si>
    <t>金稻御</t>
  </si>
  <si>
    <r>
      <t>清流</t>
    </r>
    <r>
      <rPr>
        <sz val="11"/>
        <color theme="1"/>
        <rFont val="ＭＳ Ｐゴシック"/>
        <family val="3"/>
        <charset val="134"/>
        <scheme val="minor"/>
      </rPr>
      <t>县龙</t>
    </r>
    <r>
      <rPr>
        <sz val="11"/>
        <color theme="1"/>
        <rFont val="ＭＳ Ｐゴシック"/>
        <family val="3"/>
        <charset val="128"/>
        <scheme val="minor"/>
      </rPr>
      <t>津</t>
    </r>
    <r>
      <rPr>
        <sz val="11"/>
        <color theme="1"/>
        <rFont val="ＭＳ Ｐゴシック"/>
        <family val="3"/>
        <charset val="134"/>
        <scheme val="minor"/>
      </rPr>
      <t>镇</t>
    </r>
    <r>
      <rPr>
        <sz val="11"/>
        <color theme="1"/>
        <rFont val="ＭＳ Ｐゴシック"/>
        <family val="3"/>
        <charset val="128"/>
        <scheme val="minor"/>
      </rPr>
      <t>中伍百</t>
    </r>
    <r>
      <rPr>
        <sz val="11"/>
        <color theme="1"/>
        <rFont val="ＭＳ Ｐゴシック"/>
        <family val="3"/>
        <charset val="134"/>
        <scheme val="minor"/>
      </rPr>
      <t>货</t>
    </r>
    <r>
      <rPr>
        <sz val="11"/>
        <color theme="1"/>
        <rFont val="ＭＳ Ｐゴシック"/>
        <family val="3"/>
        <charset val="128"/>
        <scheme val="minor"/>
      </rPr>
      <t>商行</t>
    </r>
  </si>
  <si>
    <r>
      <t xml:space="preserve">奶油利口酒; 茴香酒;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草莓酒; 青梅酒;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葡萄酒</t>
    </r>
  </si>
  <si>
    <t>集尊民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</si>
  <si>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州集尊酒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</si>
  <si>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食用酒精;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威士忌; 葡萄酒; 烈酒; 果酒; 黄酒</t>
    </r>
  </si>
  <si>
    <t>EDOIZUMI</t>
  </si>
  <si>
    <r>
      <t>江</t>
    </r>
    <r>
      <rPr>
        <sz val="11"/>
        <color theme="1"/>
        <rFont val="ＭＳ Ｐゴシック"/>
        <family val="3"/>
        <charset val="134"/>
        <scheme val="minor"/>
      </rPr>
      <t>门</t>
    </r>
    <r>
      <rPr>
        <sz val="11"/>
        <color theme="1"/>
        <rFont val="ＭＳ Ｐゴシック"/>
        <family val="3"/>
        <charset val="128"/>
        <scheme val="minor"/>
      </rPr>
      <t>市江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泉食品有限公司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</si>
  <si>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开胃酒;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果酒; 白酒; 清酒（日本米酒）;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</si>
  <si>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t>岱芸山</t>
  </si>
  <si>
    <r>
      <t>泉州中良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</si>
  <si>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威士忌; 黄酒; 清酒（日本米酒）;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</si>
  <si>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芭班</t>
    </r>
    <r>
      <rPr>
        <sz val="11"/>
        <color theme="1"/>
        <rFont val="ＭＳ Ｐゴシック"/>
        <family val="3"/>
        <charset val="134"/>
        <scheme val="minor"/>
      </rPr>
      <t>长</t>
    </r>
  </si>
  <si>
    <r>
      <t>漳州</t>
    </r>
    <r>
      <rPr>
        <sz val="11"/>
        <color theme="1"/>
        <rFont val="ＭＳ Ｐゴシック"/>
        <family val="3"/>
        <charset val="134"/>
        <scheme val="minor"/>
      </rPr>
      <t>鹏鹭贸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</si>
  <si>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高粱酒; 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</si>
  <si>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r>
      <t>苏</t>
    </r>
    <r>
      <rPr>
        <sz val="11"/>
        <color theme="1"/>
        <rFont val="ＭＳ Ｐゴシック"/>
        <family val="3"/>
        <charset val="129"/>
        <scheme val="minor"/>
      </rPr>
      <t>胜</t>
    </r>
    <r>
      <rPr>
        <sz val="11"/>
        <color theme="1"/>
        <rFont val="ＭＳ Ｐゴシック"/>
        <family val="3"/>
        <charset val="134"/>
        <scheme val="minor"/>
      </rPr>
      <t>龙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</si>
  <si>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黄酒; 伏特加酒;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果酒</t>
    </r>
  </si>
  <si>
    <r>
      <t>津津</t>
    </r>
    <r>
      <rPr>
        <sz val="11"/>
        <color theme="1"/>
        <rFont val="ＭＳ Ｐゴシック"/>
        <family val="3"/>
        <charset val="134"/>
        <scheme val="minor"/>
      </rPr>
      <t>桦</t>
    </r>
  </si>
  <si>
    <r>
      <t>上海宏途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达信息科技有限公司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</si>
  <si>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黄酒; 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</si>
  <si>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r>
      <t xml:space="preserve">黄酒; 葡萄酒; 食用酒精; 威士忌; 米酒; 白酒; 餐后酒（利口酒和烈酒）;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</si>
  <si>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章吴</t>
    </r>
    <r>
      <rPr>
        <sz val="11"/>
        <color theme="1"/>
        <rFont val="ＭＳ Ｐゴシック"/>
        <family val="3"/>
        <charset val="134"/>
        <scheme val="minor"/>
      </rPr>
      <t>记</t>
    </r>
  </si>
  <si>
    <t>章桂友</t>
  </si>
  <si>
    <r>
      <t>苦味酒;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蜂蜜酒; 青稞酒; 含酒精的气泡水; 利口酒;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</si>
  <si>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福御医</t>
  </si>
  <si>
    <r>
      <t>爱</t>
    </r>
    <r>
      <rPr>
        <sz val="11"/>
        <color theme="1"/>
        <rFont val="ＭＳ Ｐゴシック"/>
        <family val="3"/>
        <charset val="128"/>
        <scheme val="minor"/>
      </rPr>
      <t>善天使健康管理集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</si>
  <si>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开胃酒</t>
    </r>
  </si>
  <si>
    <t>EVOLTCITI</t>
  </si>
  <si>
    <t>霍索恩五金有限公司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</si>
  <si>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白酒; 葡萄酒; 米酒;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</si>
  <si>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冀</t>
    </r>
    <r>
      <rPr>
        <sz val="11"/>
        <color theme="1"/>
        <rFont val="ＭＳ Ｐゴシック"/>
        <family val="3"/>
        <charset val="134"/>
        <scheme val="minor"/>
      </rPr>
      <t>畅</t>
    </r>
  </si>
  <si>
    <r>
      <t>辛集市</t>
    </r>
    <r>
      <rPr>
        <sz val="11"/>
        <color theme="1"/>
        <rFont val="ＭＳ Ｐゴシック"/>
        <family val="3"/>
        <charset val="134"/>
        <scheme val="minor"/>
      </rPr>
      <t>畅</t>
    </r>
    <r>
      <rPr>
        <sz val="11"/>
        <color theme="1"/>
        <rFont val="ＭＳ Ｐゴシック"/>
        <family val="3"/>
        <charset val="128"/>
        <scheme val="minor"/>
      </rPr>
      <t>利商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</si>
  <si>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薄荷酒; 米酒;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苹果酒; 开胃酒; 利口酒</t>
    </r>
  </si>
  <si>
    <r>
      <t>狂</t>
    </r>
    <r>
      <rPr>
        <sz val="11"/>
        <color theme="1"/>
        <rFont val="ＭＳ Ｐゴシック"/>
        <family val="3"/>
        <charset val="134"/>
        <scheme val="minor"/>
      </rPr>
      <t>玺</t>
    </r>
  </si>
  <si>
    <r>
      <t xml:space="preserve">黄酒; 清酒; 果酒（含酒精）;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威士忌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</si>
  <si>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仙悦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</si>
  <si>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威士忌; 清酒; 开胃酒; 米酒;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</si>
  <si>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浙品都</t>
  </si>
  <si>
    <r>
      <t>杭州品都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</si>
  <si>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苹果酒;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白酒; 果酒（含酒精）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</si>
  <si>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利口酒; 果酒（含酒精）; 白酒;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伏特加酒; 米酒</t>
    </r>
  </si>
  <si>
    <r>
      <t>鹭</t>
    </r>
    <r>
      <rPr>
        <sz val="11"/>
        <color theme="1"/>
        <rFont val="ＭＳ Ｐゴシック"/>
        <family val="3"/>
        <charset val="128"/>
        <scheme val="minor"/>
      </rPr>
      <t>洵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</si>
  <si>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利（******************）</t>
    </r>
  </si>
  <si>
    <r>
      <t xml:space="preserve">黄酒; 果酒（含酒精）;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杜松子酒;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薄荷酒; 苦味酒; 米酒; 白酒</t>
    </r>
  </si>
  <si>
    <t>品往事</t>
  </si>
  <si>
    <r>
      <t>代</t>
    </r>
    <r>
      <rPr>
        <sz val="11"/>
        <color theme="1"/>
        <rFont val="ＭＳ Ｐゴシック"/>
        <family val="3"/>
        <charset val="134"/>
        <scheme val="minor"/>
      </rPr>
      <t>伟</t>
    </r>
  </si>
  <si>
    <r>
      <t xml:space="preserve">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白酒; 威士忌; 烈酒; 果酒（含酒精）; 开胃酒; 清酒（日本米酒）</t>
    </r>
  </si>
  <si>
    <t>偶点</t>
  </si>
  <si>
    <r>
      <t>广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9"/>
        <scheme val="minor"/>
      </rPr>
      <t>优</t>
    </r>
    <r>
      <rPr>
        <sz val="11"/>
        <color theme="1"/>
        <rFont val="ＭＳ Ｐゴシック"/>
        <family val="3"/>
        <charset val="128"/>
        <scheme val="minor"/>
      </rPr>
      <t>益科技集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</si>
  <si>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</si>
  <si>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r>
      <t>上海幻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信息科技有限公司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</si>
  <si>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清酒（日本米酒）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</si>
  <si>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果酒（含酒精）;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</si>
  <si>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沂玖植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</si>
  <si>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威士忌; 黄酒; 清酒;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</t>
    </r>
  </si>
  <si>
    <r>
      <t>兮</t>
    </r>
    <r>
      <rPr>
        <sz val="11"/>
        <color theme="1"/>
        <rFont val="ＭＳ Ｐゴシック"/>
        <family val="3"/>
        <charset val="134"/>
        <scheme val="minor"/>
      </rPr>
      <t>庆</t>
    </r>
  </si>
  <si>
    <r>
      <t>李</t>
    </r>
    <r>
      <rPr>
        <sz val="11"/>
        <color theme="1"/>
        <rFont val="ＭＳ Ｐゴシック"/>
        <family val="3"/>
        <charset val="134"/>
        <scheme val="minor"/>
      </rPr>
      <t>帅军</t>
    </r>
  </si>
  <si>
    <r>
      <t>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食用酒精</t>
    </r>
  </si>
  <si>
    <r>
      <t>中国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影股份有限公司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</si>
  <si>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果酒（含酒精）; 利口酒; 清酒; 白酒; 黄酒; 汽酒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</si>
  <si>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食用酒精; 葡萄酒; 米酒; 利口酒;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餐后酒（利口酒和烈酒）; 威士忌</t>
    </r>
  </si>
  <si>
    <t>良食云</t>
  </si>
  <si>
    <r>
      <t>深圳良食益友供</t>
    </r>
    <r>
      <rPr>
        <sz val="11"/>
        <color theme="1"/>
        <rFont val="ＭＳ Ｐゴシック"/>
        <family val="3"/>
        <charset val="134"/>
        <scheme val="minor"/>
      </rPr>
      <t>应链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</si>
  <si>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开胃酒; 苹果酒;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汽酒; 威士忌</t>
    </r>
  </si>
  <si>
    <r>
      <t xml:space="preserve">清酒; 青稞酒; 食用酒精; 开胃酒;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白酒; 薄荷酒; 茴香酒（利口酒）</t>
    </r>
  </si>
  <si>
    <r>
      <t>彩迎</t>
    </r>
    <r>
      <rPr>
        <sz val="11"/>
        <color theme="1"/>
        <rFont val="ＭＳ Ｐゴシック"/>
        <family val="3"/>
        <charset val="134"/>
        <scheme val="minor"/>
      </rPr>
      <t>门</t>
    </r>
  </si>
  <si>
    <r>
      <t>果酒（含酒精）; 蜂蜜酒;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开胃酒; 苹果酒;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白酒</t>
    </r>
  </si>
  <si>
    <t>水理芙 WATER LIEF</t>
  </si>
  <si>
    <r>
      <t>汕</t>
    </r>
    <r>
      <rPr>
        <sz val="11"/>
        <color theme="1"/>
        <rFont val="ＭＳ Ｐゴシック"/>
        <family val="3"/>
        <charset val="134"/>
        <scheme val="minor"/>
      </rPr>
      <t>头</t>
    </r>
    <r>
      <rPr>
        <sz val="11"/>
        <color theme="1"/>
        <rFont val="ＭＳ Ｐゴシック"/>
        <family val="3"/>
        <charset val="128"/>
        <scheme val="minor"/>
      </rPr>
      <t>市小美化</t>
    </r>
    <r>
      <rPr>
        <sz val="11"/>
        <color theme="1"/>
        <rFont val="ＭＳ Ｐゴシック"/>
        <family val="3"/>
        <charset val="134"/>
        <scheme val="minor"/>
      </rPr>
      <t>妆</t>
    </r>
    <r>
      <rPr>
        <sz val="11"/>
        <color theme="1"/>
        <rFont val="ＭＳ Ｐゴシック"/>
        <family val="3"/>
        <charset val="128"/>
        <scheme val="minor"/>
      </rPr>
      <t>品有限公司</t>
    </r>
  </si>
  <si>
    <r>
      <t xml:space="preserve">伏特加酒;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葡萄酒;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</si>
  <si>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酣</t>
    </r>
    <r>
      <rPr>
        <sz val="11"/>
        <color theme="1"/>
        <rFont val="ＭＳ Ｐゴシック"/>
        <family val="3"/>
        <charset val="134"/>
        <scheme val="minor"/>
      </rPr>
      <t>蕴</t>
    </r>
  </si>
  <si>
    <r>
      <t>自耕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</si>
  <si>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威士忌;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葡萄酒</t>
    </r>
  </si>
  <si>
    <t>喜吟祥</t>
  </si>
  <si>
    <r>
      <t>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烈酒; 葡萄酒; 威士忌; 青稞酒;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</si>
  <si>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t>喜吟君</t>
  </si>
  <si>
    <r>
      <t xml:space="preserve">葡萄酒; 烈酒; 米酒;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白酒; 青稞酒</t>
    </r>
  </si>
  <si>
    <r>
      <t>崀</t>
    </r>
    <r>
      <rPr>
        <sz val="11"/>
        <color theme="1"/>
        <rFont val="ＭＳ Ｐゴシック"/>
        <family val="3"/>
        <charset val="128"/>
        <scheme val="minor"/>
      </rPr>
      <t>山喜湘逢</t>
    </r>
  </si>
  <si>
    <r>
      <t>湖南喜湘逢酒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</si>
  <si>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米酒; 蒸煮提取物（利口酒和烈酒）; 白酒; 葡萄酒; 烈酒; 青稞酒</t>
    </r>
  </si>
  <si>
    <t>古滇梦</t>
  </si>
  <si>
    <r>
      <t>云南虎力酒</t>
    </r>
    <r>
      <rPr>
        <sz val="11"/>
        <color theme="1"/>
        <rFont val="ＭＳ Ｐゴシック"/>
        <family val="3"/>
        <charset val="134"/>
        <scheme val="minor"/>
      </rPr>
      <t>业销</t>
    </r>
    <r>
      <rPr>
        <sz val="11"/>
        <color theme="1"/>
        <rFont val="ＭＳ Ｐゴシック"/>
        <family val="3"/>
        <charset val="128"/>
        <scheme val="minor"/>
      </rPr>
      <t>售有限公司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</si>
  <si>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黄酒; 白酒; 米酒; 苦味酒; 葡萄酒;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</si>
  <si>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严</t>
    </r>
    <r>
      <rPr>
        <sz val="11"/>
        <color theme="1"/>
        <rFont val="ＭＳ Ｐゴシック"/>
        <family val="3"/>
        <charset val="128"/>
        <scheme val="minor"/>
      </rPr>
      <t>料公社</t>
    </r>
  </si>
  <si>
    <t>严军</t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</si>
  <si>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</si>
  <si>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司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南</t>
    </r>
  </si>
  <si>
    <r>
      <t>三</t>
    </r>
    <r>
      <rPr>
        <sz val="11"/>
        <color theme="1"/>
        <rFont val="ＭＳ Ｐゴシック"/>
        <family val="3"/>
        <charset val="134"/>
        <scheme val="minor"/>
      </rPr>
      <t>亚</t>
    </r>
    <r>
      <rPr>
        <sz val="11"/>
        <color theme="1"/>
        <rFont val="ＭＳ Ｐゴシック"/>
        <family val="3"/>
        <charset val="128"/>
        <scheme val="minor"/>
      </rPr>
      <t>崖州司</t>
    </r>
    <r>
      <rPr>
        <sz val="11"/>
        <color theme="1"/>
        <rFont val="ＭＳ Ｐゴシック"/>
        <family val="3"/>
        <charset val="134"/>
        <scheme val="minor"/>
      </rPr>
      <t>马</t>
    </r>
    <r>
      <rPr>
        <sz val="11"/>
        <color theme="1"/>
        <rFont val="ＭＳ Ｐゴシック"/>
        <family val="3"/>
        <charset val="128"/>
        <scheme val="minor"/>
      </rPr>
      <t>南文化工作室</t>
    </r>
  </si>
  <si>
    <r>
      <t>米酒; 果酒（含酒精）; 威士忌;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蜂蜜酒;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葡萄酒</t>
    </r>
  </si>
  <si>
    <r>
      <t>武当傲</t>
    </r>
    <r>
      <rPr>
        <sz val="11"/>
        <color theme="1"/>
        <rFont val="ＭＳ Ｐゴシック"/>
        <family val="3"/>
        <charset val="134"/>
        <scheme val="minor"/>
      </rPr>
      <t>娇</t>
    </r>
  </si>
  <si>
    <r>
      <t>武</t>
    </r>
    <r>
      <rPr>
        <sz val="11"/>
        <color theme="1"/>
        <rFont val="ＭＳ Ｐゴシック"/>
        <family val="3"/>
        <charset val="134"/>
        <scheme val="minor"/>
      </rPr>
      <t>汉鸿</t>
    </r>
    <r>
      <rPr>
        <sz val="11"/>
        <color theme="1"/>
        <rFont val="ＭＳ Ｐゴシック"/>
        <family val="3"/>
        <charset val="128"/>
        <scheme val="minor"/>
      </rPr>
      <t>蒙金榜科技有限公司</t>
    </r>
  </si>
  <si>
    <r>
      <t>米酒; 开胃酒;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甜果酒; 白酒;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黄酒</t>
    </r>
  </si>
  <si>
    <t>湖北展旗生物科技有限公司</t>
  </si>
  <si>
    <r>
      <t>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清酒; 米酒; 甜果酒;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</t>
    </r>
  </si>
  <si>
    <t>窿</t>
  </si>
  <si>
    <r>
      <t>昌南新区</t>
    </r>
    <r>
      <rPr>
        <sz val="11"/>
        <color theme="1"/>
        <rFont val="ＭＳ Ｐゴシック"/>
        <family val="3"/>
        <charset val="134"/>
        <scheme val="minor"/>
      </rPr>
      <t>凯泽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行（个体工商</t>
    </r>
    <r>
      <rPr>
        <sz val="11"/>
        <color theme="1"/>
        <rFont val="ＭＳ Ｐゴシック"/>
        <family val="3"/>
        <charset val="134"/>
        <scheme val="minor"/>
      </rPr>
      <t>户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</si>
  <si>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 xml:space="preserve">果酒（含酒精）; 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</si>
  <si>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国富</t>
    </r>
  </si>
  <si>
    <r>
      <t>白葡萄酒;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白酒; 食用酒精;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汽酒</t>
    </r>
  </si>
  <si>
    <t>迪哥朗</t>
  </si>
  <si>
    <r>
      <t>陕</t>
    </r>
    <r>
      <rPr>
        <sz val="11"/>
        <color theme="1"/>
        <rFont val="ＭＳ Ｐゴシック"/>
        <family val="3"/>
        <charset val="128"/>
        <scheme val="minor"/>
      </rPr>
      <t>西佬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甄品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</si>
  <si>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含酒精的气泡水;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</si>
  <si>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古滇沁</t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</si>
  <si>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苦味酒; 葡萄酒; 黄酒; 开胃酒; 利口酒; 果酒（含酒精）</t>
    </r>
  </si>
  <si>
    <t>LINKRYEE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</si>
  <si>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鸣</t>
    </r>
    <r>
      <rPr>
        <sz val="11"/>
        <color theme="1"/>
        <rFont val="ＭＳ Ｐゴシック"/>
        <family val="3"/>
        <charset val="128"/>
        <scheme val="minor"/>
      </rPr>
      <t>旭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子科技有限公司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</si>
  <si>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</si>
  <si>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r>
      <t>骆</t>
    </r>
    <r>
      <rPr>
        <sz val="11"/>
        <color theme="1"/>
        <rFont val="ＭＳ Ｐゴシック"/>
        <family val="3"/>
        <charset val="128"/>
        <scheme val="minor"/>
      </rPr>
      <t>御医</t>
    </r>
  </si>
  <si>
    <r>
      <t>白酒; 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威士忌; 开胃酒; 汽酒;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</si>
  <si>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NENA</t>
  </si>
  <si>
    <r>
      <t xml:space="preserve">甜酒; 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利口酒;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</t>
    </r>
  </si>
  <si>
    <t>新林人</t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</si>
  <si>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喜来</t>
    </r>
    <r>
      <rPr>
        <sz val="11"/>
        <color theme="1"/>
        <rFont val="ＭＳ Ｐゴシック"/>
        <family val="3"/>
        <charset val="134"/>
        <scheme val="minor"/>
      </rPr>
      <t>购电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</si>
  <si>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白酒; 黄酒; 果酒（含酒精）; 葡萄酒; 清酒（日本米酒）;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</si>
  <si>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耀沅炁</t>
  </si>
  <si>
    <t>深圳市葫芦里养生文化旅游有限公司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</si>
  <si>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</t>
    </r>
  </si>
  <si>
    <t>坤灵鑫运</t>
  </si>
  <si>
    <r>
      <t>万荣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北阳堡村坤灵家庭</t>
    </r>
    <r>
      <rPr>
        <sz val="11"/>
        <color theme="1"/>
        <rFont val="ＭＳ Ｐゴシック"/>
        <family val="3"/>
        <charset val="134"/>
        <scheme val="minor"/>
      </rPr>
      <t>农场</t>
    </r>
    <r>
      <rPr>
        <sz val="11"/>
        <color theme="1"/>
        <rFont val="ＭＳ Ｐゴシック"/>
        <family val="3"/>
        <charset val="128"/>
        <scheme val="minor"/>
      </rPr>
      <t>（个人独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）</t>
    </r>
  </si>
  <si>
    <r>
      <t>烈性干酒;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米酒; 甜酒</t>
    </r>
  </si>
  <si>
    <t>行止晚</t>
  </si>
  <si>
    <r>
      <t>东</t>
    </r>
    <r>
      <rPr>
        <sz val="11"/>
        <color theme="1"/>
        <rFont val="ＭＳ Ｐゴシック"/>
        <family val="3"/>
        <charset val="128"/>
        <scheme val="minor"/>
      </rPr>
      <t>阳</t>
    </r>
    <r>
      <rPr>
        <sz val="11"/>
        <color theme="1"/>
        <rFont val="ＭＳ Ｐゴシック"/>
        <family val="3"/>
        <charset val="134"/>
        <scheme val="minor"/>
      </rPr>
      <t>欢娱</t>
    </r>
    <r>
      <rPr>
        <sz val="11"/>
        <color theme="1"/>
        <rFont val="ＭＳ Ｐゴシック"/>
        <family val="3"/>
        <charset val="128"/>
        <scheme val="minor"/>
      </rPr>
      <t>影</t>
    </r>
    <r>
      <rPr>
        <sz val="11"/>
        <color theme="1"/>
        <rFont val="ＭＳ Ｐゴシック"/>
        <family val="3"/>
        <charset val="134"/>
        <scheme val="minor"/>
      </rPr>
      <t>视</t>
    </r>
    <r>
      <rPr>
        <sz val="11"/>
        <color theme="1"/>
        <rFont val="ＭＳ Ｐゴシック"/>
        <family val="3"/>
        <charset val="128"/>
        <scheme val="minor"/>
      </rPr>
      <t>文化有限公司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</si>
  <si>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开胃酒;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黄酒;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</t>
    </r>
  </si>
  <si>
    <r>
      <t>易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风</t>
    </r>
  </si>
  <si>
    <r>
      <t>深圳市易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万康生物科技有限公司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</si>
  <si>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葡萄酒; 清酒（日本米酒）; 威士忌;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</si>
  <si>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宴庭福</t>
  </si>
  <si>
    <t>王喜燕</t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</si>
  <si>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清酒（日本米酒）; 白酒; 果酒（含酒精）; 食用酒精</t>
    </r>
  </si>
  <si>
    <t>NYNA</t>
  </si>
  <si>
    <r>
      <t>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葡萄酒; 甜酒;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</si>
  <si>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富京</t>
    </r>
    <r>
      <rPr>
        <sz val="11"/>
        <color theme="1"/>
        <rFont val="ＭＳ Ｐゴシック"/>
        <family val="3"/>
        <charset val="134"/>
        <scheme val="minor"/>
      </rPr>
      <t>华</t>
    </r>
  </si>
  <si>
    <t>何旭</t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</si>
  <si>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果酒（含酒精）;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</si>
  <si>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舞洋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(</t>
    </r>
    <r>
      <rPr>
        <sz val="11"/>
        <color theme="1"/>
        <rFont val="ＭＳ Ｐゴシック"/>
        <family val="3"/>
        <charset val="134"/>
        <scheme val="minor"/>
      </rPr>
      <t>贵</t>
    </r>
    <r>
      <rPr>
        <sz val="11"/>
        <color theme="1"/>
        <rFont val="ＭＳ Ｐゴシック"/>
        <family val="3"/>
        <charset val="128"/>
        <scheme val="minor"/>
      </rPr>
      <t>州)有限公司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</si>
  <si>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食用酒精;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</si>
  <si>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鑫</t>
    </r>
    <r>
      <rPr>
        <sz val="11"/>
        <color theme="1"/>
        <rFont val="ＭＳ Ｐゴシック"/>
        <family val="3"/>
        <charset val="134"/>
        <scheme val="minor"/>
      </rPr>
      <t>创创</t>
    </r>
    <r>
      <rPr>
        <sz val="11"/>
        <color theme="1"/>
        <rFont val="ＭＳ Ｐゴシック"/>
        <family val="3"/>
        <charset val="128"/>
        <scheme val="minor"/>
      </rPr>
      <t>鑫</t>
    </r>
  </si>
  <si>
    <r>
      <t>辽</t>
    </r>
    <r>
      <rPr>
        <sz val="11"/>
        <color theme="1"/>
        <rFont val="ＭＳ Ｐゴシック"/>
        <family val="3"/>
        <charset val="128"/>
        <scheme val="minor"/>
      </rPr>
      <t>宁鑫</t>
    </r>
    <r>
      <rPr>
        <sz val="11"/>
        <color theme="1"/>
        <rFont val="ＭＳ Ｐゴシック"/>
        <family val="3"/>
        <charset val="134"/>
        <scheme val="minor"/>
      </rPr>
      <t>创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</si>
  <si>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露酒; 葡萄酒;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</t>
    </r>
  </si>
  <si>
    <t>九紫百福旺</t>
  </si>
  <si>
    <r>
      <t>湖北粮者会客</t>
    </r>
    <r>
      <rPr>
        <sz val="11"/>
        <color theme="1"/>
        <rFont val="ＭＳ Ｐゴシック"/>
        <family val="3"/>
        <charset val="134"/>
        <scheme val="minor"/>
      </rPr>
      <t>厅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</si>
  <si>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甜酒; 白酒;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黄酒; 果酒</t>
    </r>
  </si>
  <si>
    <r>
      <t>遂州</t>
    </r>
    <r>
      <rPr>
        <sz val="11"/>
        <color theme="1"/>
        <rFont val="ＭＳ Ｐゴシック"/>
        <family val="3"/>
        <charset val="134"/>
        <scheme val="minor"/>
      </rPr>
      <t>闵</t>
    </r>
    <r>
      <rPr>
        <sz val="11"/>
        <color theme="1"/>
        <rFont val="ＭＳ Ｐゴシック"/>
        <family val="3"/>
        <charset val="128"/>
        <scheme val="minor"/>
      </rPr>
      <t>氏</t>
    </r>
  </si>
  <si>
    <r>
      <t>闵</t>
    </r>
    <r>
      <rPr>
        <sz val="11"/>
        <color theme="1"/>
        <rFont val="ＭＳ Ｐゴシック"/>
        <family val="3"/>
        <charset val="128"/>
        <scheme val="minor"/>
      </rPr>
      <t>小平</t>
    </r>
  </si>
  <si>
    <r>
      <t xml:space="preserve">开胃酒; 利口酒; 烈酒;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蜂蜜酒</t>
    </r>
  </si>
  <si>
    <t>岑悦</t>
  </si>
  <si>
    <r>
      <t>盘</t>
    </r>
    <r>
      <rPr>
        <sz val="11"/>
        <color theme="1"/>
        <rFont val="ＭＳ Ｐゴシック"/>
        <family val="3"/>
        <charset val="128"/>
        <scheme val="minor"/>
      </rPr>
      <t>汝全</t>
    </r>
  </si>
  <si>
    <r>
      <t>米酒; 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米酒（泡盛酒）;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威士忌; 果酒（含酒精）; 白干酒（中国白酒）;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</si>
  <si>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佰粮</t>
    </r>
    <r>
      <rPr>
        <sz val="11"/>
        <color theme="1"/>
        <rFont val="ＭＳ Ｐゴシック"/>
        <family val="3"/>
        <charset val="134"/>
        <scheme val="minor"/>
      </rPr>
      <t>欢</t>
    </r>
  </si>
  <si>
    <t>梁文涛</t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</si>
  <si>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白酒; 烈酒;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开胃酒</t>
    </r>
  </si>
  <si>
    <t>HOUNA</t>
  </si>
  <si>
    <r>
      <t>甜酒;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利口酒; 米酒</t>
    </r>
  </si>
  <si>
    <t>HOUN</t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</si>
  <si>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甜酒; 葡萄酒; 利口酒; 米酒;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</t>
    </r>
  </si>
  <si>
    <r>
      <t>西凉</t>
    </r>
    <r>
      <rPr>
        <sz val="11"/>
        <color theme="1"/>
        <rFont val="ＭＳ Ｐゴシック"/>
        <family val="3"/>
        <charset val="134"/>
        <scheme val="minor"/>
      </rPr>
      <t>乐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</si>
  <si>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白酒; 葡萄酒; 青稞酒; 高粱酒;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酸酒（低等葡萄酒）; 食用酒精</t>
    </r>
  </si>
  <si>
    <t>舒翎特</t>
  </si>
  <si>
    <r>
      <t>舒翎特（深圳）文化科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</si>
  <si>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果酒; 米酒; 烈酒; 露酒; 白干酒（中国白酒）; 混合威士忌酒;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甜酒; 葡萄酒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</si>
  <si>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坝</t>
    </r>
    <r>
      <rPr>
        <sz val="11"/>
        <color theme="1"/>
        <rFont val="ＭＳ Ｐゴシック"/>
        <family val="3"/>
        <charset val="128"/>
        <scheme val="minor"/>
      </rPr>
      <t>村夫</t>
    </r>
  </si>
  <si>
    <r>
      <t>江西洲牧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</si>
  <si>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米酒; 黄酒; 白酒;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食用酒精; 果酒</t>
    </r>
  </si>
  <si>
    <t>君典承源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</si>
  <si>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钧</t>
    </r>
    <r>
      <rPr>
        <sz val="11"/>
        <color theme="1"/>
        <rFont val="ＭＳ Ｐゴシック"/>
        <family val="3"/>
        <charset val="128"/>
        <scheme val="minor"/>
      </rPr>
      <t>梦台酒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</si>
  <si>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白酒; 威士忌; 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</t>
    </r>
  </si>
  <si>
    <t>淡客醉吟</t>
  </si>
  <si>
    <r>
      <t>亳州市大晟酒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</si>
  <si>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果酒（含酒精）;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米酒; 食用酒精; 白酒;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</si>
  <si>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陈</t>
    </r>
    <r>
      <rPr>
        <sz val="11"/>
        <color theme="1"/>
        <rFont val="ＭＳ Ｐゴシック"/>
        <family val="3"/>
        <charset val="128"/>
        <scheme val="minor"/>
      </rPr>
      <t>文耿</t>
    </r>
  </si>
  <si>
    <r>
      <t>深圳市玖鼎</t>
    </r>
    <r>
      <rPr>
        <sz val="11"/>
        <color theme="1"/>
        <rFont val="ＭＳ Ｐゴシック"/>
        <family val="3"/>
        <charset val="134"/>
        <scheme val="minor"/>
      </rPr>
      <t>电缆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</si>
  <si>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甜酒;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露酒; 米酒; 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</t>
    </r>
  </si>
  <si>
    <r>
      <t>兴</t>
    </r>
    <r>
      <rPr>
        <sz val="11"/>
        <color theme="1"/>
        <rFont val="ＭＳ Ｐゴシック"/>
        <family val="3"/>
        <charset val="128"/>
        <scheme val="minor"/>
      </rPr>
      <t>林人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</si>
  <si>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开胃酒; 米酒;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白酒; 葡萄酒</t>
    </r>
  </si>
  <si>
    <t>九紫百福添</t>
  </si>
  <si>
    <r>
      <t>甜酒;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高粱酒; 米酒; 黄酒</t>
    </r>
  </si>
  <si>
    <t>蜀中君子情</t>
  </si>
  <si>
    <r>
      <t>肖</t>
    </r>
    <r>
      <rPr>
        <sz val="11"/>
        <color theme="1"/>
        <rFont val="ＭＳ Ｐゴシック"/>
        <family val="3"/>
        <charset val="134"/>
        <scheme val="minor"/>
      </rPr>
      <t>欢</t>
    </r>
  </si>
  <si>
    <r>
      <t>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黄酒; 白酒;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白干酒（中国白酒）; 烈酒</t>
    </r>
  </si>
  <si>
    <t>离紫承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</si>
  <si>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</t>
    </r>
  </si>
  <si>
    <t>贩闲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</si>
  <si>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叁</t>
    </r>
    <r>
      <rPr>
        <sz val="11"/>
        <color theme="1"/>
        <rFont val="ＭＳ Ｐゴシック"/>
        <family val="3"/>
        <charset val="128"/>
        <scheme val="minor"/>
      </rPr>
      <t>佰杯酒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</si>
  <si>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葡萄酒; 蒸煮提取物（利口酒和烈酒）;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</t>
    </r>
  </si>
  <si>
    <r>
      <t>古滇</t>
    </r>
    <r>
      <rPr>
        <sz val="11"/>
        <color theme="1"/>
        <rFont val="ＭＳ Ｐゴシック"/>
        <family val="3"/>
        <charset val="134"/>
        <scheme val="minor"/>
      </rPr>
      <t>赞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</si>
  <si>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黄酒; 白酒; 开胃酒; 利口酒; 果酒（含酒精）; 苦味酒;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米酒</t>
    </r>
  </si>
  <si>
    <r>
      <t>绥</t>
    </r>
    <r>
      <rPr>
        <sz val="11"/>
        <color theme="1"/>
        <rFont val="ＭＳ Ｐゴシック"/>
        <family val="3"/>
        <charset val="128"/>
        <scheme val="minor"/>
      </rPr>
      <t>北万福</t>
    </r>
  </si>
  <si>
    <r>
      <t>王玉</t>
    </r>
    <r>
      <rPr>
        <sz val="11"/>
        <color theme="1"/>
        <rFont val="ＭＳ Ｐゴシック"/>
        <family val="3"/>
        <charset val="134"/>
        <scheme val="minor"/>
      </rPr>
      <t>伟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</si>
  <si>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梨酒; 露酒; 果酒; 白酒; 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高粱酒;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甜果酒</t>
    </r>
  </si>
  <si>
    <r>
      <t>味</t>
    </r>
    <r>
      <rPr>
        <sz val="11"/>
        <color theme="1"/>
        <rFont val="ＭＳ Ｐゴシック"/>
        <family val="3"/>
        <charset val="134"/>
        <scheme val="minor"/>
      </rPr>
      <t>涟</t>
    </r>
    <r>
      <rPr>
        <sz val="11"/>
        <color theme="1"/>
        <rFont val="ＭＳ Ｐゴシック"/>
        <family val="3"/>
        <charset val="128"/>
        <scheme val="minor"/>
      </rPr>
      <t>升</t>
    </r>
  </si>
  <si>
    <t>何俊杰</t>
  </si>
  <si>
    <r>
      <t>白干酒（中国白酒）; 果酒;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白酒; 烈酒;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</si>
  <si>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福粮秋</t>
  </si>
  <si>
    <t>林翼宁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</si>
  <si>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清酒（日本米酒）; 白酒; 开胃酒; 威士忌; 黄酒; 烈酒;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</si>
  <si>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万福香韵</t>
  </si>
  <si>
    <r>
      <t xml:space="preserve">露酒; 甜酒; 高粱酒; 梨酒; 甜果酒; 白酒; 苹果酒;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果酒</t>
    </r>
  </si>
  <si>
    <t>古滇大帝</t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</si>
  <si>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米酒; 开胃酒;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苦味酒; 黄酒; 利口酒</t>
    </r>
  </si>
  <si>
    <t>量界</t>
  </si>
  <si>
    <r>
      <t>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葡萄酒; 甜酒; 白酒; 利口酒;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</si>
  <si>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云南思茅北</t>
    </r>
    <r>
      <rPr>
        <sz val="11"/>
        <color theme="1"/>
        <rFont val="ＭＳ Ｐゴシック"/>
        <family val="3"/>
        <charset val="134"/>
        <scheme val="minor"/>
      </rPr>
      <t>归</t>
    </r>
    <r>
      <rPr>
        <sz val="11"/>
        <color theme="1"/>
        <rFont val="ＭＳ Ｐゴシック"/>
        <family val="3"/>
        <charset val="128"/>
        <scheme val="minor"/>
      </rPr>
      <t>咖啡有限公司</t>
    </r>
  </si>
  <si>
    <r>
      <t>饮</t>
    </r>
    <r>
      <rPr>
        <sz val="11"/>
        <color theme="1"/>
        <rFont val="ＭＳ Ｐゴシック"/>
        <family val="3"/>
        <charset val="128"/>
        <scheme val="minor"/>
      </rPr>
      <t>用烈酒; 烈酒; 白酒;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果酒;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</si>
  <si>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神</t>
    </r>
    <r>
      <rPr>
        <sz val="11"/>
        <color theme="1"/>
        <rFont val="ＭＳ Ｐゴシック"/>
        <family val="3"/>
        <charset val="134"/>
        <scheme val="minor"/>
      </rPr>
      <t>闲赋</t>
    </r>
  </si>
  <si>
    <r>
      <t xml:space="preserve">威士忌;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</t>
    </r>
  </si>
  <si>
    <t>峰凛</t>
  </si>
  <si>
    <r>
      <t>柏草扁</t>
    </r>
    <r>
      <rPr>
        <sz val="11"/>
        <color theme="1"/>
        <rFont val="ＭＳ Ｐゴシック"/>
        <family val="3"/>
        <charset val="134"/>
        <scheme val="minor"/>
      </rPr>
      <t>鹊</t>
    </r>
  </si>
  <si>
    <r>
      <t>京</t>
    </r>
    <r>
      <rPr>
        <sz val="11"/>
        <color theme="1"/>
        <rFont val="ＭＳ Ｐゴシック"/>
        <family val="3"/>
        <charset val="134"/>
        <scheme val="minor"/>
      </rPr>
      <t>闪</t>
    </r>
    <r>
      <rPr>
        <sz val="11"/>
        <color theme="1"/>
        <rFont val="ＭＳ Ｐゴシック"/>
        <family val="3"/>
        <charset val="128"/>
        <scheme val="minor"/>
      </rPr>
      <t>生物医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科技（山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省）有限公司</t>
    </r>
  </si>
  <si>
    <r>
      <t xml:space="preserve">果酒（含酒精）;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黄酒; 白酒; 开胃酒;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</si>
  <si>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九</t>
    </r>
    <r>
      <rPr>
        <sz val="11"/>
        <color theme="1"/>
        <rFont val="ＭＳ Ｐゴシック"/>
        <family val="3"/>
        <charset val="134"/>
        <scheme val="minor"/>
      </rPr>
      <t>爷</t>
    </r>
  </si>
  <si>
    <t>郭淇清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</si>
  <si>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开胃酒; 果酒; 清酒（日本米酒）</t>
    </r>
  </si>
  <si>
    <r>
      <t>饶</t>
    </r>
    <r>
      <rPr>
        <sz val="11"/>
        <color theme="1"/>
        <rFont val="ＭＳ Ｐゴシック"/>
        <family val="3"/>
        <charset val="128"/>
        <scheme val="minor"/>
      </rPr>
      <t>平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敦元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</si>
  <si>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甜酒; 葡萄酒;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露酒; 果酒（含酒精）;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佐餐酒; 白酒</t>
    </r>
  </si>
  <si>
    <t>九紫百福喜</t>
  </si>
  <si>
    <r>
      <t>甜酒; 米酒;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果酒;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高粱酒</t>
    </r>
  </si>
  <si>
    <t>EISBAR</t>
  </si>
  <si>
    <r>
      <t>佛山</t>
    </r>
    <r>
      <rPr>
        <sz val="11"/>
        <color theme="1"/>
        <rFont val="ＭＳ Ｐゴシック"/>
        <family val="3"/>
        <charset val="134"/>
        <scheme val="minor"/>
      </rPr>
      <t>俪玛</t>
    </r>
    <r>
      <rPr>
        <sz val="11"/>
        <color theme="1"/>
        <rFont val="ＭＳ Ｐゴシック"/>
        <family val="3"/>
        <charset val="128"/>
        <scheme val="minor"/>
      </rPr>
      <t>服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</si>
  <si>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朗姆酒; 葡萄酒; 清酒（日本米酒）; 威士忌; 伏特加酒;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</si>
  <si>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t>刘学政</t>
  </si>
  <si>
    <r>
      <t>霍山情酒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（河源市）有限公司</t>
    </r>
  </si>
  <si>
    <r>
      <t>果酒; 葡萄酒; 甜酒; 黄酒; 露酒;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</si>
  <si>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帝丘</t>
  </si>
  <si>
    <t>柯敏</t>
  </si>
  <si>
    <r>
      <t xml:space="preserve">威士忌;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米酒; 梅酒; 果酒（含酒精）; 黄酒; 露酒;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</si>
  <si>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司南侠</t>
  </si>
  <si>
    <r>
      <t>中体国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体育有限公司</t>
    </r>
  </si>
  <si>
    <r>
      <t>果酒（含酒精）;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汽酒; 葡萄酒; 食用酒精;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</si>
  <si>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恰西姑娘</t>
  </si>
  <si>
    <r>
      <t>新疆</t>
    </r>
    <r>
      <rPr>
        <sz val="11"/>
        <color theme="1"/>
        <rFont val="ＭＳ Ｐゴシック"/>
        <family val="3"/>
        <charset val="134"/>
        <scheme val="minor"/>
      </rPr>
      <t>乐乐妈农业</t>
    </r>
    <r>
      <rPr>
        <sz val="11"/>
        <color theme="1"/>
        <rFont val="ＭＳ Ｐゴシック"/>
        <family val="3"/>
        <charset val="128"/>
        <scheme val="minor"/>
      </rPr>
      <t>科技有限公司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</si>
  <si>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果酒（含酒精）; 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利口酒</t>
    </r>
  </si>
  <si>
    <r>
      <t>约</t>
    </r>
    <r>
      <rPr>
        <sz val="11"/>
        <color theme="1"/>
        <rFont val="ＭＳ Ｐゴシック"/>
        <family val="3"/>
        <charset val="128"/>
        <scheme val="minor"/>
      </rPr>
      <t>翰路德</t>
    </r>
    <r>
      <rPr>
        <sz val="11"/>
        <color theme="1"/>
        <rFont val="ＭＳ Ｐゴシック"/>
        <family val="3"/>
        <charset val="134"/>
        <scheme val="minor"/>
      </rPr>
      <t>驰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</si>
  <si>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思柏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葡萄酒私人有限公司</t>
    </r>
  </si>
  <si>
    <r>
      <t>起泡白葡萄酒;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加烈葡萄酒; 起泡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餐后酒（利口酒和烈酒）; 葡萄汽酒;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</si>
  <si>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管家小</t>
    </r>
    <r>
      <rPr>
        <sz val="11"/>
        <color theme="1"/>
        <rFont val="ＭＳ Ｐゴシック"/>
        <family val="3"/>
        <charset val="134"/>
        <scheme val="minor"/>
      </rPr>
      <t>谱</t>
    </r>
  </si>
  <si>
    <r>
      <t>上海</t>
    </r>
    <r>
      <rPr>
        <sz val="11"/>
        <color theme="1"/>
        <rFont val="ＭＳ Ｐゴシック"/>
        <family val="3"/>
        <charset val="134"/>
        <scheme val="minor"/>
      </rPr>
      <t>谦</t>
    </r>
    <r>
      <rPr>
        <sz val="11"/>
        <color theme="1"/>
        <rFont val="ＭＳ Ｐゴシック"/>
        <family val="3"/>
        <charset val="128"/>
        <scheme val="minor"/>
      </rPr>
      <t>裳科技有限公司</t>
    </r>
  </si>
  <si>
    <r>
      <t xml:space="preserve">烈酒;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</si>
  <si>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妙心源</t>
  </si>
  <si>
    <r>
      <t>一心源（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莞）生物科技有限公司</t>
    </r>
  </si>
  <si>
    <r>
      <t xml:space="preserve">高粱酒; 白酒; 果酒; 米酒; 五加皮酒（中国混合烈酒）;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白干酒（中国白酒）;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</si>
  <si>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具合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</si>
  <si>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州省仁</t>
    </r>
    <r>
      <rPr>
        <sz val="11"/>
        <color theme="1"/>
        <rFont val="ＭＳ Ｐゴシック"/>
        <family val="3"/>
        <charset val="129"/>
        <scheme val="minor"/>
      </rPr>
      <t>怀</t>
    </r>
    <r>
      <rPr>
        <sz val="11"/>
        <color theme="1"/>
        <rFont val="ＭＳ Ｐゴシック"/>
        <family val="3"/>
        <charset val="128"/>
        <scheme val="minor"/>
      </rPr>
      <t>市宴台尊酒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</si>
  <si>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烈酒; 黄酒; 威士忌; 开胃酒; 白酒;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</si>
  <si>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尧</t>
    </r>
    <r>
      <rPr>
        <sz val="11"/>
        <color theme="1"/>
        <rFont val="ＭＳ Ｐゴシック"/>
        <family val="3"/>
        <charset val="128"/>
        <scheme val="minor"/>
      </rPr>
      <t>喜醉</t>
    </r>
  </si>
  <si>
    <t>任中奎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</si>
  <si>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食用酒精;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</si>
  <si>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黔棠春</t>
  </si>
  <si>
    <r>
      <t>上海荷享商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</si>
  <si>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汽酒; 黄酒; 高粱酒; 葡萄酒; 白酒; 果酒（含酒精）</t>
    </r>
  </si>
  <si>
    <r>
      <t>棠</t>
    </r>
    <r>
      <rPr>
        <sz val="11"/>
        <color theme="1"/>
        <rFont val="ＭＳ Ｐゴシック"/>
        <family val="3"/>
        <charset val="134"/>
        <scheme val="minor"/>
      </rPr>
      <t>赢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</si>
  <si>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米酒; 黄酒;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汽酒</t>
    </r>
  </si>
  <si>
    <r>
      <t>庐</t>
    </r>
    <r>
      <rPr>
        <sz val="11"/>
        <color theme="1"/>
        <rFont val="ＭＳ Ｐゴシック"/>
        <family val="3"/>
        <charset val="128"/>
        <scheme val="minor"/>
      </rPr>
      <t>岳</t>
    </r>
  </si>
  <si>
    <r>
      <t>江西</t>
    </r>
    <r>
      <rPr>
        <sz val="11"/>
        <color theme="1"/>
        <rFont val="ＭＳ Ｐゴシック"/>
        <family val="3"/>
        <charset val="134"/>
        <scheme val="minor"/>
      </rPr>
      <t>庐</t>
    </r>
    <r>
      <rPr>
        <sz val="11"/>
        <color theme="1"/>
        <rFont val="ＭＳ Ｐゴシック"/>
        <family val="3"/>
        <charset val="128"/>
        <scheme val="minor"/>
      </rPr>
      <t>湖酒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</si>
  <si>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酒（烈酒）; 清酒; 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高粱酒; 食用酒精</t>
    </r>
  </si>
  <si>
    <r>
      <t>露思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奇</t>
    </r>
  </si>
  <si>
    <r>
      <t>江</t>
    </r>
    <r>
      <rPr>
        <sz val="11"/>
        <color theme="1"/>
        <rFont val="ＭＳ Ｐゴシック"/>
        <family val="3"/>
        <charset val="134"/>
        <scheme val="minor"/>
      </rPr>
      <t>苏</t>
    </r>
    <r>
      <rPr>
        <sz val="11"/>
        <color theme="1"/>
        <rFont val="ＭＳ Ｐゴシック"/>
        <family val="3"/>
        <charset val="128"/>
        <scheme val="minor"/>
      </rPr>
      <t>圣果葡萄酒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</si>
  <si>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果酒;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烈酒; 开胃酒;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餐后酒（利口酒和烈酒）</t>
    </r>
  </si>
  <si>
    <r>
      <t>长</t>
    </r>
    <r>
      <rPr>
        <sz val="11"/>
        <color theme="1"/>
        <rFont val="ＭＳ Ｐゴシック"/>
        <family val="3"/>
        <charset val="128"/>
        <scheme val="minor"/>
      </rPr>
      <t>春盛世金樽酒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</si>
  <si>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梅好之</t>
    </r>
    <r>
      <rPr>
        <sz val="11"/>
        <color theme="1"/>
        <rFont val="ＭＳ Ｐゴシック"/>
        <family val="3"/>
        <charset val="134"/>
        <scheme val="minor"/>
      </rPr>
      <t>诏</t>
    </r>
  </si>
  <si>
    <r>
      <t>福建</t>
    </r>
    <r>
      <rPr>
        <sz val="11"/>
        <color theme="1"/>
        <rFont val="ＭＳ Ｐゴシック"/>
        <family val="3"/>
        <charset val="134"/>
        <scheme val="minor"/>
      </rPr>
      <t>诏</t>
    </r>
    <r>
      <rPr>
        <sz val="11"/>
        <color theme="1"/>
        <rFont val="ＭＳ Ｐゴシック"/>
        <family val="3"/>
        <charset val="128"/>
        <scheme val="minor"/>
      </rPr>
      <t>安梅好生物科技有限公司</t>
    </r>
  </si>
  <si>
    <r>
      <t>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梅酒; 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果酒（含酒精）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</si>
  <si>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悦之城</t>
    </r>
  </si>
  <si>
    <r>
      <t>襄阳</t>
    </r>
    <r>
      <rPr>
        <sz val="11"/>
        <color theme="1"/>
        <rFont val="ＭＳ Ｐゴシック"/>
        <family val="3"/>
        <charset val="134"/>
        <scheme val="minor"/>
      </rPr>
      <t>汉</t>
    </r>
    <r>
      <rPr>
        <sz val="11"/>
        <color theme="1"/>
        <rFont val="ＭＳ Ｐゴシック"/>
        <family val="3"/>
        <charset val="128"/>
        <scheme val="minor"/>
      </rPr>
      <t>悦之城品牌管理有限公司</t>
    </r>
  </si>
  <si>
    <r>
      <t xml:space="preserve">高粱酒;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制好的葡萄酒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葡萄酒; 青梅酒;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</si>
  <si>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吕</t>
    </r>
    <r>
      <rPr>
        <sz val="11"/>
        <color theme="1"/>
        <rFont val="ＭＳ Ｐゴシック"/>
        <family val="3"/>
        <charset val="128"/>
        <scheme val="minor"/>
      </rPr>
      <t>老幺</t>
    </r>
  </si>
  <si>
    <t>刘增均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</si>
  <si>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果酒（含酒精）;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</si>
  <si>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佰分</t>
    </r>
    <r>
      <rPr>
        <sz val="11"/>
        <color theme="1"/>
        <rFont val="ＭＳ Ｐゴシック"/>
        <family val="3"/>
        <charset val="134"/>
        <scheme val="minor"/>
      </rPr>
      <t>鲜</t>
    </r>
    <r>
      <rPr>
        <sz val="11"/>
        <color theme="1"/>
        <rFont val="ＭＳ Ｐゴシック"/>
        <family val="3"/>
        <charset val="128"/>
        <scheme val="minor"/>
      </rPr>
      <t>悦</t>
    </r>
  </si>
  <si>
    <r>
      <t>滑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信悦商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</si>
  <si>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 xml:space="preserve">主的除外）; 米酒;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</t>
    </r>
  </si>
  <si>
    <t>小丑廷</t>
  </si>
  <si>
    <t>温彩静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</si>
  <si>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葡萄酒; 果酒（含酒精）;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清酒（日本米酒）; 黄酒; 开胃酒;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</si>
  <si>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素侠居</t>
  </si>
  <si>
    <r>
      <t>苏</t>
    </r>
    <r>
      <rPr>
        <sz val="11"/>
        <color theme="1"/>
        <rFont val="ＭＳ Ｐゴシック"/>
        <family val="3"/>
        <charset val="128"/>
        <scheme val="minor"/>
      </rPr>
      <t>州醉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雅文化</t>
    </r>
    <r>
      <rPr>
        <sz val="11"/>
        <color theme="1"/>
        <rFont val="ＭＳ Ｐゴシック"/>
        <family val="3"/>
        <charset val="134"/>
        <scheme val="minor"/>
      </rPr>
      <t>艺术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</si>
  <si>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青梅酒; 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梅酒; 黄酒; 梅酒; 米酒; 果酒; 葡萄酒</t>
    </r>
  </si>
  <si>
    <t>臻活</t>
  </si>
  <si>
    <t>黄酒; 果酒; 草本型利口酒; 汽酒; 清酒; 葡萄酒; 米酒; 白酒; 甜酒; 威士忌</t>
  </si>
  <si>
    <r>
      <t>嵛龙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</si>
  <si>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威登堡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</si>
  <si>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白酒; 清酒; 白干酒（中国白酒）;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高粱酒; 黄酒; 清酒（日本米酒）;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</si>
  <si>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升元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</si>
  <si>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雪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</si>
  <si>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米酒; 白酒; 利口酒; 高粱酒; 以朗姆酒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甜果酒; 葡萄酒; 甜酒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</si>
  <si>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尚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</si>
  <si>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韩</t>
    </r>
    <r>
      <rPr>
        <sz val="11"/>
        <color theme="1"/>
        <rFont val="ＭＳ Ｐゴシック"/>
        <family val="3"/>
        <charset val="128"/>
        <scheme val="minor"/>
      </rPr>
      <t>文超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</si>
  <si>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</si>
  <si>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r>
      <t>坛</t>
    </r>
    <r>
      <rPr>
        <sz val="11"/>
        <color theme="1"/>
        <rFont val="ＭＳ Ｐゴシック"/>
        <family val="3"/>
        <charset val="128"/>
        <scheme val="minor"/>
      </rPr>
      <t>粮年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</si>
  <si>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晓</t>
    </r>
    <r>
      <rPr>
        <sz val="11"/>
        <color theme="1"/>
        <rFont val="ＭＳ Ｐゴシック"/>
        <family val="3"/>
        <charset val="128"/>
        <scheme val="minor"/>
      </rPr>
      <t>微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</si>
  <si>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果酒; 米酒;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青稞酒; 黄酒; 威士忌; 白酒; 烈酒</t>
    </r>
  </si>
  <si>
    <r>
      <t>处</t>
    </r>
    <r>
      <rPr>
        <sz val="11"/>
        <color theme="1"/>
        <rFont val="ＭＳ Ｐゴシック"/>
        <family val="3"/>
        <charset val="128"/>
        <scheme val="minor"/>
      </rPr>
      <t>州舫</t>
    </r>
  </si>
  <si>
    <r>
      <t>虞</t>
    </r>
    <r>
      <rPr>
        <sz val="11"/>
        <color theme="1"/>
        <rFont val="ＭＳ Ｐゴシック"/>
        <family val="3"/>
        <charset val="134"/>
        <scheme val="minor"/>
      </rPr>
      <t>龙凯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</si>
  <si>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烈酒;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高粱酒;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</si>
  <si>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鹤闲</t>
  </si>
  <si>
    <r>
      <t>河南</t>
    </r>
    <r>
      <rPr>
        <sz val="11"/>
        <color theme="1"/>
        <rFont val="ＭＳ Ｐゴシック"/>
        <family val="3"/>
        <charset val="134"/>
        <scheme val="minor"/>
      </rPr>
      <t>坛</t>
    </r>
    <r>
      <rPr>
        <sz val="11"/>
        <color theme="1"/>
        <rFont val="ＭＳ Ｐゴシック"/>
        <family val="3"/>
        <charset val="128"/>
        <scheme val="minor"/>
      </rPr>
      <t>酒酒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</si>
  <si>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清酒（日本米酒）; 白酒; 开胃酒;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利口酒; 食用酒精</t>
    </r>
  </si>
  <si>
    <r>
      <t>于朝</t>
    </r>
    <r>
      <rPr>
        <sz val="11"/>
        <color theme="1"/>
        <rFont val="ＭＳ Ｐゴシック"/>
        <family val="3"/>
        <charset val="134"/>
        <scheme val="minor"/>
      </rPr>
      <t>军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</si>
  <si>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威士忌;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薄荷酒</t>
    </r>
  </si>
  <si>
    <t>迷特哇</t>
  </si>
  <si>
    <r>
      <t>上海</t>
    </r>
    <r>
      <rPr>
        <sz val="11"/>
        <color theme="1"/>
        <rFont val="ＭＳ Ｐゴシック"/>
        <family val="3"/>
        <charset val="134"/>
        <scheme val="minor"/>
      </rPr>
      <t>赛</t>
    </r>
    <r>
      <rPr>
        <sz val="11"/>
        <color theme="1"/>
        <rFont val="ＭＳ Ｐゴシック"/>
        <family val="3"/>
        <charset val="128"/>
        <scheme val="minor"/>
      </rPr>
      <t>色米餐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</si>
  <si>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青稞酒</t>
    </r>
  </si>
  <si>
    <r>
      <t>颐</t>
    </r>
    <r>
      <rPr>
        <sz val="11"/>
        <color theme="1"/>
        <rFont val="ＭＳ Ｐゴシック"/>
        <family val="3"/>
        <charset val="128"/>
        <scheme val="minor"/>
      </rPr>
      <t>大秦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</si>
  <si>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媛媛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</si>
  <si>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果酒（含酒精）; 黄酒; 餐后酒（利口酒和烈酒）</t>
    </r>
  </si>
  <si>
    <r>
      <t>大</t>
    </r>
    <r>
      <rPr>
        <sz val="11"/>
        <color theme="1"/>
        <rFont val="ＭＳ Ｐゴシック"/>
        <family val="3"/>
        <charset val="134"/>
        <scheme val="minor"/>
      </rPr>
      <t>摆</t>
    </r>
  </si>
  <si>
    <t>石文奢</t>
  </si>
  <si>
    <r>
      <t>苹果酒; 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清酒; 葡萄酒; 白酒</t>
    </r>
  </si>
  <si>
    <t>SHMSLR</t>
  </si>
  <si>
    <r>
      <t>易途国</t>
    </r>
    <r>
      <rPr>
        <sz val="11"/>
        <color theme="1"/>
        <rFont val="ＭＳ Ｐゴシック"/>
        <family val="3"/>
        <charset val="134"/>
        <scheme val="minor"/>
      </rPr>
      <t>际实业</t>
    </r>
    <r>
      <rPr>
        <sz val="11"/>
        <color theme="1"/>
        <rFont val="ＭＳ Ｐゴシック"/>
        <family val="3"/>
        <charset val="128"/>
        <scheme val="minor"/>
      </rPr>
      <t>（山西）集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</si>
  <si>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果酒（含酒精）;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白酒;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</si>
  <si>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麦哆象</t>
  </si>
  <si>
    <t>河南士喜食品有限公司</t>
  </si>
  <si>
    <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苹果酒;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果酒（含酒精）; 蜂蜜酒;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</si>
  <si>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小仙村</t>
  </si>
  <si>
    <r>
      <t>东</t>
    </r>
    <r>
      <rPr>
        <sz val="11"/>
        <color theme="1"/>
        <rFont val="ＭＳ Ｐゴシック"/>
        <family val="3"/>
        <charset val="128"/>
        <scheme val="minor"/>
      </rPr>
      <t>莞市皓深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</si>
  <si>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>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柑香酒; 威士忌; 伏特加酒; 酸酒（低等葡萄酒）; 开胃酒; 餐后酒（利口酒和烈酒）</t>
    </r>
  </si>
  <si>
    <r>
      <t>今开</t>
    </r>
    <r>
      <rPr>
        <sz val="11"/>
        <color theme="1"/>
        <rFont val="ＭＳ Ｐゴシック"/>
        <family val="3"/>
        <charset val="134"/>
        <scheme val="minor"/>
      </rPr>
      <t>顺</t>
    </r>
  </si>
  <si>
    <r>
      <t>高</t>
    </r>
    <r>
      <rPr>
        <sz val="11"/>
        <color theme="1"/>
        <rFont val="ＭＳ Ｐゴシック"/>
        <family val="3"/>
        <charset val="134"/>
        <scheme val="minor"/>
      </rPr>
      <t>丽东</t>
    </r>
  </si>
  <si>
    <r>
      <t xml:space="preserve">葡萄酒; 威士忌;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果酒; 米酒;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</si>
  <si>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沟中曲</t>
  </si>
  <si>
    <t>王仁康</t>
  </si>
  <si>
    <r>
      <t>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清酒（日本米酒）</t>
    </r>
  </si>
  <si>
    <t>GT GAN TIAN</t>
  </si>
  <si>
    <r>
      <t>仁化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甘甜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</si>
  <si>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餐后酒（利口酒和烈酒）; 白酒;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柑香酒; 苦味酒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</si>
  <si>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方臻芝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</si>
  <si>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莞泉珍合立生物有限公司</t>
    </r>
  </si>
  <si>
    <r>
      <t>开胃酒;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青稞酒; 白酒; 蜂蜜酒; 米酒</t>
    </r>
  </si>
  <si>
    <t>麟可瑞</t>
  </si>
  <si>
    <r>
      <t>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葡萄酒;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</si>
  <si>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义门</t>
    </r>
    <r>
      <rPr>
        <sz val="11"/>
        <color theme="1"/>
        <rFont val="ＭＳ Ｐゴシック"/>
        <family val="3"/>
        <charset val="128"/>
        <scheme val="minor"/>
      </rPr>
      <t>瑾</t>
    </r>
  </si>
  <si>
    <r>
      <t>淮安</t>
    </r>
    <r>
      <rPr>
        <sz val="11"/>
        <color theme="1"/>
        <rFont val="ＭＳ Ｐゴシック"/>
        <family val="3"/>
        <charset val="134"/>
        <scheme val="minor"/>
      </rPr>
      <t>义门陈</t>
    </r>
    <r>
      <rPr>
        <sz val="11"/>
        <color theme="1"/>
        <rFont val="ＭＳ Ｐゴシック"/>
        <family val="3"/>
        <charset val="128"/>
        <scheme val="minor"/>
      </rPr>
      <t>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</si>
  <si>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蜂蜜酒;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黄酒; 青稞酒;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</si>
  <si>
    <t>桃林美</t>
  </si>
  <si>
    <r>
      <t>东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桃林老酒厂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</si>
  <si>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米酒; 茴香酒（利口酒）;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</si>
  <si>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贵</t>
    </r>
    <r>
      <rPr>
        <sz val="11"/>
        <color theme="1"/>
        <rFont val="ＭＳ Ｐゴシック"/>
        <family val="3"/>
        <charset val="128"/>
        <scheme val="minor"/>
      </rPr>
      <t>州俊杰醒</t>
    </r>
    <r>
      <rPr>
        <sz val="11"/>
        <color theme="1"/>
        <rFont val="ＭＳ Ｐゴシック"/>
        <family val="3"/>
        <charset val="134"/>
        <scheme val="minor"/>
      </rPr>
      <t>狮</t>
    </r>
    <r>
      <rPr>
        <sz val="11"/>
        <color theme="1"/>
        <rFont val="ＭＳ Ｐゴシック"/>
        <family val="3"/>
        <charset val="128"/>
        <scheme val="minor"/>
      </rPr>
      <t>文化</t>
    </r>
    <r>
      <rPr>
        <sz val="11"/>
        <color theme="1"/>
        <rFont val="ＭＳ Ｐゴシック"/>
        <family val="3"/>
        <charset val="134"/>
        <scheme val="minor"/>
      </rPr>
      <t>传</t>
    </r>
    <r>
      <rPr>
        <sz val="11"/>
        <color theme="1"/>
        <rFont val="ＭＳ Ｐゴシック"/>
        <family val="3"/>
        <charset val="128"/>
        <scheme val="minor"/>
      </rPr>
      <t>媒有限公司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</si>
  <si>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果酒（含酒精）;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</si>
  <si>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t>PENIN KING</t>
  </si>
  <si>
    <r>
      <t>泉州市云中漫步投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</si>
  <si>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米酒; 梅酒;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烈酒; 清酒; 威士忌</t>
    </r>
  </si>
  <si>
    <r>
      <t>江乘佳</t>
    </r>
    <r>
      <rPr>
        <sz val="11"/>
        <color theme="1"/>
        <rFont val="ＭＳ Ｐゴシック"/>
        <family val="3"/>
        <charset val="134"/>
        <scheme val="minor"/>
      </rPr>
      <t>酿</t>
    </r>
  </si>
  <si>
    <r>
      <t>诸</t>
    </r>
    <r>
      <rPr>
        <sz val="11"/>
        <color theme="1"/>
        <rFont val="ＭＳ Ｐゴシック"/>
        <family val="3"/>
        <charset val="128"/>
        <scheme val="minor"/>
      </rPr>
      <t>葛祥羽</t>
    </r>
  </si>
  <si>
    <r>
      <t xml:space="preserve">黄酒;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蒸煮提取物（利口酒和烈酒）; 葡萄酒; 米酒; 白酒; 清酒; 青稞酒</t>
    </r>
  </si>
  <si>
    <r>
      <t>鲁</t>
    </r>
    <r>
      <rPr>
        <sz val="11"/>
        <color theme="1"/>
        <rFont val="ＭＳ Ｐゴシック"/>
        <family val="3"/>
        <charset val="128"/>
        <scheme val="minor"/>
      </rPr>
      <t>可滋</t>
    </r>
  </si>
  <si>
    <r>
      <t>张</t>
    </r>
    <r>
      <rPr>
        <sz val="11"/>
        <color theme="1"/>
        <rFont val="ＭＳ Ｐゴシック"/>
        <family val="3"/>
        <charset val="128"/>
        <scheme val="minor"/>
      </rPr>
      <t>佳</t>
    </r>
    <r>
      <rPr>
        <sz val="11"/>
        <color theme="1"/>
        <rFont val="ＭＳ Ｐゴシック"/>
        <family val="3"/>
        <charset val="134"/>
        <scheme val="minor"/>
      </rPr>
      <t>兴</t>
    </r>
  </si>
  <si>
    <r>
      <t>清酒（日本米酒）; 黄酒; 威士忌; 米酒;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梅酒;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</si>
  <si>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粮夫人</t>
  </si>
  <si>
    <r>
      <t>潢川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喜耕田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种植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</si>
  <si>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米酒;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</si>
  <si>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t>五道岔</t>
  </si>
  <si>
    <t>穆柏林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</si>
  <si>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伏特加酒;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清酒（日本米酒）;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</si>
  <si>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滕供</t>
    </r>
    <r>
      <rPr>
        <sz val="11"/>
        <color theme="1"/>
        <rFont val="ＭＳ Ｐゴシック"/>
        <family val="3"/>
        <charset val="134"/>
        <scheme val="minor"/>
      </rPr>
      <t>缘</t>
    </r>
  </si>
  <si>
    <r>
      <t>滕州市供</t>
    </r>
    <r>
      <rPr>
        <sz val="11"/>
        <color theme="1"/>
        <rFont val="ＭＳ Ｐゴシック"/>
        <family val="3"/>
        <charset val="134"/>
        <scheme val="minor"/>
      </rPr>
      <t>销电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</si>
  <si>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蒸煮提取物（利口酒和烈酒）;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威士忌; 米酒; 清酒（日本米酒）; 黄酒; 果酒（含酒精）; 白酒</t>
    </r>
  </si>
  <si>
    <t>千素弘玉</t>
  </si>
  <si>
    <t>于子惠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</si>
  <si>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白酒; 米酒; 食用酒精; 果酒（含酒精）;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</si>
  <si>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GROBER WEISER</t>
  </si>
  <si>
    <r>
      <t>中国国</t>
    </r>
    <r>
      <rPr>
        <sz val="11"/>
        <color theme="1"/>
        <rFont val="ＭＳ Ｐゴシック"/>
        <family val="3"/>
        <charset val="134"/>
        <scheme val="minor"/>
      </rPr>
      <t>联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</si>
  <si>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清酒;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米酒; 白酒; 黄酒; 威士忌;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高粱酒;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</si>
  <si>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其秀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</si>
  <si>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威士忌; 葡萄酒; 食用酒精;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开胃酒;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</si>
  <si>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润</t>
    </r>
    <r>
      <rPr>
        <sz val="11"/>
        <color theme="1"/>
        <rFont val="ＭＳ Ｐゴシック"/>
        <family val="3"/>
        <charset val="128"/>
        <scheme val="minor"/>
      </rPr>
      <t>尚福</t>
    </r>
  </si>
  <si>
    <t>邢婷婷</t>
  </si>
  <si>
    <r>
      <t>白酒; 利口酒;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清酒;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米酒</t>
    </r>
  </si>
  <si>
    <t>王果成林</t>
  </si>
  <si>
    <r>
      <t>王果成林（昆明）</t>
    </r>
    <r>
      <rPr>
        <sz val="11"/>
        <color theme="1"/>
        <rFont val="ＭＳ Ｐゴシック"/>
        <family val="3"/>
        <charset val="134"/>
        <scheme val="minor"/>
      </rPr>
      <t>农业</t>
    </r>
    <r>
      <rPr>
        <sz val="11"/>
        <color theme="1"/>
        <rFont val="ＭＳ Ｐゴシック"/>
        <family val="3"/>
        <charset val="128"/>
        <scheme val="minor"/>
      </rPr>
      <t>科技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展有限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</si>
  <si>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甘蔗制酒精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蜂蜜酒; 食用酒精; 果酒（含酒精）; 苹果酒; 柑香酒</t>
    </r>
  </si>
  <si>
    <t>抹山集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</si>
  <si>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州鑫程企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</si>
  <si>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>米酒; 果酒; 高粱酒; 烈酒;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黄酒</t>
    </r>
  </si>
  <si>
    <t>LUXBOLY 奢柏利</t>
  </si>
  <si>
    <r>
      <t>泉州市安</t>
    </r>
    <r>
      <rPr>
        <sz val="11"/>
        <color theme="1"/>
        <rFont val="ＭＳ Ｐゴシック"/>
        <family val="3"/>
        <charset val="134"/>
        <scheme val="minor"/>
      </rPr>
      <t>话</t>
    </r>
    <r>
      <rPr>
        <sz val="11"/>
        <color theme="1"/>
        <rFont val="ＭＳ Ｐゴシック"/>
        <family val="3"/>
        <charset val="128"/>
        <scheme val="minor"/>
      </rPr>
      <t>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</si>
  <si>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米酒; 威士忌;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</t>
    </r>
  </si>
  <si>
    <t>臻煌</t>
  </si>
  <si>
    <r>
      <t>六</t>
    </r>
    <r>
      <rPr>
        <sz val="11"/>
        <color theme="1"/>
        <rFont val="ＭＳ Ｐゴシック"/>
        <family val="3"/>
        <charset val="134"/>
        <scheme val="minor"/>
      </rPr>
      <t>盘</t>
    </r>
    <r>
      <rPr>
        <sz val="11"/>
        <color theme="1"/>
        <rFont val="ＭＳ Ｐゴシック"/>
        <family val="3"/>
        <charset val="128"/>
        <scheme val="minor"/>
      </rPr>
      <t>密</t>
    </r>
    <r>
      <rPr>
        <sz val="11"/>
        <color theme="1"/>
        <rFont val="ＭＳ Ｐゴシック"/>
        <family val="3"/>
        <charset val="134"/>
        <scheme val="minor"/>
      </rPr>
      <t>码</t>
    </r>
    <r>
      <rPr>
        <sz val="11"/>
        <color theme="1"/>
        <rFont val="ＭＳ Ｐゴシック"/>
        <family val="3"/>
        <charset val="128"/>
        <scheme val="minor"/>
      </rPr>
      <t>（宁夏）健康科技有限公司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</si>
  <si>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葡萄酒; 蜂蜜酒; 米酒; 青稞酒</t>
    </r>
  </si>
  <si>
    <t>GREAT SAGE</t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</si>
  <si>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清酒; 高粱酒; 威士忌;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烈酒;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</si>
  <si>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r>
      <t>年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金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</si>
  <si>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白酒; 清酒（日本米酒）; 米酒; 威士忌; 伏特加酒; 葡萄酒</t>
    </r>
  </si>
  <si>
    <r>
      <t>餐后酒（利口酒和烈酒）; 酸酒（低等葡萄酒）; 开胃酒; 柑香酒; 伏特加酒; 威士忌; 果酒; 薄荷酒;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</si>
  <si>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世界</t>
    </r>
    <r>
      <rPr>
        <sz val="11"/>
        <color theme="1"/>
        <rFont val="ＭＳ Ｐゴシック"/>
        <family val="3"/>
        <charset val="134"/>
        <scheme val="minor"/>
      </rPr>
      <t>猎头</t>
    </r>
    <r>
      <rPr>
        <sz val="11"/>
        <color theme="1"/>
        <rFont val="ＭＳ Ｐゴシック"/>
        <family val="3"/>
        <charset val="128"/>
        <scheme val="minor"/>
      </rPr>
      <t>（北京）国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咨</t>
    </r>
    <r>
      <rPr>
        <sz val="11"/>
        <color theme="1"/>
        <rFont val="ＭＳ Ｐゴシック"/>
        <family val="3"/>
        <charset val="134"/>
        <scheme val="minor"/>
      </rPr>
      <t>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</si>
  <si>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白酒; 米酒; 威士忌; 薄荷酒;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黄酒;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</si>
  <si>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雅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村</t>
    </r>
  </si>
  <si>
    <r>
      <t>上海雅</t>
    </r>
    <r>
      <rPr>
        <sz val="11"/>
        <color theme="1"/>
        <rFont val="ＭＳ Ｐゴシック"/>
        <family val="3"/>
        <charset val="129"/>
        <scheme val="minor"/>
      </rPr>
      <t>朵</t>
    </r>
    <r>
      <rPr>
        <sz val="11"/>
        <color theme="1"/>
        <rFont val="ＭＳ Ｐゴシック"/>
        <family val="3"/>
        <charset val="128"/>
        <scheme val="minor"/>
      </rPr>
      <t>喜悦酒店有限公司</t>
    </r>
  </si>
  <si>
    <r>
      <t xml:space="preserve">含酒精的气泡水; 白酒; 食用酒精;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露酒;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</si>
  <si>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t>LOUIGUST</t>
  </si>
  <si>
    <r>
      <t>兄弟</t>
    </r>
    <r>
      <rPr>
        <sz val="11"/>
        <color theme="1"/>
        <rFont val="ＭＳ Ｐゴシック"/>
        <family val="3"/>
        <charset val="134"/>
        <scheme val="minor"/>
      </rPr>
      <t>进</t>
    </r>
    <r>
      <rPr>
        <sz val="11"/>
        <color theme="1"/>
        <rFont val="ＭＳ Ｐゴシック"/>
        <family val="3"/>
        <charset val="128"/>
        <scheme val="minor"/>
      </rPr>
      <t>出口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易（深圳）有限公司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</si>
  <si>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甜酒;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果酒（含酒精）; 葡萄酒;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白酒</t>
    </r>
  </si>
  <si>
    <r>
      <t>巴舅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</si>
  <si>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小玲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</si>
  <si>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利口酒; 米酒; 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白酒</t>
    </r>
  </si>
  <si>
    <t>精盛达</t>
  </si>
  <si>
    <r>
      <t>浙江</t>
    </r>
    <r>
      <rPr>
        <sz val="11"/>
        <color theme="1"/>
        <rFont val="ＭＳ Ｐゴシック"/>
        <family val="3"/>
        <charset val="134"/>
        <scheme val="minor"/>
      </rPr>
      <t>轩</t>
    </r>
    <r>
      <rPr>
        <sz val="11"/>
        <color theme="1"/>
        <rFont val="ＭＳ Ｐゴシック"/>
        <family val="3"/>
        <charset val="128"/>
        <scheme val="minor"/>
      </rPr>
      <t>源康中医</t>
    </r>
    <r>
      <rPr>
        <sz val="11"/>
        <color theme="1"/>
        <rFont val="ＭＳ Ｐゴシック"/>
        <family val="3"/>
        <charset val="134"/>
        <scheme val="minor"/>
      </rPr>
      <t>药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</si>
  <si>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葡萄酒; 威士忌; 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</si>
  <si>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冬天美醉</t>
  </si>
  <si>
    <r>
      <t>内江品</t>
    </r>
    <r>
      <rPr>
        <sz val="11"/>
        <color theme="1"/>
        <rFont val="ＭＳ Ｐゴシック"/>
        <family val="3"/>
        <charset val="134"/>
        <scheme val="minor"/>
      </rPr>
      <t>润农业发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</si>
  <si>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味的麦芽</t>
    </r>
    <r>
      <rPr>
        <sz val="11"/>
        <color theme="1"/>
        <rFont val="ＭＳ Ｐゴシック"/>
        <family val="3"/>
        <charset val="134"/>
        <scheme val="minor"/>
      </rPr>
      <t>酿</t>
    </r>
    <r>
      <rPr>
        <sz val="11"/>
        <color theme="1"/>
        <rFont val="ＭＳ Ｐゴシック"/>
        <family val="3"/>
        <charset val="128"/>
        <scheme val="minor"/>
      </rPr>
      <t>制的酒精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葡萄酒; 米酒; 白酒; 含酒精的气泡水;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</si>
  <si>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傅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万利</t>
    </r>
  </si>
  <si>
    <r>
      <t>海南傅小</t>
    </r>
    <r>
      <rPr>
        <sz val="11"/>
        <color theme="1"/>
        <rFont val="ＭＳ Ｐゴシック"/>
        <family val="3"/>
        <charset val="134"/>
        <scheme val="minor"/>
      </rPr>
      <t>丽</t>
    </r>
    <r>
      <rPr>
        <sz val="11"/>
        <color theme="1"/>
        <rFont val="ＭＳ Ｐゴシック"/>
        <family val="3"/>
        <charset val="128"/>
        <scheme val="minor"/>
      </rPr>
      <t>餐</t>
    </r>
    <r>
      <rPr>
        <sz val="11"/>
        <color theme="1"/>
        <rFont val="ＭＳ Ｐゴシック"/>
        <family val="3"/>
        <charset val="134"/>
        <scheme val="minor"/>
      </rPr>
      <t>饮连锁</t>
    </r>
    <r>
      <rPr>
        <sz val="11"/>
        <color theme="1"/>
        <rFont val="ＭＳ Ｐゴシック"/>
        <family val="3"/>
        <charset val="128"/>
        <scheme val="minor"/>
      </rPr>
      <t>管理有限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</si>
  <si>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清酒（日本米酒）;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威士忌</t>
    </r>
  </si>
  <si>
    <r>
      <t>骊</t>
    </r>
    <r>
      <rPr>
        <sz val="11"/>
        <color theme="1"/>
        <rFont val="ＭＳ Ｐゴシック"/>
        <family val="3"/>
        <charset val="128"/>
        <scheme val="minor"/>
      </rPr>
      <t>礼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</si>
  <si>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清酒（日本米酒）; 开胃酒;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米酒</t>
    </r>
  </si>
  <si>
    <r>
      <t>汉</t>
    </r>
    <r>
      <rPr>
        <sz val="11"/>
        <color theme="1"/>
        <rFont val="ＭＳ Ｐゴシック"/>
        <family val="3"/>
        <charset val="128"/>
        <scheme val="minor"/>
      </rPr>
      <t>唐烈</t>
    </r>
    <r>
      <rPr>
        <sz val="11"/>
        <color theme="1"/>
        <rFont val="ＭＳ Ｐゴシック"/>
        <family val="3"/>
        <charset val="134"/>
        <scheme val="minor"/>
      </rPr>
      <t>马</t>
    </r>
  </si>
  <si>
    <r>
      <t>黄</t>
    </r>
    <r>
      <rPr>
        <sz val="11"/>
        <color theme="1"/>
        <rFont val="ＭＳ Ｐゴシック"/>
        <family val="3"/>
        <charset val="134"/>
        <scheme val="minor"/>
      </rPr>
      <t>鸿</t>
    </r>
    <r>
      <rPr>
        <sz val="11"/>
        <color theme="1"/>
        <rFont val="ＭＳ Ｐゴシック"/>
        <family val="3"/>
        <charset val="128"/>
        <scheme val="minor"/>
      </rPr>
      <t>波</t>
    </r>
  </si>
  <si>
    <r>
      <t xml:space="preserve">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葡萄酒;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</si>
  <si>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海</t>
    </r>
    <r>
      <rPr>
        <sz val="11"/>
        <color theme="1"/>
        <rFont val="ＭＳ Ｐゴシック"/>
        <family val="3"/>
        <charset val="134"/>
        <scheme val="minor"/>
      </rPr>
      <t>蓝</t>
    </r>
    <r>
      <rPr>
        <sz val="11"/>
        <color theme="1"/>
        <rFont val="ＭＳ Ｐゴシック"/>
        <family val="3"/>
        <charset val="128"/>
        <scheme val="minor"/>
      </rPr>
      <t>之家健康科技有限公司</t>
    </r>
  </si>
  <si>
    <r>
      <t>葡萄酒;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青梅酒; 白酒; 露酒; 白干酒（中国白酒）;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朗姆酒; 果酒（含酒精）</t>
    </r>
  </si>
  <si>
    <t>五泉山后五泉</t>
  </si>
  <si>
    <r>
      <t>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果酒（含酒精）; 米酒; 蜂蜜酒; 葡萄酒;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青稞酒; 白酒</t>
    </r>
  </si>
  <si>
    <t>摩芳</t>
  </si>
  <si>
    <r>
      <t>葡萄酒;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薄荷酒;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开胃酒; 白酒; 果酒（含酒精）</t>
    </r>
  </si>
  <si>
    <t>沈大伯</t>
  </si>
  <si>
    <r>
      <t>杭州</t>
    </r>
    <r>
      <rPr>
        <sz val="11"/>
        <color theme="1"/>
        <rFont val="ＭＳ Ｐゴシック"/>
        <family val="3"/>
        <charset val="134"/>
        <scheme val="minor"/>
      </rPr>
      <t>满觉</t>
    </r>
    <r>
      <rPr>
        <sz val="11"/>
        <color theme="1"/>
        <rFont val="ＭＳ Ｐゴシック"/>
        <family val="3"/>
        <charset val="128"/>
        <scheme val="minor"/>
      </rPr>
      <t>桂花加工有限公司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</si>
  <si>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白酒; 米酒; 烈酒;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果酒; 开胃酒</t>
    </r>
  </si>
  <si>
    <t>燃煦</t>
  </si>
  <si>
    <r>
      <t>泰州市众合园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</si>
  <si>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开胃酒; 青稞酒;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餐后酒（利口酒和烈酒）; 果酒; 清酒; 青梅酒; 葡萄酒; </t>
    </r>
    <r>
      <rPr>
        <sz val="11"/>
        <color theme="1"/>
        <rFont val="ＭＳ Ｐゴシック"/>
        <family val="3"/>
        <charset val="134"/>
        <scheme val="minor"/>
      </rPr>
      <t>杨</t>
    </r>
    <r>
      <rPr>
        <sz val="11"/>
        <color theme="1"/>
        <rFont val="ＭＳ Ｐゴシック"/>
        <family val="3"/>
        <charset val="128"/>
        <scheme val="minor"/>
      </rPr>
      <t>梅酒</t>
    </r>
  </si>
  <si>
    <r>
      <t>杭州澳格莱格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</si>
  <si>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伏特加酒; 葡萄酒;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</si>
  <si>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御品峰尚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</si>
  <si>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州衡君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坊酒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</si>
  <si>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威士忌;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</si>
  <si>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唐</t>
    </r>
    <r>
      <rPr>
        <sz val="11"/>
        <color theme="1"/>
        <rFont val="ＭＳ Ｐゴシック"/>
        <family val="3"/>
        <charset val="134"/>
        <scheme val="minor"/>
      </rPr>
      <t>问</t>
    </r>
    <r>
      <rPr>
        <sz val="11"/>
        <color theme="1"/>
        <rFont val="ＭＳ Ｐゴシック"/>
        <family val="3"/>
        <charset val="128"/>
        <scheme val="minor"/>
      </rPr>
      <t>曲</t>
    </r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</si>
  <si>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米酒;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清酒（日本米酒）;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</t>
    </r>
  </si>
  <si>
    <t>洞酬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</si>
  <si>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白酒; 米酒; 餐后酒（利口酒和烈酒）</t>
    </r>
  </si>
  <si>
    <t>梁品道</t>
  </si>
  <si>
    <r>
      <t>重</t>
    </r>
    <r>
      <rPr>
        <sz val="11"/>
        <color theme="1"/>
        <rFont val="ＭＳ Ｐゴシック"/>
        <family val="3"/>
        <charset val="134"/>
        <scheme val="minor"/>
      </rPr>
      <t>庆</t>
    </r>
    <r>
      <rPr>
        <sz val="11"/>
        <color theme="1"/>
        <rFont val="ＭＳ Ｐゴシック"/>
        <family val="3"/>
        <charset val="128"/>
        <scheme val="minor"/>
      </rPr>
      <t>市梁平区</t>
    </r>
    <r>
      <rPr>
        <sz val="11"/>
        <color theme="1"/>
        <rFont val="ＭＳ Ｐゴシック"/>
        <family val="3"/>
        <charset val="134"/>
        <scheme val="minor"/>
      </rPr>
      <t>农</t>
    </r>
    <r>
      <rPr>
        <sz val="11"/>
        <color theme="1"/>
        <rFont val="ＭＳ Ｐゴシック"/>
        <family val="3"/>
        <charset val="128"/>
        <scheme val="minor"/>
      </rPr>
      <t>副</t>
    </r>
    <r>
      <rPr>
        <sz val="11"/>
        <color theme="1"/>
        <rFont val="ＭＳ Ｐゴシック"/>
        <family val="3"/>
        <charset val="134"/>
        <scheme val="minor"/>
      </rPr>
      <t>产</t>
    </r>
    <r>
      <rPr>
        <sz val="11"/>
        <color theme="1"/>
        <rFont val="ＭＳ Ｐゴシック"/>
        <family val="3"/>
        <charset val="128"/>
        <scheme val="minor"/>
      </rPr>
      <t>品</t>
    </r>
    <r>
      <rPr>
        <sz val="11"/>
        <color theme="1"/>
        <rFont val="ＭＳ Ｐゴシック"/>
        <family val="3"/>
        <charset val="134"/>
        <scheme val="minor"/>
      </rPr>
      <t>协</t>
    </r>
    <r>
      <rPr>
        <sz val="11"/>
        <color theme="1"/>
        <rFont val="ＭＳ Ｐゴシック"/>
        <family val="3"/>
        <charset val="128"/>
        <scheme val="minor"/>
      </rPr>
      <t>会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</si>
  <si>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开胃酒; 蒸煮提取物（利口酒和烈酒）; 白干酒（中国白酒）; 果酒（含酒精）; 利口酒; 食用酒精; 米酒; 葡萄酒</t>
    </r>
  </si>
  <si>
    <r>
      <t>孙</t>
    </r>
    <r>
      <rPr>
        <sz val="11"/>
        <color theme="1"/>
        <rFont val="ＭＳ Ｐゴシック"/>
        <family val="3"/>
        <charset val="128"/>
        <scheme val="minor"/>
      </rPr>
      <t>祖皇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</si>
  <si>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南海之印装</t>
    </r>
    <r>
      <rPr>
        <sz val="11"/>
        <color theme="1"/>
        <rFont val="ＭＳ Ｐゴシック"/>
        <family val="3"/>
        <charset val="134"/>
        <scheme val="minor"/>
      </rPr>
      <t>饰</t>
    </r>
    <r>
      <rPr>
        <sz val="11"/>
        <color theme="1"/>
        <rFont val="ＭＳ Ｐゴシック"/>
        <family val="3"/>
        <charset val="128"/>
        <scheme val="minor"/>
      </rPr>
      <t>工程有限公司</t>
    </r>
  </si>
  <si>
    <r>
      <t>黄酒; 利口酒; 果酒; 白酒; 清酒;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汽酒;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的白酒; 米酒</t>
    </r>
  </si>
  <si>
    <t>JOCHANS</t>
  </si>
  <si>
    <r>
      <t>临</t>
    </r>
    <r>
      <rPr>
        <sz val="11"/>
        <color theme="1"/>
        <rFont val="ＭＳ Ｐゴシック"/>
        <family val="3"/>
        <charset val="128"/>
        <scheme val="minor"/>
      </rPr>
      <t>沂旭昕教育科技有限公司</t>
    </r>
  </si>
  <si>
    <r>
      <t>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以葡萄酒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含酒精的气泡水;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</si>
  <si>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东</t>
    </r>
    <r>
      <rPr>
        <sz val="11"/>
        <color theme="1"/>
        <rFont val="ＭＳ Ｐゴシック"/>
        <family val="3"/>
        <charset val="128"/>
        <scheme val="minor"/>
      </rPr>
      <t>璀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</si>
  <si>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营华</t>
    </r>
  </si>
  <si>
    <r>
      <t>黄酒;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清酒（日本米酒）; 果酒;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威士忌;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</si>
  <si>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赣</t>
    </r>
    <r>
      <rPr>
        <sz val="11"/>
        <color theme="1"/>
        <rFont val="ＭＳ Ｐゴシック"/>
        <family val="3"/>
        <charset val="128"/>
        <scheme val="minor"/>
      </rPr>
      <t>州</t>
    </r>
    <r>
      <rPr>
        <sz val="11"/>
        <color theme="1"/>
        <rFont val="ＭＳ Ｐゴシック"/>
        <family val="3"/>
        <charset val="134"/>
        <scheme val="minor"/>
      </rPr>
      <t>钟</t>
    </r>
    <r>
      <rPr>
        <sz val="11"/>
        <color theme="1"/>
        <rFont val="ＭＳ Ｐゴシック"/>
        <family val="3"/>
        <charset val="128"/>
        <scheme val="minor"/>
      </rPr>
      <t>和</t>
    </r>
    <r>
      <rPr>
        <sz val="11"/>
        <color theme="1"/>
        <rFont val="ＭＳ Ｐゴシック"/>
        <family val="3"/>
        <charset val="134"/>
        <scheme val="minor"/>
      </rPr>
      <t>风</t>
    </r>
    <r>
      <rPr>
        <sz val="11"/>
        <color theme="1"/>
        <rFont val="ＭＳ Ｐゴシック"/>
        <family val="3"/>
        <charset val="128"/>
        <scheme val="minor"/>
      </rPr>
      <t>品牌管理有限公司</t>
    </r>
  </si>
  <si>
    <r>
      <t>米酒; 果酒（含酒精）; 白酒; 蜂蜜酒; 伏特加酒;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威士忌; 利口酒</t>
    </r>
  </si>
  <si>
    <r>
      <t>歪嘴</t>
    </r>
    <r>
      <rPr>
        <sz val="11"/>
        <color theme="1"/>
        <rFont val="ＭＳ Ｐゴシック"/>
        <family val="3"/>
        <charset val="134"/>
        <scheme val="minor"/>
      </rPr>
      <t>苏</t>
    </r>
  </si>
  <si>
    <r>
      <t>仲</t>
    </r>
    <r>
      <rPr>
        <sz val="11"/>
        <color theme="1"/>
        <rFont val="ＭＳ Ｐゴシック"/>
        <family val="3"/>
        <charset val="134"/>
        <scheme val="minor"/>
      </rPr>
      <t>跃</t>
    </r>
  </si>
  <si>
    <r>
      <t>蜂蜜酒;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果酒（含酒精）; 葡萄酒; 黄酒; 餐后酒（利口酒和烈酒）;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</si>
  <si>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r>
      <t>黄彬</t>
    </r>
    <r>
      <rPr>
        <sz val="11"/>
        <color theme="1"/>
        <rFont val="ＭＳ Ｐゴシック"/>
        <family val="3"/>
        <charset val="134"/>
        <scheme val="minor"/>
      </rPr>
      <t>锋</t>
    </r>
    <r>
      <rPr>
        <sz val="11"/>
        <color theme="1"/>
        <rFont val="ＭＳ Ｐゴシック"/>
        <family val="3"/>
        <charset val="128"/>
        <scheme val="minor"/>
      </rPr>
      <t>******************</t>
    </r>
  </si>
  <si>
    <r>
      <t>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白干酒（中国白酒）; 食用酒精; 米酒; 烈酒; 白酒; 黄酒; 果酒</t>
    </r>
  </si>
  <si>
    <t>妙康熊</t>
  </si>
  <si>
    <r>
      <t>烧</t>
    </r>
    <r>
      <rPr>
        <sz val="11"/>
        <color theme="1"/>
        <rFont val="ＭＳ Ｐゴシック"/>
        <family val="3"/>
        <charset val="128"/>
        <scheme val="minor"/>
      </rPr>
      <t>酒; 葡萄酒;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果酒（含酒精）; 黄酒; 伏特加酒; 白酒;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</si>
  <si>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r>
      <t>飞</t>
    </r>
    <r>
      <rPr>
        <sz val="11"/>
        <color theme="1"/>
        <rFont val="ＭＳ Ｐゴシック"/>
        <family val="3"/>
        <charset val="128"/>
        <scheme val="minor"/>
      </rPr>
      <t>天阿波</t>
    </r>
    <r>
      <rPr>
        <sz val="11"/>
        <color theme="1"/>
        <rFont val="ＭＳ Ｐゴシック"/>
        <family val="3"/>
        <charset val="134"/>
        <scheme val="minor"/>
      </rPr>
      <t>罗</t>
    </r>
  </si>
  <si>
    <r>
      <t>佛山市鑫</t>
    </r>
    <r>
      <rPr>
        <sz val="11"/>
        <color theme="1"/>
        <rFont val="ＭＳ Ｐゴシック"/>
        <family val="3"/>
        <charset val="134"/>
        <scheme val="minor"/>
      </rPr>
      <t>贵龙</t>
    </r>
    <r>
      <rPr>
        <sz val="11"/>
        <color theme="1"/>
        <rFont val="ＭＳ Ｐゴシック"/>
        <family val="3"/>
        <charset val="128"/>
        <scheme val="minor"/>
      </rPr>
      <t>陶瓷有限公司</t>
    </r>
  </si>
  <si>
    <r>
      <t>葡萄酒; 薄荷酒; 果酒（含酒精）; 苦味酒;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伏特加酒;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苹果酒</t>
    </r>
  </si>
  <si>
    <r>
      <t>内蒙古享来福食品有限</t>
    </r>
    <r>
      <rPr>
        <sz val="11"/>
        <color theme="1"/>
        <rFont val="ＭＳ Ｐゴシック"/>
        <family val="3"/>
        <charset val="134"/>
        <scheme val="minor"/>
      </rPr>
      <t>责</t>
    </r>
    <r>
      <rPr>
        <sz val="11"/>
        <color theme="1"/>
        <rFont val="ＭＳ Ｐゴシック"/>
        <family val="3"/>
        <charset val="128"/>
        <scheme val="minor"/>
      </rPr>
      <t>任公司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</si>
  <si>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食用酒精; 米酒; 白酒; 葡萄酒</t>
    </r>
  </si>
  <si>
    <t>秦西泰</t>
  </si>
  <si>
    <r>
      <t>枣</t>
    </r>
    <r>
      <rPr>
        <sz val="11"/>
        <color theme="1"/>
        <rFont val="ＭＳ Ｐゴシック"/>
        <family val="3"/>
        <charset val="128"/>
        <scheme val="minor"/>
      </rPr>
      <t>十八（</t>
    </r>
    <r>
      <rPr>
        <sz val="11"/>
        <color theme="1"/>
        <rFont val="ＭＳ Ｐゴシック"/>
        <family val="3"/>
        <charset val="134"/>
        <scheme val="minor"/>
      </rPr>
      <t>陕</t>
    </r>
    <r>
      <rPr>
        <sz val="11"/>
        <color theme="1"/>
        <rFont val="ＭＳ Ｐゴシック"/>
        <family val="3"/>
        <charset val="128"/>
        <scheme val="minor"/>
      </rPr>
      <t>西）品牌运</t>
    </r>
    <r>
      <rPr>
        <sz val="11"/>
        <color theme="1"/>
        <rFont val="ＭＳ Ｐゴシック"/>
        <family val="3"/>
        <charset val="134"/>
        <scheme val="minor"/>
      </rPr>
      <t>营</t>
    </r>
    <r>
      <rPr>
        <sz val="11"/>
        <color theme="1"/>
        <rFont val="ＭＳ Ｐゴシック"/>
        <family val="3"/>
        <charset val="128"/>
        <scheme val="minor"/>
      </rPr>
      <t>管理有限公司</t>
    </r>
  </si>
  <si>
    <r>
      <t xml:space="preserve">白酒; 黄酒; 米酒; 含酒精的气泡水;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果酒（含酒精）; 葡萄酒; 威士忌; 清酒（日本米酒）; 清酒</t>
    </r>
  </si>
  <si>
    <t>FENZIHAO</t>
  </si>
  <si>
    <t>上海芷麓信息科技有限公司</t>
  </si>
  <si>
    <r>
      <t>葡萄酒;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含酒精的气泡水; 开胃酒;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果酒（含酒精）</t>
    </r>
  </si>
  <si>
    <r>
      <t>春回</t>
    </r>
    <r>
      <rPr>
        <sz val="11"/>
        <color theme="1"/>
        <rFont val="ＭＳ Ｐゴシック"/>
        <family val="3"/>
        <charset val="134"/>
        <scheme val="minor"/>
      </rPr>
      <t>论剑</t>
    </r>
  </si>
  <si>
    <r>
      <t>济</t>
    </r>
    <r>
      <rPr>
        <sz val="11"/>
        <color theme="1"/>
        <rFont val="ＭＳ Ｐゴシック"/>
        <family val="3"/>
        <charset val="128"/>
        <scheme val="minor"/>
      </rPr>
      <t>南瑰福源粮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</si>
  <si>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开胃酒; 果酒（含酒精）; 露酒; 蜂蜜酒; 米酒;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白酒; 葡萄酒; 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</si>
  <si>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宝养春</t>
    </r>
    <r>
      <rPr>
        <sz val="11"/>
        <color theme="1"/>
        <rFont val="ＭＳ Ｐゴシック"/>
        <family val="3"/>
        <charset val="134"/>
        <scheme val="minor"/>
      </rPr>
      <t>归</t>
    </r>
  </si>
  <si>
    <r>
      <t>白酒; 葡萄酒; 黄酒; 米酒;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露酒; 蜂蜜酒; 果酒（含酒精）; 开胃酒</t>
    </r>
  </si>
  <si>
    <t>飞鸟妈妈</t>
  </si>
  <si>
    <r>
      <t>泉州市浮云</t>
    </r>
    <r>
      <rPr>
        <sz val="11"/>
        <color theme="1"/>
        <rFont val="ＭＳ Ｐゴシック"/>
        <family val="3"/>
        <charset val="134"/>
        <scheme val="minor"/>
      </rPr>
      <t>电</t>
    </r>
    <r>
      <rPr>
        <sz val="11"/>
        <color theme="1"/>
        <rFont val="ＭＳ Ｐゴシック"/>
        <family val="3"/>
        <charset val="128"/>
        <scheme val="minor"/>
      </rPr>
      <t>子商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</si>
  <si>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食用酒精; 威士忌; 葡萄酒</t>
    </r>
  </si>
  <si>
    <t>梁品到</t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</si>
  <si>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开胃酒; 利口酒; 果酒（含酒精）; 葡萄酒; 蒸煮提取物（利口酒和烈酒）; 米酒; 白干酒（中国白酒）</t>
    </r>
  </si>
  <si>
    <t>半恰</t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</si>
  <si>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白酒; 葡萄酒; 米酒; 黄酒; 梅酒;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</si>
  <si>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MITEWUA</t>
  </si>
  <si>
    <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青稞酒;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米酒; 白酒</t>
    </r>
  </si>
  <si>
    <t>毋界</t>
  </si>
  <si>
    <t>毋界（深圳）多媒体有限公司</t>
  </si>
  <si>
    <r>
      <t>草莓酒; 含酒精的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含酒精水果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朗姆酒（酒精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佐餐酒; 含酒精的水果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高粱酒; 不起泡葡萄酒; 白葡萄酒; 果酒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</si>
  <si>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葡萄酒; 米酒; 蜂蜜酒;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威士忌; 伏特加酒; 利口酒</t>
    </r>
  </si>
  <si>
    <r>
      <t>靓</t>
    </r>
    <r>
      <rPr>
        <sz val="11"/>
        <color theme="1"/>
        <rFont val="ＭＳ Ｐゴシック"/>
        <family val="3"/>
        <charset val="128"/>
        <scheme val="minor"/>
      </rPr>
      <t>仙</t>
    </r>
  </si>
  <si>
    <r>
      <t>赫章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威匠台酒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</si>
  <si>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青稞酒;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露酒;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</si>
  <si>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FENJIUSIQIAN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</si>
  <si>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开胃酒; 葡萄酒; 果酒（含酒精）; 梅酒; 含酒精的气泡水;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</si>
  <si>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王天会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</si>
  <si>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食用酒精; 果酒（含酒精）</t>
    </r>
  </si>
  <si>
    <r>
      <t>湘</t>
    </r>
    <r>
      <rPr>
        <sz val="11"/>
        <color theme="1"/>
        <rFont val="ＭＳ Ｐゴシック"/>
        <family val="3"/>
        <charset val="134"/>
        <scheme val="minor"/>
      </rPr>
      <t>扬</t>
    </r>
    <r>
      <rPr>
        <sz val="11"/>
        <color theme="1"/>
        <rFont val="ＭＳ Ｐゴシック"/>
        <family val="3"/>
        <charset val="128"/>
        <scheme val="minor"/>
      </rPr>
      <t>天下</t>
    </r>
  </si>
  <si>
    <r>
      <t>罗</t>
    </r>
    <r>
      <rPr>
        <sz val="11"/>
        <color theme="1"/>
        <rFont val="ＭＳ Ｐゴシック"/>
        <family val="3"/>
        <charset val="128"/>
        <scheme val="minor"/>
      </rPr>
      <t>放平</t>
    </r>
  </si>
  <si>
    <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米酒; 利口酒</t>
    </r>
  </si>
  <si>
    <r>
      <t>樱</t>
    </r>
    <r>
      <rPr>
        <sz val="11"/>
        <color theme="1"/>
        <rFont val="ＭＳ Ｐゴシック"/>
        <family val="3"/>
        <charset val="128"/>
        <scheme val="minor"/>
      </rPr>
      <t>姿北宅</t>
    </r>
  </si>
  <si>
    <r>
      <t>青</t>
    </r>
    <r>
      <rPr>
        <sz val="11"/>
        <color theme="1"/>
        <rFont val="ＭＳ Ｐゴシック"/>
        <family val="3"/>
        <charset val="134"/>
        <scheme val="minor"/>
      </rPr>
      <t>岛</t>
    </r>
    <r>
      <rPr>
        <sz val="11"/>
        <color theme="1"/>
        <rFont val="ＭＳ Ｐゴシック"/>
        <family val="3"/>
        <charset val="128"/>
        <scheme val="minor"/>
      </rPr>
      <t>本草</t>
    </r>
    <r>
      <rPr>
        <sz val="11"/>
        <color theme="1"/>
        <rFont val="ＭＳ Ｐゴシック"/>
        <family val="3"/>
        <charset val="134"/>
        <scheme val="minor"/>
      </rPr>
      <t>经</t>
    </r>
    <r>
      <rPr>
        <sz val="11"/>
        <color theme="1"/>
        <rFont val="ＭＳ Ｐゴシック"/>
        <family val="3"/>
        <charset val="128"/>
        <scheme val="minor"/>
      </rPr>
      <t>生物科技有限公司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</si>
  <si>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利口酒; 开胃酒;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</t>
    </r>
  </si>
  <si>
    <t>MATTYX</t>
  </si>
  <si>
    <r>
      <t>果酒（含酒精）; 葡萄酒; 威士忌;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伏特加酒; 黄酒; 米酒;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</t>
    </r>
  </si>
  <si>
    <r>
      <t>华</t>
    </r>
    <r>
      <rPr>
        <sz val="11"/>
        <color theme="1"/>
        <rFont val="ＭＳ Ｐゴシック"/>
        <family val="3"/>
        <charset val="128"/>
        <scheme val="minor"/>
      </rPr>
      <t>商洋</t>
    </r>
  </si>
  <si>
    <r>
      <t xml:space="preserve">苹果酒; 蜂蜜酒; 开胃酒; 梨酒; 白酒; 黄酒; 果酒（含酒精）;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</t>
    </r>
  </si>
  <si>
    <r>
      <t>河南大</t>
    </r>
    <r>
      <rPr>
        <sz val="11"/>
        <color theme="1"/>
        <rFont val="ＭＳ Ｐゴシック"/>
        <family val="3"/>
        <charset val="134"/>
        <scheme val="minor"/>
      </rPr>
      <t>铕</t>
    </r>
    <r>
      <rPr>
        <sz val="11"/>
        <color theme="1"/>
        <rFont val="ＭＳ Ｐゴシック"/>
        <family val="3"/>
        <charset val="128"/>
        <scheme val="minor"/>
      </rPr>
      <t>冠</t>
    </r>
    <r>
      <rPr>
        <sz val="11"/>
        <color theme="1"/>
        <rFont val="ＭＳ Ｐゴシック"/>
        <family val="3"/>
        <charset val="134"/>
        <scheme val="minor"/>
      </rPr>
      <t>实业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</si>
  <si>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梨酒;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白酒; 威士忌; 开胃酒;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米酒; 葡萄酒</t>
    </r>
  </si>
  <si>
    <t>MIXINGFUN</t>
  </si>
  <si>
    <r>
      <t>杭州就得拌商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</si>
  <si>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鸡</t>
    </r>
    <r>
      <rPr>
        <sz val="11"/>
        <color theme="1"/>
        <rFont val="ＭＳ Ｐゴシック"/>
        <family val="3"/>
        <charset val="128"/>
        <scheme val="minor"/>
      </rPr>
      <t>尾酒;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料原汁; </t>
    </r>
    <r>
      <rPr>
        <sz val="11"/>
        <color theme="1"/>
        <rFont val="ＭＳ Ｐゴシック"/>
        <family val="3"/>
        <charset val="134"/>
        <scheme val="minor"/>
      </rP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蜂蜜酒;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</si>
  <si>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宜化</t>
  </si>
  <si>
    <r>
      <t>李</t>
    </r>
    <r>
      <rPr>
        <sz val="11"/>
        <color theme="1"/>
        <rFont val="ＭＳ Ｐゴシック"/>
        <family val="3"/>
        <charset val="134"/>
        <scheme val="minor"/>
      </rPr>
      <t>纯</t>
    </r>
    <r>
      <rPr>
        <sz val="11"/>
        <color theme="1"/>
        <rFont val="ＭＳ Ｐゴシック"/>
        <family val="3"/>
        <charset val="128"/>
        <scheme val="minor"/>
      </rPr>
      <t>芳</t>
    </r>
  </si>
  <si>
    <r>
      <t>预</t>
    </r>
    <r>
      <rPr>
        <sz val="11"/>
        <color theme="1"/>
        <rFont val="ＭＳ Ｐゴシック"/>
        <family val="3"/>
        <charset val="128"/>
        <scheme val="minor"/>
      </rPr>
      <t>先混合的酒精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料（以啤酒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主的除外）; 开胃酒; 黄酒; 白酒; 烈酒;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葡萄酒; 米酒; 果酒</t>
    </r>
  </si>
  <si>
    <t>裕彤瑞盈</t>
  </si>
  <si>
    <t>董春男</t>
  </si>
  <si>
    <r>
      <t>果酒（含酒精）;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白酒;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食用酒精</t>
    </r>
  </si>
  <si>
    <t>元途天元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</si>
  <si>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州元途酒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</si>
  <si>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清酒;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 xml:space="preserve">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米酒; 黄酒</t>
    </r>
  </si>
  <si>
    <r>
      <t>锦鲤华</t>
    </r>
    <r>
      <rPr>
        <sz val="11"/>
        <color theme="1"/>
        <rFont val="ＭＳ Ｐゴシック"/>
        <family val="3"/>
        <charset val="128"/>
        <scheme val="minor"/>
      </rPr>
      <t>商</t>
    </r>
  </si>
  <si>
    <r>
      <t xml:space="preserve">果酒（含酒精）; 梨酒; 苹果酒; 黄酒; 葡萄酒;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 xml:space="preserve">桃酒; 蜂蜜酒; 开胃酒;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</si>
  <si>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r>
      <t>裕侯</t>
    </r>
    <r>
      <rPr>
        <sz val="11"/>
        <color theme="1"/>
        <rFont val="ＭＳ Ｐゴシック"/>
        <family val="3"/>
        <charset val="134"/>
        <scheme val="minor"/>
      </rPr>
      <t>爷</t>
    </r>
  </si>
  <si>
    <r>
      <t>赖陆</t>
    </r>
    <r>
      <rPr>
        <sz val="11"/>
        <color theme="1"/>
        <rFont val="ＭＳ Ｐゴシック"/>
        <family val="3"/>
        <charset val="128"/>
        <scheme val="minor"/>
      </rPr>
      <t>英</t>
    </r>
  </si>
  <si>
    <r>
      <t>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烈酒; 清酒（日本米酒）; 米酒;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高粱酒;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</si>
  <si>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MAMG</t>
  </si>
  <si>
    <r>
      <t>沫美国</t>
    </r>
    <r>
      <rPr>
        <sz val="11"/>
        <color theme="1"/>
        <rFont val="ＭＳ Ｐゴシック"/>
        <family val="3"/>
        <charset val="134"/>
        <scheme val="minor"/>
      </rPr>
      <t>际</t>
    </r>
    <r>
      <rPr>
        <sz val="11"/>
        <color theme="1"/>
        <rFont val="ＭＳ Ｐゴシック"/>
        <family val="3"/>
        <charset val="128"/>
        <scheme val="minor"/>
      </rPr>
      <t>生物科技（广州）有限公司</t>
    </r>
  </si>
  <si>
    <r>
      <t xml:space="preserve">威士忌; 黄酒; 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白酒; 米酒;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清酒（日本米酒）;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</si>
  <si>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r>
      <t>羡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方</t>
    </r>
  </si>
  <si>
    <r>
      <t>王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旭</t>
    </r>
  </si>
  <si>
    <r>
      <t>葡萄酒; 伏特加酒;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果酒（含酒精）; 烈酒; 汽酒; 黄酒; 白酒; 清酒（日本米酒）;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</si>
  <si>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苠叙</t>
  </si>
  <si>
    <r>
      <t>贵</t>
    </r>
    <r>
      <rPr>
        <sz val="11"/>
        <color theme="1"/>
        <rFont val="ＭＳ Ｐゴシック"/>
        <family val="3"/>
        <charset val="128"/>
        <scheme val="minor"/>
      </rPr>
      <t>州邀享</t>
    </r>
    <r>
      <rPr>
        <sz val="11"/>
        <color theme="1"/>
        <rFont val="ＭＳ Ｐゴシック"/>
        <family val="3"/>
        <charset val="134"/>
        <scheme val="minor"/>
      </rPr>
      <t>壶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</si>
  <si>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已</t>
    </r>
    <r>
      <rPr>
        <sz val="11"/>
        <color theme="1"/>
        <rFont val="ＭＳ Ｐゴシック"/>
        <family val="3"/>
        <charset val="134"/>
        <scheme val="minor"/>
      </rPr>
      <t>调</t>
    </r>
    <r>
      <rPr>
        <sz val="11"/>
        <color theme="1"/>
        <rFont val="ＭＳ Ｐゴシック"/>
        <family val="3"/>
        <charset val="128"/>
        <scheme val="minor"/>
      </rPr>
      <t>味的蒸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高粱酒;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以蒸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</t>
    </r>
    <r>
      <rPr>
        <sz val="11"/>
        <color theme="1"/>
        <rFont val="ＭＳ Ｐゴシック"/>
        <family val="3"/>
        <charset val="134"/>
        <scheme val="minor"/>
      </rPr>
      <t>为</t>
    </r>
    <r>
      <rPr>
        <sz val="11"/>
        <color theme="1"/>
        <rFont val="ＭＳ Ｐゴシック"/>
        <family val="3"/>
        <charset val="128"/>
        <scheme val="minor"/>
      </rPr>
      <t>主的开胃酒; 烈酒;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白酒;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</si>
  <si>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乡</t>
    </r>
    <r>
      <rPr>
        <sz val="11"/>
        <color theme="1"/>
        <rFont val="ＭＳ Ｐゴシック"/>
        <family val="3"/>
        <charset val="128"/>
        <scheme val="minor"/>
      </rPr>
      <t>宛香</t>
    </r>
  </si>
  <si>
    <r>
      <t>赵书</t>
    </r>
    <r>
      <rPr>
        <sz val="11"/>
        <color theme="1"/>
        <rFont val="ＭＳ Ｐゴシック"/>
        <family val="3"/>
        <charset val="128"/>
        <scheme val="minor"/>
      </rPr>
      <t>娟</t>
    </r>
  </si>
  <si>
    <r>
      <t>白酒; 蜂蜜酒; 烈酒;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米酒; 果酒;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酸酒（低等葡萄酒）</t>
    </r>
  </si>
  <si>
    <r>
      <t>饱</t>
    </r>
    <r>
      <rPr>
        <sz val="11"/>
        <color theme="1"/>
        <rFont val="ＭＳ Ｐゴシック"/>
        <family val="3"/>
        <charset val="128"/>
        <scheme val="minor"/>
      </rPr>
      <t>小二</t>
    </r>
  </si>
  <si>
    <r>
      <t>浙江乙天投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</si>
  <si>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米酒;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果酒（含酒精）;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>葡萄酒; 青梅酒; 薄荷酒;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樱</t>
    </r>
    <r>
      <rPr>
        <sz val="11"/>
        <color theme="1"/>
        <rFont val="ＭＳ Ｐゴシック"/>
        <family val="3"/>
        <charset val="128"/>
        <scheme val="minor"/>
      </rPr>
      <t>桃白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白干酒（中国白酒）</t>
    </r>
  </si>
  <si>
    <r>
      <t>九江市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技</t>
    </r>
    <r>
      <rPr>
        <sz val="11"/>
        <color theme="1"/>
        <rFont val="ＭＳ Ｐゴシック"/>
        <family val="3"/>
        <charset val="134"/>
        <scheme val="minor"/>
      </rPr>
      <t>术</t>
    </r>
    <r>
      <rPr>
        <sz val="11"/>
        <color theme="1"/>
        <rFont val="ＭＳ Ｐゴシック"/>
        <family val="3"/>
        <charset val="128"/>
        <scheme val="minor"/>
      </rPr>
      <t>开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区向阳街道双塔村</t>
    </r>
    <r>
      <rPr>
        <sz val="11"/>
        <color theme="1"/>
        <rFont val="ＭＳ Ｐゴシック"/>
        <family val="3"/>
        <charset val="134"/>
        <scheme val="minor"/>
      </rPr>
      <t>经济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</si>
  <si>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威士忌; 黄酒;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米酒;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果酒（含酒精）; 青稞酒</t>
    </r>
  </si>
  <si>
    <r>
      <t>老表</t>
    </r>
    <r>
      <rPr>
        <sz val="11"/>
        <color theme="1"/>
        <rFont val="ＭＳ Ｐゴシック"/>
        <family val="3"/>
        <charset val="134"/>
        <scheme val="minor"/>
      </rPr>
      <t>说</t>
    </r>
  </si>
  <si>
    <r>
      <t>严</t>
    </r>
    <r>
      <rPr>
        <sz val="11"/>
        <color theme="1"/>
        <rFont val="ＭＳ Ｐゴシック"/>
        <family val="3"/>
        <charset val="128"/>
        <scheme val="minor"/>
      </rPr>
      <t>荣</t>
    </r>
    <r>
      <rPr>
        <sz val="11"/>
        <color theme="1"/>
        <rFont val="ＭＳ Ｐゴシック"/>
        <family val="3"/>
        <charset val="134"/>
        <scheme val="minor"/>
      </rPr>
      <t>华</t>
    </r>
  </si>
  <si>
    <r>
      <t>白酒; 黄酒; 葡萄酒; 谷物制蒸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由谷物蒸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 xml:space="preserve">的白酒;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高粱酒; 白干酒（中国白酒）; 甜酒</t>
    </r>
  </si>
  <si>
    <r>
      <t>澜</t>
    </r>
    <r>
      <rPr>
        <sz val="11"/>
        <color theme="1"/>
        <rFont val="ＭＳ Ｐゴシック"/>
        <family val="3"/>
        <charset val="128"/>
        <scheme val="minor"/>
      </rPr>
      <t>坤</t>
    </r>
  </si>
  <si>
    <r>
      <t>林</t>
    </r>
    <r>
      <rPr>
        <sz val="11"/>
        <color theme="1"/>
        <rFont val="ＭＳ Ｐゴシック"/>
        <family val="3"/>
        <charset val="129"/>
        <scheme val="minor"/>
      </rPr>
      <t>强</t>
    </r>
  </si>
  <si>
    <r>
      <t xml:space="preserve">食用酒精; 威士忌; 高粱酒;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 xml:space="preserve">尾酒; 葡萄酒; 果酒;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</si>
  <si>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t>吉古阿沙漠</t>
  </si>
  <si>
    <r>
      <t>仙桃玖年广告印</t>
    </r>
    <r>
      <rPr>
        <sz val="11"/>
        <color theme="1"/>
        <rFont val="ＭＳ Ｐゴシック"/>
        <family val="3"/>
        <charset val="134"/>
        <scheme val="minor"/>
      </rPr>
      <t>务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</si>
  <si>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>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白酒; 利口酒; 米酒;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开胃酒</t>
    </r>
  </si>
  <si>
    <r>
      <t>贝</t>
    </r>
    <r>
      <rPr>
        <sz val="11"/>
        <color theme="1"/>
        <rFont val="ＭＳ Ｐゴシック"/>
        <family val="3"/>
        <charset val="128"/>
        <scheme val="minor"/>
      </rPr>
      <t>憨</t>
    </r>
  </si>
  <si>
    <r>
      <t>临</t>
    </r>
    <r>
      <rPr>
        <sz val="11"/>
        <color theme="1"/>
        <rFont val="ＭＳ Ｐゴシック"/>
        <family val="3"/>
        <charset val="128"/>
        <scheme val="minor"/>
      </rPr>
      <t>高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旅游文化投</t>
    </r>
    <r>
      <rPr>
        <sz val="11"/>
        <color theme="1"/>
        <rFont val="ＭＳ Ｐゴシック"/>
        <family val="3"/>
        <charset val="134"/>
        <scheme val="minor"/>
      </rPr>
      <t>资</t>
    </r>
    <r>
      <rPr>
        <sz val="11"/>
        <color theme="1"/>
        <rFont val="ＭＳ Ｐゴシック"/>
        <family val="3"/>
        <charset val="128"/>
        <scheme val="minor"/>
      </rPr>
      <t>集</t>
    </r>
    <r>
      <rPr>
        <sz val="11"/>
        <color theme="1"/>
        <rFont val="ＭＳ Ｐゴシック"/>
        <family val="3"/>
        <charset val="134"/>
        <scheme val="minor"/>
      </rPr>
      <t>团</t>
    </r>
    <r>
      <rPr>
        <sz val="11"/>
        <color theme="1"/>
        <rFont val="ＭＳ Ｐゴシック"/>
        <family val="3"/>
        <charset val="128"/>
        <scheme val="minor"/>
      </rPr>
      <t>有限公司</t>
    </r>
  </si>
  <si>
    <r>
      <t xml:space="preserve">食用酒精;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伏特加酒;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汽酒; 米酒</t>
    </r>
  </si>
  <si>
    <r>
      <t>春白</t>
    </r>
    <r>
      <rPr>
        <sz val="11"/>
        <color theme="1"/>
        <rFont val="ＭＳ Ｐゴシック"/>
        <family val="3"/>
        <charset val="134"/>
        <scheme val="minor"/>
      </rPr>
      <t>蕴</t>
    </r>
  </si>
  <si>
    <r>
      <t>杨</t>
    </r>
    <r>
      <rPr>
        <sz val="11"/>
        <color theme="1"/>
        <rFont val="ＭＳ Ｐゴシック"/>
        <family val="3"/>
        <charset val="128"/>
        <scheme val="minor"/>
      </rPr>
      <t>春</t>
    </r>
  </si>
  <si>
    <r>
      <t>食用酒精; 清酒（日本米酒）;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汽酒; 果酒（含酒精）;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</si>
  <si>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黔事旺</t>
  </si>
  <si>
    <r>
      <t>清酒（日本米酒）; 黄酒; 伏特加酒; 汽酒; 葡萄酒;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烈酒; 白酒; 果酒（含酒精）;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</si>
  <si>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寨</t>
    </r>
    <r>
      <rPr>
        <sz val="11"/>
        <color theme="1"/>
        <rFont val="ＭＳ Ｐゴシック"/>
        <family val="3"/>
        <charset val="134"/>
        <scheme val="minor"/>
      </rPr>
      <t>边</t>
    </r>
    <r>
      <rPr>
        <sz val="11"/>
        <color theme="1"/>
        <rFont val="ＭＳ Ｐゴシック"/>
        <family val="3"/>
        <charset val="128"/>
        <scheme val="minor"/>
      </rPr>
      <t>云</t>
    </r>
  </si>
  <si>
    <t>樊正文</t>
  </si>
  <si>
    <r>
      <t>米酒; 白酒;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开胃酒;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威士忌; 葡萄酒; 黄酒; 果酒（含酒精）</t>
    </r>
  </si>
  <si>
    <t>幽梦影</t>
  </si>
  <si>
    <t>李彩</t>
  </si>
  <si>
    <r>
      <t>果酒; 高粱酒; 干型苹果酒; 露酒; 含酒精的充气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 xml:space="preserve">地; </t>
    </r>
    <r>
      <rPr>
        <sz val="11"/>
        <color theme="1"/>
        <rFont val="ＭＳ Ｐゴシック"/>
        <family val="3"/>
        <charset val="134"/>
        <scheme val="minor"/>
      </rPr>
      <t>红</t>
    </r>
    <r>
      <rPr>
        <sz val="11"/>
        <color theme="1"/>
        <rFont val="ＭＳ Ｐゴシック"/>
        <family val="3"/>
        <charset val="128"/>
        <scheme val="minor"/>
      </rP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酒（烈酒）; 白酒;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</t>
    </r>
  </si>
  <si>
    <t>OZLAIDE</t>
  </si>
  <si>
    <r>
      <t>浙江省</t>
    </r>
    <r>
      <rPr>
        <sz val="11"/>
        <color theme="1"/>
        <rFont val="ＭＳ Ｐゴシック"/>
        <family val="3"/>
        <charset val="134"/>
        <scheme val="minor"/>
      </rPr>
      <t>盐业</t>
    </r>
    <r>
      <rPr>
        <sz val="11"/>
        <color theme="1"/>
        <rFont val="ＭＳ Ｐゴシック"/>
        <family val="3"/>
        <charset val="128"/>
        <scheme val="minor"/>
      </rPr>
      <t>股份有限公司</t>
    </r>
  </si>
  <si>
    <r>
      <t>黄酒; 清酒（日本米酒）;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汽酒; 食用酒精; 果酒（含酒精）;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米酒</t>
    </r>
  </si>
  <si>
    <r>
      <t>锦</t>
    </r>
    <r>
      <rPr>
        <sz val="11"/>
        <color theme="1"/>
        <rFont val="ＭＳ Ｐゴシック"/>
        <family val="3"/>
        <charset val="128"/>
        <scheme val="minor"/>
      </rPr>
      <t>天果韵</t>
    </r>
  </si>
  <si>
    <r>
      <t>滕州市</t>
    </r>
    <r>
      <rPr>
        <sz val="11"/>
        <color theme="1"/>
        <rFont val="ＭＳ Ｐゴシック"/>
        <family val="3"/>
        <charset val="134"/>
        <scheme val="minor"/>
      </rPr>
      <t>锦</t>
    </r>
    <r>
      <rPr>
        <sz val="11"/>
        <color theme="1"/>
        <rFont val="ＭＳ Ｐゴシック"/>
        <family val="3"/>
        <charset val="128"/>
        <scheme val="minor"/>
      </rPr>
      <t>天</t>
    </r>
    <r>
      <rPr>
        <sz val="11"/>
        <color theme="1"/>
        <rFont val="ＭＳ Ｐゴシック"/>
        <family val="3"/>
        <charset val="134"/>
        <scheme val="minor"/>
      </rPr>
      <t>农业发</t>
    </r>
    <r>
      <rPr>
        <sz val="11"/>
        <color theme="1"/>
        <rFont val="ＭＳ Ｐゴシック"/>
        <family val="3"/>
        <charset val="128"/>
        <scheme val="minor"/>
      </rPr>
      <t>展有限公司</t>
    </r>
  </si>
  <si>
    <r>
      <t>餐后酒（利口酒和烈酒）; 梨酒; 果酒;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料原汁;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</si>
  <si>
    <r>
      <t>沫美国</t>
    </r>
    <r>
      <rPr>
        <sz val="11"/>
        <color theme="1"/>
        <rFont val="ＭＳ Ｐゴシック"/>
        <family val="3"/>
        <charset val="134"/>
        <scheme val="minor"/>
      </rPr>
      <t>际</t>
    </r>
  </si>
  <si>
    <r>
      <t xml:space="preserve">开胃酒;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黄酒; 果酒（含酒精）; 清酒（日本米酒）; 威士忌;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</t>
    </r>
  </si>
  <si>
    <r>
      <t>洁</t>
    </r>
    <r>
      <rPr>
        <sz val="11"/>
        <color theme="1"/>
        <rFont val="ＭＳ Ｐゴシック"/>
        <family val="3"/>
        <charset val="128"/>
        <scheme val="minor"/>
      </rPr>
      <t>辰之星</t>
    </r>
  </si>
  <si>
    <r>
      <t>上海</t>
    </r>
    <r>
      <rPr>
        <sz val="11"/>
        <color theme="1"/>
        <rFont val="ＭＳ Ｐゴシック"/>
        <family val="3"/>
        <charset val="129"/>
        <scheme val="minor"/>
      </rPr>
      <t>洁</t>
    </r>
    <r>
      <rPr>
        <sz val="11"/>
        <color theme="1"/>
        <rFont val="ＭＳ Ｐゴシック"/>
        <family val="3"/>
        <charset val="128"/>
        <scheme val="minor"/>
      </rPr>
      <t>辰</t>
    </r>
    <r>
      <rPr>
        <sz val="11"/>
        <color theme="1"/>
        <rFont val="ＭＳ Ｐゴシック"/>
        <family val="3"/>
        <charset val="134"/>
        <scheme val="minor"/>
      </rPr>
      <t>贸</t>
    </r>
    <r>
      <rPr>
        <sz val="11"/>
        <color theme="1"/>
        <rFont val="ＭＳ Ｐゴシック"/>
        <family val="3"/>
        <charset val="128"/>
        <scheme val="minor"/>
      </rPr>
      <t>易有限公司</t>
    </r>
  </si>
  <si>
    <r>
      <t xml:space="preserve">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米酒;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汽酒; 黄酒;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伏特加酒; 葡萄酒; 威士忌</t>
    </r>
  </si>
  <si>
    <t>堤上裕品</t>
  </si>
  <si>
    <r>
      <t>滑</t>
    </r>
    <r>
      <rPr>
        <sz val="11"/>
        <color theme="1"/>
        <rFont val="ＭＳ Ｐゴシック"/>
        <family val="3"/>
        <charset val="134"/>
        <scheme val="minor"/>
      </rPr>
      <t>县</t>
    </r>
    <r>
      <rPr>
        <sz val="11"/>
        <color theme="1"/>
        <rFont val="ＭＳ Ｐゴシック"/>
        <family val="3"/>
        <charset val="128"/>
        <scheme val="minor"/>
      </rPr>
      <t>堤上</t>
    </r>
    <r>
      <rPr>
        <sz val="11"/>
        <color theme="1"/>
        <rFont val="ＭＳ Ｐゴシック"/>
        <family val="3"/>
        <charset val="134"/>
        <scheme val="minor"/>
      </rPr>
      <t>乡</t>
    </r>
    <r>
      <rPr>
        <sz val="11"/>
        <color theme="1"/>
        <rFont val="ＭＳ Ｐゴシック"/>
        <family val="3"/>
        <charset val="128"/>
        <scheme val="minor"/>
      </rPr>
      <t>村旅游</t>
    </r>
    <r>
      <rPr>
        <sz val="11"/>
        <color theme="1"/>
        <rFont val="ＭＳ Ｐゴシック"/>
        <family val="3"/>
        <charset val="134"/>
        <scheme val="minor"/>
      </rPr>
      <t>专业</t>
    </r>
    <r>
      <rPr>
        <sz val="11"/>
        <color theme="1"/>
        <rFont val="ＭＳ Ｐゴシック"/>
        <family val="3"/>
        <charset val="128"/>
        <scheme val="minor"/>
      </rPr>
      <t>合作社</t>
    </r>
  </si>
  <si>
    <r>
      <t>威士忌; 米酒; 葡萄酒; 白酒;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鸡</t>
    </r>
    <r>
      <rPr>
        <sz val="11"/>
        <color theme="1"/>
        <rFont val="ＭＳ Ｐゴシック"/>
        <family val="3"/>
        <charset val="128"/>
        <scheme val="minor"/>
      </rPr>
      <t>尾酒;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果酒（含酒精）; 黄酒</t>
    </r>
  </si>
  <si>
    <t>猫非猫</t>
  </si>
  <si>
    <r>
      <t>不言企</t>
    </r>
    <r>
      <rPr>
        <sz val="11"/>
        <color theme="1"/>
        <rFont val="ＭＳ Ｐゴシック"/>
        <family val="3"/>
        <charset val="134"/>
        <scheme val="minor"/>
      </rPr>
      <t>业</t>
    </r>
    <r>
      <rPr>
        <sz val="11"/>
        <color theme="1"/>
        <rFont val="ＭＳ Ｐゴシック"/>
        <family val="3"/>
        <charset val="128"/>
        <scheme val="minor"/>
      </rPr>
      <t>管理（山</t>
    </r>
    <r>
      <rPr>
        <sz val="11"/>
        <color theme="1"/>
        <rFont val="ＭＳ Ｐゴシック"/>
        <family val="3"/>
        <charset val="134"/>
        <scheme val="minor"/>
      </rPr>
      <t>东</t>
    </r>
    <r>
      <rPr>
        <sz val="11"/>
        <color theme="1"/>
        <rFont val="ＭＳ Ｐゴシック"/>
        <family val="3"/>
        <charset val="128"/>
        <scheme val="minor"/>
      </rPr>
      <t>）有限公司</t>
    </r>
  </si>
  <si>
    <r>
      <t>葡萄酒;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黄酒; 食用酒精; 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 xml:space="preserve">料; 青稞酒;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</t>
    </r>
  </si>
  <si>
    <t>苗四方</t>
  </si>
  <si>
    <t>毛盼君</t>
  </si>
  <si>
    <r>
      <t>烈酒;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利口酒; 米酒; 甜酒; 白酒; 五加皮酒（中国混合烈酒）;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老酒（中国蒸</t>
    </r>
    <r>
      <rPr>
        <sz val="11"/>
        <color theme="1"/>
        <rFont val="ＭＳ Ｐゴシック"/>
        <family val="3"/>
        <charset val="134"/>
        <scheme val="minor"/>
      </rPr>
      <t>馏</t>
    </r>
    <r>
      <rPr>
        <sz val="11"/>
        <color theme="1"/>
        <rFont val="ＭＳ Ｐゴシック"/>
        <family val="3"/>
        <charset val="128"/>
        <scheme val="minor"/>
      </rPr>
      <t>烈酒）; 黄酒</t>
    </r>
  </si>
  <si>
    <r>
      <t>黔</t>
    </r>
    <r>
      <rPr>
        <sz val="11"/>
        <color theme="1"/>
        <rFont val="ＭＳ Ｐゴシック"/>
        <family val="3"/>
        <charset val="134"/>
        <scheme val="minor"/>
      </rPr>
      <t>顺</t>
    </r>
    <r>
      <rPr>
        <sz val="11"/>
        <color theme="1"/>
        <rFont val="ＭＳ Ｐゴシック"/>
        <family val="3"/>
        <charset val="128"/>
        <scheme val="minor"/>
      </rPr>
      <t>年</t>
    </r>
  </si>
  <si>
    <r>
      <t>汽酒; 伏特加酒; 黄酒; 白酒; 除啤酒外的酒精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</t>
    </r>
    <r>
      <rPr>
        <sz val="11"/>
        <color theme="1"/>
        <rFont val="ＭＳ Ｐゴシック"/>
        <family val="3"/>
        <charset val="134"/>
        <scheme val="minor"/>
      </rPr>
      <t>兰</t>
    </r>
    <r>
      <rPr>
        <sz val="11"/>
        <color theme="1"/>
        <rFont val="ＭＳ Ｐゴシック"/>
        <family val="3"/>
        <charset val="128"/>
        <scheme val="minor"/>
      </rPr>
      <t>地; 烈酒; 葡萄酒; 清酒（日本米酒）; 果酒（含酒精）</t>
    </r>
  </si>
  <si>
    <r>
      <t xml:space="preserve">米酒; 伏特加酒;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食用酒精; 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</si>
  <si>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想念大厨房</t>
  </si>
  <si>
    <t>想念食品股份有限公司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</si>
  <si>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含酒精的气泡水; 果酒（含酒精）; 苹果酒; 葡萄酒; 白酒; 蒸</t>
    </r>
    <r>
      <rPr>
        <sz val="11"/>
        <color theme="1"/>
        <rFont val="ＭＳ Ｐゴシック"/>
        <family val="3"/>
        <charset val="134"/>
        <scheme val="minor"/>
      </rPr>
      <t>馏饮</t>
    </r>
    <r>
      <rPr>
        <sz val="11"/>
        <color theme="1"/>
        <rFont val="ＭＳ Ｐゴシック"/>
        <family val="3"/>
        <charset val="128"/>
        <scheme val="minor"/>
      </rPr>
      <t>料; 利口酒;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</t>
    </r>
  </si>
  <si>
    <r>
      <t>永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成</t>
    </r>
  </si>
  <si>
    <r>
      <t>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</si>
  <si>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五渡溪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</si>
  <si>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果酒（含酒精）</t>
    </r>
  </si>
  <si>
    <r>
      <t>福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和</t>
    </r>
  </si>
  <si>
    <r>
      <t xml:space="preserve">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米酒</t>
    </r>
  </si>
  <si>
    <r>
      <t>胜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祥</t>
    </r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</si>
  <si>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黄酒</t>
    </r>
  </si>
  <si>
    <t>大夫第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</si>
  <si>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白酒;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</t>
    </r>
  </si>
  <si>
    <t>天成生</t>
  </si>
  <si>
    <r>
      <t>黄酒; 果酒（含酒精）;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</si>
  <si>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春和荣</t>
  </si>
  <si>
    <r>
      <t>白酒;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</t>
    </r>
  </si>
  <si>
    <t>炳恒</t>
  </si>
  <si>
    <r>
      <t>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</t>
    </r>
  </si>
  <si>
    <r>
      <t>顺</t>
    </r>
    <r>
      <rPr>
        <sz val="11"/>
        <color theme="1"/>
        <rFont val="ＭＳ Ｐゴシック"/>
        <family val="3"/>
        <charset val="128"/>
        <scheme val="minor"/>
      </rPr>
      <t>昌祥</t>
    </r>
  </si>
  <si>
    <r>
      <t>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葡萄酒; 米酒; 黄酒; 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</si>
  <si>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琢如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</si>
  <si>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葡萄酒;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</t>
    </r>
  </si>
  <si>
    <r>
      <t>洪</t>
    </r>
    <r>
      <rPr>
        <sz val="11"/>
        <color theme="1"/>
        <rFont val="ＭＳ Ｐゴシック"/>
        <family val="3"/>
        <charset val="134"/>
        <scheme val="minor"/>
      </rPr>
      <t>兴</t>
    </r>
    <r>
      <rPr>
        <sz val="11"/>
        <color theme="1"/>
        <rFont val="ＭＳ Ｐゴシック"/>
        <family val="3"/>
        <charset val="128"/>
        <scheme val="minor"/>
      </rPr>
      <t>和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</si>
  <si>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</t>
    </r>
  </si>
  <si>
    <t>裕厚祥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</si>
  <si>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白酒;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</t>
    </r>
  </si>
  <si>
    <r>
      <t>福来</t>
    </r>
    <r>
      <rPr>
        <sz val="11"/>
        <color theme="1"/>
        <rFont val="ＭＳ Ｐゴシック"/>
        <family val="3"/>
        <charset val="134"/>
        <scheme val="minor"/>
      </rPr>
      <t>临</t>
    </r>
  </si>
  <si>
    <r>
      <t>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白酒;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果酒（含酒精）</t>
    </r>
  </si>
  <si>
    <t>富生荣</t>
  </si>
  <si>
    <r>
      <t>葡萄酒;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白酒;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</si>
  <si>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协</t>
    </r>
    <r>
      <rPr>
        <sz val="11"/>
        <color theme="1"/>
        <rFont val="ＭＳ Ｐゴシック"/>
        <family val="3"/>
        <charset val="128"/>
        <scheme val="minor"/>
      </rPr>
      <t>泰祥</t>
    </r>
  </si>
  <si>
    <r>
      <t xml:space="preserve">果酒（含酒精）;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白酒; 黄酒;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</si>
  <si>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r>
      <t>醇丰</t>
    </r>
    <r>
      <rPr>
        <sz val="11"/>
        <color theme="1"/>
        <rFont val="ＭＳ Ｐゴシック"/>
        <family val="3"/>
        <charset val="134"/>
        <scheme val="minor"/>
      </rPr>
      <t>远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</si>
  <si>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黄酒;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白酒</t>
    </r>
  </si>
  <si>
    <t>大夫地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</si>
  <si>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料）;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黄酒; 果酒（含酒精）; 米酒</t>
    </r>
  </si>
  <si>
    <t>醉翁洞</t>
  </si>
  <si>
    <r>
      <t>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葡萄酒; 黄酒</t>
    </r>
  </si>
  <si>
    <r>
      <t>兴顺</t>
    </r>
    <r>
      <rPr>
        <sz val="11"/>
        <color theme="1"/>
        <rFont val="ＭＳ Ｐゴシック"/>
        <family val="3"/>
        <charset val="128"/>
        <scheme val="minor"/>
      </rPr>
      <t>隆</t>
    </r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</si>
  <si>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米酒;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果酒（含酒精）; 葡萄酒; 白酒; 黄酒</t>
    </r>
  </si>
  <si>
    <r>
      <t>鸿</t>
    </r>
    <r>
      <rPr>
        <sz val="11"/>
        <color theme="1"/>
        <rFont val="ＭＳ Ｐゴシック"/>
        <family val="3"/>
        <charset val="128"/>
        <scheme val="minor"/>
      </rPr>
      <t>盛祥</t>
    </r>
  </si>
  <si>
    <r>
      <t xml:space="preserve">葡萄酒;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米酒;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黄酒; 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</t>
    </r>
  </si>
  <si>
    <t>顺风远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</si>
  <si>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米酒;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白酒; 葡萄酒; 黄酒; 果酒（含酒精）</t>
    </r>
  </si>
  <si>
    <r>
      <t>龙</t>
    </r>
    <r>
      <rPr>
        <sz val="11"/>
        <color theme="1"/>
        <rFont val="ＭＳ Ｐゴシック"/>
        <family val="3"/>
        <charset val="128"/>
        <scheme val="minor"/>
      </rPr>
      <t>泉井</t>
    </r>
  </si>
  <si>
    <r>
      <t>白酒; 果酒（含酒精）;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米酒; 葡萄酒</t>
    </r>
  </si>
  <si>
    <r>
      <t>同</t>
    </r>
    <r>
      <rPr>
        <sz val="11"/>
        <color theme="1"/>
        <rFont val="ＭＳ Ｐゴシック"/>
        <family val="3"/>
        <charset val="134"/>
        <scheme val="minor"/>
      </rPr>
      <t>发</t>
    </r>
    <r>
      <rPr>
        <sz val="11"/>
        <color theme="1"/>
        <rFont val="ＭＳ Ｐゴシック"/>
        <family val="3"/>
        <charset val="128"/>
        <scheme val="minor"/>
      </rPr>
      <t>生</t>
    </r>
  </si>
  <si>
    <r>
      <t>果酒（含酒精）;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米酒; 葡萄酒;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料（啤酒除外）; 黄酒;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 xml:space="preserve">汁; 白酒;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</t>
    </r>
  </si>
  <si>
    <t>永生祥</t>
  </si>
  <si>
    <r>
      <t>烈酒（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料）;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</t>
    </r>
    <r>
      <rPr>
        <sz val="11"/>
        <color theme="1"/>
        <rFont val="ＭＳ Ｐゴシック"/>
        <family val="3"/>
        <charset val="134"/>
        <scheme val="minor"/>
      </rPr>
      <t>浓缩</t>
    </r>
    <r>
      <rPr>
        <sz val="11"/>
        <color theme="1"/>
        <rFont val="ＭＳ Ｐゴシック"/>
        <family val="3"/>
        <charset val="128"/>
        <scheme val="minor"/>
      </rPr>
      <t>汁; 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 xml:space="preserve">料（啤酒除外）; </t>
    </r>
    <r>
      <rPr>
        <sz val="11"/>
        <color theme="1"/>
        <rFont val="ＭＳ Ｐゴシック"/>
        <family val="3"/>
        <charset val="134"/>
        <scheme val="minor"/>
      </rPr>
      <t>烧</t>
    </r>
    <r>
      <rPr>
        <sz val="11"/>
        <color theme="1"/>
        <rFont val="ＭＳ Ｐゴシック"/>
        <family val="3"/>
        <charset val="128"/>
        <scheme val="minor"/>
      </rPr>
      <t>酒; 黄酒; 白酒; 果酒（含酒精）; 葡萄酒; 含水果酒精</t>
    </r>
    <r>
      <rPr>
        <sz val="11"/>
        <color theme="1"/>
        <rFont val="ＭＳ Ｐゴシック"/>
        <family val="3"/>
        <charset val="134"/>
        <scheme val="minor"/>
      </rPr>
      <t>饮</t>
    </r>
    <r>
      <rPr>
        <sz val="11"/>
        <color theme="1"/>
        <rFont val="ＭＳ Ｐゴシック"/>
        <family val="3"/>
        <charset val="128"/>
        <scheme val="minor"/>
      </rPr>
      <t>料; 米酒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</si>
</sst>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34"/>
      <scheme val="minor"/>
    </font>
    <font>
      <sz val="11"/>
      <color theme="1"/>
      <name val="ＭＳ Ｐゴシック"/>
      <family val="3"/>
      <charset val="129"/>
      <scheme val="minor"/>
    </font>
    <font>
      <u/>
      <sz val="11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1" xfId="1" applyBorder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1502"/>
  <sheetViews>
    <sheetView tabSelected="1" workbookViewId="0"/>
  </sheetViews>
  <sheetFormatPr defaultRowHeight="13.5" x14ac:dyDescent="0.15"/>
  <cols>
    <col min="1" max="1" width="9" style="5"/>
    <col min="2" max="2" width="9" style="6"/>
    <col min="3" max="3" width="9" style="7"/>
    <col min="4" max="4" width="11.625" style="8" customWidth="1"/>
    <col min="5" max="5" width="10.625" style="7" bestFit="1" customWidth="1"/>
    <col min="6" max="6" width="28.375" style="6" customWidth="1"/>
    <col min="7" max="7" width="31.375" style="6" customWidth="1"/>
    <col min="8" max="8" width="30.625" style="6" customWidth="1"/>
    <col min="9" max="9" width="11.625" style="8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9">
        <v>1</v>
      </c>
      <c r="B2" s="9" t="s">
        <v>9</v>
      </c>
      <c r="C2" s="9">
        <v>1918</v>
      </c>
      <c r="D2" s="10">
        <v>45663</v>
      </c>
      <c r="E2" s="13" t="str">
        <f>+HYPERLINK("http://trademark.i-assist.jp/data/china/image_1918th/76674273.pdf","76674273")</f>
        <v>76674273</v>
      </c>
      <c r="F2" s="12" t="s">
        <v>92</v>
      </c>
      <c r="G2" s="9" t="s">
        <v>93</v>
      </c>
      <c r="H2" s="9" t="s">
        <v>94</v>
      </c>
      <c r="I2" s="10">
        <v>45320</v>
      </c>
    </row>
    <row r="3" spans="1:9" x14ac:dyDescent="0.15">
      <c r="A3" s="9">
        <v>2</v>
      </c>
      <c r="B3" s="9" t="s">
        <v>9</v>
      </c>
      <c r="C3" s="9">
        <v>1918</v>
      </c>
      <c r="D3" s="10">
        <v>45663</v>
      </c>
      <c r="E3" s="13" t="str">
        <f>+HYPERLINK("http://trademark.i-assist.jp/data/china/image_1918th/77862296.pdf","77862296")</f>
        <v>77862296</v>
      </c>
      <c r="F3" s="9" t="s">
        <v>95</v>
      </c>
      <c r="G3" s="9" t="s">
        <v>96</v>
      </c>
      <c r="H3" s="9" t="s">
        <v>97</v>
      </c>
      <c r="I3" s="10">
        <v>45392</v>
      </c>
    </row>
    <row r="4" spans="1:9" x14ac:dyDescent="0.15">
      <c r="A4" s="9">
        <v>3</v>
      </c>
      <c r="B4" s="9" t="s">
        <v>9</v>
      </c>
      <c r="C4" s="9">
        <v>1918</v>
      </c>
      <c r="D4" s="10">
        <v>45663</v>
      </c>
      <c r="E4" s="13" t="str">
        <f>+HYPERLINK("http://trademark.i-assist.jp/data/china/image_1918th/78089797.pdf","78089797")</f>
        <v>78089797</v>
      </c>
      <c r="F4" s="9" t="s">
        <v>98</v>
      </c>
      <c r="G4" s="9" t="s">
        <v>99</v>
      </c>
      <c r="H4" s="12" t="s">
        <v>100</v>
      </c>
      <c r="I4" s="10">
        <v>45401</v>
      </c>
    </row>
    <row r="5" spans="1:9" x14ac:dyDescent="0.15">
      <c r="A5" s="9">
        <v>4</v>
      </c>
      <c r="B5" s="9" t="s">
        <v>9</v>
      </c>
      <c r="C5" s="9">
        <v>1918</v>
      </c>
      <c r="D5" s="10">
        <v>45663</v>
      </c>
      <c r="E5" s="13" t="str">
        <f>+HYPERLINK("http://trademark.i-assist.jp/data/china/image_1918th/78769377.pdf","78769377")</f>
        <v>78769377</v>
      </c>
      <c r="F5" s="9" t="s">
        <v>101</v>
      </c>
      <c r="G5" s="12" t="s">
        <v>102</v>
      </c>
      <c r="H5" s="9" t="s">
        <v>103</v>
      </c>
      <c r="I5" s="10">
        <v>45434</v>
      </c>
    </row>
    <row r="6" spans="1:9" x14ac:dyDescent="0.15">
      <c r="A6" s="9">
        <v>5</v>
      </c>
      <c r="B6" s="9" t="s">
        <v>9</v>
      </c>
      <c r="C6" s="9">
        <v>1918</v>
      </c>
      <c r="D6" s="10">
        <v>45663</v>
      </c>
      <c r="E6" s="13" t="str">
        <f>+HYPERLINK("http://trademark.i-assist.jp/data/china/image_1918th/78907144.pdf","78907144")</f>
        <v>78907144</v>
      </c>
      <c r="F6" s="9" t="s">
        <v>104</v>
      </c>
      <c r="G6" s="12" t="s">
        <v>105</v>
      </c>
      <c r="H6" s="9" t="s">
        <v>106</v>
      </c>
      <c r="I6" s="10">
        <v>45441</v>
      </c>
    </row>
    <row r="7" spans="1:9" x14ac:dyDescent="0.15">
      <c r="A7" s="9">
        <v>6</v>
      </c>
      <c r="B7" s="9" t="s">
        <v>9</v>
      </c>
      <c r="C7" s="9">
        <v>1918</v>
      </c>
      <c r="D7" s="10">
        <v>45663</v>
      </c>
      <c r="E7" s="13" t="str">
        <f>+HYPERLINK("http://trademark.i-assist.jp/data/china/image_1918th/79039566.pdf","79039566")</f>
        <v>79039566</v>
      </c>
      <c r="F7" s="9" t="s">
        <v>107</v>
      </c>
      <c r="G7" s="12" t="s">
        <v>108</v>
      </c>
      <c r="H7" s="9" t="s">
        <v>109</v>
      </c>
      <c r="I7" s="10">
        <v>45448</v>
      </c>
    </row>
    <row r="8" spans="1:9" x14ac:dyDescent="0.15">
      <c r="A8" s="9">
        <v>7</v>
      </c>
      <c r="B8" s="9" t="s">
        <v>9</v>
      </c>
      <c r="C8" s="9">
        <v>1918</v>
      </c>
      <c r="D8" s="10">
        <v>45663</v>
      </c>
      <c r="E8" s="13" t="str">
        <f>+HYPERLINK("http://trademark.i-assist.jp/data/china/image_1918th/79042675.pdf","79042675")</f>
        <v>79042675</v>
      </c>
      <c r="F8" s="9" t="s">
        <v>110</v>
      </c>
      <c r="G8" s="12" t="s">
        <v>108</v>
      </c>
      <c r="H8" s="9" t="s">
        <v>111</v>
      </c>
      <c r="I8" s="10">
        <v>45448</v>
      </c>
    </row>
    <row r="9" spans="1:9" x14ac:dyDescent="0.15">
      <c r="A9" s="9">
        <v>8</v>
      </c>
      <c r="B9" s="9" t="s">
        <v>9</v>
      </c>
      <c r="C9" s="9">
        <v>1918</v>
      </c>
      <c r="D9" s="10">
        <v>45663</v>
      </c>
      <c r="E9" s="13" t="str">
        <f>+HYPERLINK("http://trademark.i-assist.jp/data/china/image_1918th/79073941.pdf","79073941")</f>
        <v>79073941</v>
      </c>
      <c r="F9" s="9" t="s">
        <v>112</v>
      </c>
      <c r="G9" s="9" t="s">
        <v>13</v>
      </c>
      <c r="H9" s="9" t="s">
        <v>113</v>
      </c>
      <c r="I9" s="10">
        <v>45449</v>
      </c>
    </row>
    <row r="10" spans="1:9" x14ac:dyDescent="0.15">
      <c r="A10" s="9">
        <v>9</v>
      </c>
      <c r="B10" s="9" t="s">
        <v>9</v>
      </c>
      <c r="C10" s="9">
        <v>1918</v>
      </c>
      <c r="D10" s="10">
        <v>45663</v>
      </c>
      <c r="E10" s="13" t="str">
        <f>+HYPERLINK("http://trademark.i-assist.jp/data/china/image_1918th/79190020.pdf","79190020")</f>
        <v>79190020</v>
      </c>
      <c r="F10" s="12" t="s">
        <v>114</v>
      </c>
      <c r="G10" s="9" t="s">
        <v>115</v>
      </c>
      <c r="H10" s="12" t="s">
        <v>116</v>
      </c>
      <c r="I10" s="10">
        <v>45456</v>
      </c>
    </row>
    <row r="11" spans="1:9" x14ac:dyDescent="0.15">
      <c r="A11" s="9">
        <v>10</v>
      </c>
      <c r="B11" s="9" t="s">
        <v>9</v>
      </c>
      <c r="C11" s="9">
        <v>1918</v>
      </c>
      <c r="D11" s="10">
        <v>45663</v>
      </c>
      <c r="E11" s="13" t="str">
        <f>+HYPERLINK("http://trademark.i-assist.jp/data/china/image_1918th/79233454.pdf","79233454")</f>
        <v>79233454</v>
      </c>
      <c r="F11" s="9" t="s">
        <v>117</v>
      </c>
      <c r="G11" s="9" t="s">
        <v>118</v>
      </c>
      <c r="H11" s="9" t="s">
        <v>119</v>
      </c>
      <c r="I11" s="10">
        <v>45458</v>
      </c>
    </row>
    <row r="12" spans="1:9" x14ac:dyDescent="0.15">
      <c r="A12" s="9">
        <v>11</v>
      </c>
      <c r="B12" s="9" t="s">
        <v>9</v>
      </c>
      <c r="C12" s="9">
        <v>1918</v>
      </c>
      <c r="D12" s="10">
        <v>45663</v>
      </c>
      <c r="E12" s="13" t="str">
        <f>+HYPERLINK("http://trademark.i-assist.jp/data/china/image_1918th/79284277.pdf","79284277")</f>
        <v>79284277</v>
      </c>
      <c r="F12" s="12" t="s">
        <v>120</v>
      </c>
      <c r="G12" s="9" t="s">
        <v>121</v>
      </c>
      <c r="H12" s="9" t="s">
        <v>122</v>
      </c>
      <c r="I12" s="10">
        <v>45461</v>
      </c>
    </row>
    <row r="13" spans="1:9" x14ac:dyDescent="0.15">
      <c r="A13" s="9">
        <v>12</v>
      </c>
      <c r="B13" s="9" t="s">
        <v>9</v>
      </c>
      <c r="C13" s="9">
        <v>1918</v>
      </c>
      <c r="D13" s="10">
        <v>45663</v>
      </c>
      <c r="E13" s="13" t="str">
        <f>+HYPERLINK("http://trademark.i-assist.jp/data/china/image_1918th/79316816.pdf","79316816")</f>
        <v>79316816</v>
      </c>
      <c r="F13" s="9" t="s">
        <v>123</v>
      </c>
      <c r="G13" s="9" t="s">
        <v>124</v>
      </c>
      <c r="H13" s="9" t="s">
        <v>125</v>
      </c>
      <c r="I13" s="10">
        <v>45462</v>
      </c>
    </row>
    <row r="14" spans="1:9" x14ac:dyDescent="0.15">
      <c r="A14" s="9">
        <v>13</v>
      </c>
      <c r="B14" s="9" t="s">
        <v>9</v>
      </c>
      <c r="C14" s="9">
        <v>1918</v>
      </c>
      <c r="D14" s="10">
        <v>45663</v>
      </c>
      <c r="E14" s="13" t="str">
        <f>+HYPERLINK("http://trademark.i-assist.jp/data/china/image_1918th/79324943.pdf","79324943")</f>
        <v>79324943</v>
      </c>
      <c r="F14" s="9" t="s">
        <v>126</v>
      </c>
      <c r="G14" s="9" t="s">
        <v>28</v>
      </c>
      <c r="H14" s="9" t="s">
        <v>127</v>
      </c>
      <c r="I14" s="10">
        <v>45463</v>
      </c>
    </row>
    <row r="15" spans="1:9" x14ac:dyDescent="0.15">
      <c r="A15" s="9">
        <v>14</v>
      </c>
      <c r="B15" s="9" t="s">
        <v>9</v>
      </c>
      <c r="C15" s="9">
        <v>1918</v>
      </c>
      <c r="D15" s="10">
        <v>45663</v>
      </c>
      <c r="E15" s="13" t="str">
        <f>+HYPERLINK("http://trademark.i-assist.jp/data/china/image_1918th/79562407.pdf","79562407")</f>
        <v>79562407</v>
      </c>
      <c r="F15" s="9" t="s">
        <v>128</v>
      </c>
      <c r="G15" s="12" t="s">
        <v>129</v>
      </c>
      <c r="H15" s="9" t="s">
        <v>130</v>
      </c>
      <c r="I15" s="10">
        <v>45475</v>
      </c>
    </row>
    <row r="16" spans="1:9" x14ac:dyDescent="0.15">
      <c r="A16" s="9">
        <v>15</v>
      </c>
      <c r="B16" s="9" t="s">
        <v>9</v>
      </c>
      <c r="C16" s="9">
        <v>1918</v>
      </c>
      <c r="D16" s="10">
        <v>45663</v>
      </c>
      <c r="E16" s="13" t="str">
        <f>+HYPERLINK("http://trademark.i-assist.jp/data/china/image_1918th/79643156.pdf","79643156")</f>
        <v>79643156</v>
      </c>
      <c r="F16" s="9" t="s">
        <v>131</v>
      </c>
      <c r="G16" s="9" t="s">
        <v>132</v>
      </c>
      <c r="H16" s="9" t="s">
        <v>133</v>
      </c>
      <c r="I16" s="10">
        <v>45478</v>
      </c>
    </row>
    <row r="17" spans="1:9" x14ac:dyDescent="0.15">
      <c r="A17" s="9">
        <v>16</v>
      </c>
      <c r="B17" s="9" t="s">
        <v>9</v>
      </c>
      <c r="C17" s="9">
        <v>1918</v>
      </c>
      <c r="D17" s="10">
        <v>45663</v>
      </c>
      <c r="E17" s="13" t="str">
        <f>+HYPERLINK("http://trademark.i-assist.jp/data/china/image_1918th/79776007.pdf","79776007")</f>
        <v>79776007</v>
      </c>
      <c r="F17" s="9" t="s">
        <v>134</v>
      </c>
      <c r="G17" s="9" t="s">
        <v>135</v>
      </c>
      <c r="H17" s="9" t="s">
        <v>136</v>
      </c>
      <c r="I17" s="10">
        <v>45486</v>
      </c>
    </row>
    <row r="18" spans="1:9" x14ac:dyDescent="0.15">
      <c r="A18" s="9">
        <v>17</v>
      </c>
      <c r="B18" s="9" t="s">
        <v>9</v>
      </c>
      <c r="C18" s="9">
        <v>1918</v>
      </c>
      <c r="D18" s="10">
        <v>45663</v>
      </c>
      <c r="E18" s="13" t="str">
        <f>+HYPERLINK("http://trademark.i-assist.jp/data/china/image_1918th/79792795.pdf","79792795")</f>
        <v>79792795</v>
      </c>
      <c r="F18" s="9" t="s">
        <v>137</v>
      </c>
      <c r="G18" s="9" t="s">
        <v>138</v>
      </c>
      <c r="H18" s="9" t="s">
        <v>139</v>
      </c>
      <c r="I18" s="10">
        <v>45488</v>
      </c>
    </row>
    <row r="19" spans="1:9" x14ac:dyDescent="0.15">
      <c r="A19" s="9">
        <v>18</v>
      </c>
      <c r="B19" s="9" t="s">
        <v>9</v>
      </c>
      <c r="C19" s="9">
        <v>1918</v>
      </c>
      <c r="D19" s="10">
        <v>45663</v>
      </c>
      <c r="E19" s="13" t="str">
        <f>+HYPERLINK("http://trademark.i-assist.jp/data/china/image_1918th/79882477.pdf","79882477")</f>
        <v>79882477</v>
      </c>
      <c r="F19" s="9" t="s">
        <v>140</v>
      </c>
      <c r="G19" s="9" t="s">
        <v>141</v>
      </c>
      <c r="H19" s="9" t="s">
        <v>142</v>
      </c>
      <c r="I19" s="10">
        <v>45492</v>
      </c>
    </row>
    <row r="20" spans="1:9" x14ac:dyDescent="0.15">
      <c r="A20" s="9">
        <v>19</v>
      </c>
      <c r="B20" s="9" t="s">
        <v>9</v>
      </c>
      <c r="C20" s="9">
        <v>1918</v>
      </c>
      <c r="D20" s="10">
        <v>45663</v>
      </c>
      <c r="E20" s="13" t="str">
        <f>+HYPERLINK("http://trademark.i-assist.jp/data/china/image_1918th/79885980.pdf","79885980")</f>
        <v>79885980</v>
      </c>
      <c r="F20" s="12" t="s">
        <v>12</v>
      </c>
      <c r="G20" s="9" t="s">
        <v>143</v>
      </c>
      <c r="H20" s="9" t="s">
        <v>144</v>
      </c>
      <c r="I20" s="10">
        <v>45492</v>
      </c>
    </row>
    <row r="21" spans="1:9" x14ac:dyDescent="0.15">
      <c r="A21" s="9">
        <v>20</v>
      </c>
      <c r="B21" s="9" t="s">
        <v>9</v>
      </c>
      <c r="C21" s="9">
        <v>1918</v>
      </c>
      <c r="D21" s="10">
        <v>45663</v>
      </c>
      <c r="E21" s="13" t="str">
        <f>+HYPERLINK("http://trademark.i-assist.jp/data/china/image_1918th/79888025.pdf","79888025")</f>
        <v>79888025</v>
      </c>
      <c r="F21" s="12" t="s">
        <v>12</v>
      </c>
      <c r="G21" s="9" t="s">
        <v>143</v>
      </c>
      <c r="H21" s="9" t="s">
        <v>145</v>
      </c>
      <c r="I21" s="10">
        <v>45492</v>
      </c>
    </row>
    <row r="22" spans="1:9" x14ac:dyDescent="0.15">
      <c r="A22" s="9">
        <v>21</v>
      </c>
      <c r="B22" s="9" t="s">
        <v>9</v>
      </c>
      <c r="C22" s="9">
        <v>1918</v>
      </c>
      <c r="D22" s="10">
        <v>45663</v>
      </c>
      <c r="E22" s="13" t="str">
        <f>+HYPERLINK("http://trademark.i-assist.jp/data/china/image_1918th/79897404.pdf","79897404")</f>
        <v>79897404</v>
      </c>
      <c r="F22" s="9" t="s">
        <v>146</v>
      </c>
      <c r="G22" s="9" t="s">
        <v>147</v>
      </c>
      <c r="H22" s="12" t="s">
        <v>148</v>
      </c>
      <c r="I22" s="10">
        <v>45492</v>
      </c>
    </row>
    <row r="23" spans="1:9" x14ac:dyDescent="0.15">
      <c r="A23" s="9">
        <v>22</v>
      </c>
      <c r="B23" s="9" t="s">
        <v>9</v>
      </c>
      <c r="C23" s="9">
        <v>1918</v>
      </c>
      <c r="D23" s="10">
        <v>45663</v>
      </c>
      <c r="E23" s="13" t="str">
        <f>+HYPERLINK("http://trademark.i-assist.jp/data/china/image_1918th/79907460.pdf","79907460")</f>
        <v>79907460</v>
      </c>
      <c r="F23" s="9" t="s">
        <v>149</v>
      </c>
      <c r="G23" s="9" t="s">
        <v>150</v>
      </c>
      <c r="H23" s="9" t="s">
        <v>151</v>
      </c>
      <c r="I23" s="10">
        <v>45493</v>
      </c>
    </row>
    <row r="24" spans="1:9" x14ac:dyDescent="0.15">
      <c r="A24" s="9">
        <v>23</v>
      </c>
      <c r="B24" s="9" t="s">
        <v>9</v>
      </c>
      <c r="C24" s="9">
        <v>1918</v>
      </c>
      <c r="D24" s="10">
        <v>45663</v>
      </c>
      <c r="E24" s="13" t="str">
        <f>+HYPERLINK("http://trademark.i-assist.jp/data/china/image_1918th/79914650.pdf","79914650")</f>
        <v>79914650</v>
      </c>
      <c r="F24" s="12" t="s">
        <v>152</v>
      </c>
      <c r="G24" s="9" t="s">
        <v>153</v>
      </c>
      <c r="H24" s="9" t="s">
        <v>154</v>
      </c>
      <c r="I24" s="10">
        <v>45495</v>
      </c>
    </row>
    <row r="25" spans="1:9" x14ac:dyDescent="0.15">
      <c r="A25" s="9">
        <v>24</v>
      </c>
      <c r="B25" s="9" t="s">
        <v>9</v>
      </c>
      <c r="C25" s="9">
        <v>1918</v>
      </c>
      <c r="D25" s="10">
        <v>45663</v>
      </c>
      <c r="E25" s="13" t="str">
        <f>+HYPERLINK("http://trademark.i-assist.jp/data/china/image_1918th/79946195.pdf","79946195")</f>
        <v>79946195</v>
      </c>
      <c r="F25" s="12" t="s">
        <v>12</v>
      </c>
      <c r="G25" s="9" t="s">
        <v>155</v>
      </c>
      <c r="H25" s="9" t="s">
        <v>156</v>
      </c>
      <c r="I25" s="10">
        <v>45496</v>
      </c>
    </row>
    <row r="26" spans="1:9" x14ac:dyDescent="0.15">
      <c r="A26" s="9">
        <v>25</v>
      </c>
      <c r="B26" s="9" t="s">
        <v>9</v>
      </c>
      <c r="C26" s="9">
        <v>1918</v>
      </c>
      <c r="D26" s="10">
        <v>45663</v>
      </c>
      <c r="E26" s="13" t="str">
        <f>+HYPERLINK("http://trademark.i-assist.jp/data/china/image_1918th/80008583.pdf","80008583")</f>
        <v>80008583</v>
      </c>
      <c r="F26" s="9" t="s">
        <v>157</v>
      </c>
      <c r="G26" s="9" t="s">
        <v>158</v>
      </c>
      <c r="H26" s="9" t="s">
        <v>159</v>
      </c>
      <c r="I26" s="10">
        <v>45498</v>
      </c>
    </row>
    <row r="27" spans="1:9" x14ac:dyDescent="0.15">
      <c r="A27" s="9">
        <v>26</v>
      </c>
      <c r="B27" s="9" t="s">
        <v>9</v>
      </c>
      <c r="C27" s="9">
        <v>1918</v>
      </c>
      <c r="D27" s="10">
        <v>45663</v>
      </c>
      <c r="E27" s="13" t="str">
        <f>+HYPERLINK("http://trademark.i-assist.jp/data/china/image_1918th/80021644.pdf","80021644")</f>
        <v>80021644</v>
      </c>
      <c r="F27" s="9" t="s">
        <v>160</v>
      </c>
      <c r="G27" s="9" t="s">
        <v>161</v>
      </c>
      <c r="H27" s="9" t="s">
        <v>162</v>
      </c>
      <c r="I27" s="10">
        <v>45499</v>
      </c>
    </row>
    <row r="28" spans="1:9" x14ac:dyDescent="0.15">
      <c r="A28" s="9">
        <v>27</v>
      </c>
      <c r="B28" s="9" t="s">
        <v>9</v>
      </c>
      <c r="C28" s="9">
        <v>1918</v>
      </c>
      <c r="D28" s="10">
        <v>45663</v>
      </c>
      <c r="E28" s="13" t="str">
        <f>+HYPERLINK("http://trademark.i-assist.jp/data/china/image_1918th/80080159.pdf","80080159")</f>
        <v>80080159</v>
      </c>
      <c r="F28" s="12" t="s">
        <v>163</v>
      </c>
      <c r="G28" s="9" t="s">
        <v>164</v>
      </c>
      <c r="H28" s="9" t="s">
        <v>165</v>
      </c>
      <c r="I28" s="10">
        <v>45503</v>
      </c>
    </row>
    <row r="29" spans="1:9" x14ac:dyDescent="0.15">
      <c r="A29" s="9">
        <v>28</v>
      </c>
      <c r="B29" s="9" t="s">
        <v>9</v>
      </c>
      <c r="C29" s="9">
        <v>1918</v>
      </c>
      <c r="D29" s="10">
        <v>45663</v>
      </c>
      <c r="E29" s="13" t="str">
        <f>+HYPERLINK("http://trademark.i-assist.jp/data/china/image_1918th/80082759.pdf","80082759")</f>
        <v>80082759</v>
      </c>
      <c r="F29" s="12" t="s">
        <v>166</v>
      </c>
      <c r="G29" s="9" t="s">
        <v>167</v>
      </c>
      <c r="H29" s="9" t="s">
        <v>168</v>
      </c>
      <c r="I29" s="10">
        <v>45503</v>
      </c>
    </row>
    <row r="30" spans="1:9" x14ac:dyDescent="0.15">
      <c r="A30" s="9">
        <v>29</v>
      </c>
      <c r="B30" s="9" t="s">
        <v>9</v>
      </c>
      <c r="C30" s="9">
        <v>1918</v>
      </c>
      <c r="D30" s="10">
        <v>45663</v>
      </c>
      <c r="E30" s="13" t="str">
        <f>+HYPERLINK("http://trademark.i-assist.jp/data/china/image_1918th/80109691.pdf","80109691")</f>
        <v>80109691</v>
      </c>
      <c r="F30" s="9" t="s">
        <v>169</v>
      </c>
      <c r="G30" s="9" t="s">
        <v>170</v>
      </c>
      <c r="H30" s="9" t="s">
        <v>171</v>
      </c>
      <c r="I30" s="10">
        <v>45504</v>
      </c>
    </row>
    <row r="31" spans="1:9" x14ac:dyDescent="0.15">
      <c r="A31" s="9">
        <v>30</v>
      </c>
      <c r="B31" s="9" t="s">
        <v>9</v>
      </c>
      <c r="C31" s="9">
        <v>1918</v>
      </c>
      <c r="D31" s="10">
        <v>45663</v>
      </c>
      <c r="E31" s="13" t="str">
        <f>+HYPERLINK("http://trademark.i-assist.jp/data/china/image_1918th/80167990.pdf","80167990")</f>
        <v>80167990</v>
      </c>
      <c r="F31" s="12" t="s">
        <v>172</v>
      </c>
      <c r="G31" s="9" t="s">
        <v>173</v>
      </c>
      <c r="H31" s="9" t="s">
        <v>174</v>
      </c>
      <c r="I31" s="10">
        <v>45507</v>
      </c>
    </row>
    <row r="32" spans="1:9" x14ac:dyDescent="0.15">
      <c r="A32" s="9">
        <v>31</v>
      </c>
      <c r="B32" s="9" t="s">
        <v>9</v>
      </c>
      <c r="C32" s="9">
        <v>1918</v>
      </c>
      <c r="D32" s="10">
        <v>45663</v>
      </c>
      <c r="E32" s="13" t="str">
        <f>+HYPERLINK("http://trademark.i-assist.jp/data/china/image_1918th/80168398.pdf","80168398")</f>
        <v>80168398</v>
      </c>
      <c r="F32" s="9" t="s">
        <v>175</v>
      </c>
      <c r="G32" s="9" t="s">
        <v>176</v>
      </c>
      <c r="H32" s="9" t="s">
        <v>177</v>
      </c>
      <c r="I32" s="10">
        <v>45507</v>
      </c>
    </row>
    <row r="33" spans="1:9" x14ac:dyDescent="0.15">
      <c r="A33" s="9">
        <v>32</v>
      </c>
      <c r="B33" s="9" t="s">
        <v>9</v>
      </c>
      <c r="C33" s="9">
        <v>1918</v>
      </c>
      <c r="D33" s="10">
        <v>45663</v>
      </c>
      <c r="E33" s="13" t="str">
        <f>+HYPERLINK("http://trademark.i-assist.jp/data/china/image_1918th/80170307.pdf","80170307")</f>
        <v>80170307</v>
      </c>
      <c r="F33" s="9" t="s">
        <v>178</v>
      </c>
      <c r="G33" s="9" t="s">
        <v>179</v>
      </c>
      <c r="H33" s="9" t="s">
        <v>180</v>
      </c>
      <c r="I33" s="10">
        <v>45508</v>
      </c>
    </row>
    <row r="34" spans="1:9" x14ac:dyDescent="0.15">
      <c r="A34" s="9">
        <v>33</v>
      </c>
      <c r="B34" s="9" t="s">
        <v>9</v>
      </c>
      <c r="C34" s="9">
        <v>1918</v>
      </c>
      <c r="D34" s="10">
        <v>45663</v>
      </c>
      <c r="E34" s="13" t="str">
        <f>+HYPERLINK("http://trademark.i-assist.jp/data/china/image_1918th/80176831.pdf","80176831")</f>
        <v>80176831</v>
      </c>
      <c r="F34" s="9" t="s">
        <v>181</v>
      </c>
      <c r="G34" s="9" t="s">
        <v>182</v>
      </c>
      <c r="H34" s="9" t="s">
        <v>183</v>
      </c>
      <c r="I34" s="10">
        <v>45509</v>
      </c>
    </row>
    <row r="35" spans="1:9" x14ac:dyDescent="0.15">
      <c r="A35" s="9">
        <v>34</v>
      </c>
      <c r="B35" s="9" t="s">
        <v>9</v>
      </c>
      <c r="C35" s="9">
        <v>1918</v>
      </c>
      <c r="D35" s="10">
        <v>45663</v>
      </c>
      <c r="E35" s="13" t="str">
        <f>+HYPERLINK("http://trademark.i-assist.jp/data/china/image_1918th/80199678.pdf","80199678")</f>
        <v>80199678</v>
      </c>
      <c r="F35" s="12" t="s">
        <v>184</v>
      </c>
      <c r="G35" s="9" t="s">
        <v>185</v>
      </c>
      <c r="H35" s="9" t="s">
        <v>29</v>
      </c>
      <c r="I35" s="10">
        <v>45510</v>
      </c>
    </row>
    <row r="36" spans="1:9" x14ac:dyDescent="0.15">
      <c r="A36" s="9">
        <v>35</v>
      </c>
      <c r="B36" s="9" t="s">
        <v>9</v>
      </c>
      <c r="C36" s="9">
        <v>1918</v>
      </c>
      <c r="D36" s="10">
        <v>45663</v>
      </c>
      <c r="E36" s="13" t="str">
        <f>+HYPERLINK("http://trademark.i-assist.jp/data/china/image_1918th/80215560.pdf","80215560")</f>
        <v>80215560</v>
      </c>
      <c r="F36" s="9" t="s">
        <v>186</v>
      </c>
      <c r="G36" s="9" t="s">
        <v>187</v>
      </c>
      <c r="H36" s="9" t="s">
        <v>188</v>
      </c>
      <c r="I36" s="10">
        <v>45510</v>
      </c>
    </row>
    <row r="37" spans="1:9" x14ac:dyDescent="0.15">
      <c r="A37" s="9">
        <v>36</v>
      </c>
      <c r="B37" s="9" t="s">
        <v>9</v>
      </c>
      <c r="C37" s="9">
        <v>1918</v>
      </c>
      <c r="D37" s="10">
        <v>45663</v>
      </c>
      <c r="E37" s="13" t="str">
        <f>+HYPERLINK("http://trademark.i-assist.jp/data/china/image_1918th/80247389.pdf","80247389")</f>
        <v>80247389</v>
      </c>
      <c r="F37" s="9" t="s">
        <v>189</v>
      </c>
      <c r="G37" s="9" t="s">
        <v>190</v>
      </c>
      <c r="H37" s="9" t="s">
        <v>191</v>
      </c>
      <c r="I37" s="10">
        <v>45512</v>
      </c>
    </row>
    <row r="38" spans="1:9" x14ac:dyDescent="0.15">
      <c r="A38" s="9">
        <v>37</v>
      </c>
      <c r="B38" s="9" t="s">
        <v>9</v>
      </c>
      <c r="C38" s="9">
        <v>1918</v>
      </c>
      <c r="D38" s="10">
        <v>45663</v>
      </c>
      <c r="E38" s="13" t="str">
        <f>+HYPERLINK("http://trademark.i-assist.jp/data/china/image_1918th/80305614.pdf","80305614")</f>
        <v>80305614</v>
      </c>
      <c r="F38" s="9" t="s">
        <v>192</v>
      </c>
      <c r="G38" s="9" t="s">
        <v>193</v>
      </c>
      <c r="H38" s="9" t="s">
        <v>194</v>
      </c>
      <c r="I38" s="10">
        <v>45516</v>
      </c>
    </row>
    <row r="39" spans="1:9" x14ac:dyDescent="0.15">
      <c r="A39" s="9">
        <v>38</v>
      </c>
      <c r="B39" s="9" t="s">
        <v>9</v>
      </c>
      <c r="C39" s="9">
        <v>1918</v>
      </c>
      <c r="D39" s="10">
        <v>45663</v>
      </c>
      <c r="E39" s="13" t="str">
        <f>+HYPERLINK("http://trademark.i-assist.jp/data/china/image_1918th/80317928.pdf","80317928")</f>
        <v>80317928</v>
      </c>
      <c r="F39" s="9" t="s">
        <v>195</v>
      </c>
      <c r="G39" s="9" t="s">
        <v>196</v>
      </c>
      <c r="H39" s="9" t="s">
        <v>197</v>
      </c>
      <c r="I39" s="10">
        <v>45516</v>
      </c>
    </row>
    <row r="40" spans="1:9" x14ac:dyDescent="0.15">
      <c r="A40" s="9">
        <v>39</v>
      </c>
      <c r="B40" s="9" t="s">
        <v>9</v>
      </c>
      <c r="C40" s="9">
        <v>1918</v>
      </c>
      <c r="D40" s="10">
        <v>45663</v>
      </c>
      <c r="E40" s="13" t="str">
        <f>+HYPERLINK("http://trademark.i-assist.jp/data/china/image_1918th/80331373.pdf","80331373")</f>
        <v>80331373</v>
      </c>
      <c r="F40" s="9" t="s">
        <v>198</v>
      </c>
      <c r="G40" s="12" t="s">
        <v>199</v>
      </c>
      <c r="H40" s="9" t="s">
        <v>200</v>
      </c>
      <c r="I40" s="10">
        <v>45517</v>
      </c>
    </row>
    <row r="41" spans="1:9" x14ac:dyDescent="0.15">
      <c r="A41" s="9">
        <v>40</v>
      </c>
      <c r="B41" s="9" t="s">
        <v>9</v>
      </c>
      <c r="C41" s="9">
        <v>1918</v>
      </c>
      <c r="D41" s="10">
        <v>45663</v>
      </c>
      <c r="E41" s="13" t="str">
        <f>+HYPERLINK("http://trademark.i-assist.jp/data/china/image_1918th/80341157.pdf","80341157")</f>
        <v>80341157</v>
      </c>
      <c r="F41" s="9" t="s">
        <v>198</v>
      </c>
      <c r="G41" s="12" t="s">
        <v>199</v>
      </c>
      <c r="H41" s="9" t="s">
        <v>201</v>
      </c>
      <c r="I41" s="10">
        <v>45517</v>
      </c>
    </row>
    <row r="42" spans="1:9" x14ac:dyDescent="0.15">
      <c r="A42" s="9">
        <v>41</v>
      </c>
      <c r="B42" s="9" t="s">
        <v>9</v>
      </c>
      <c r="C42" s="9">
        <v>1918</v>
      </c>
      <c r="D42" s="10">
        <v>45663</v>
      </c>
      <c r="E42" s="13" t="str">
        <f>+HYPERLINK("http://trademark.i-assist.jp/data/china/image_1918th/80362403.pdf","80362403")</f>
        <v>80362403</v>
      </c>
      <c r="F42" s="9" t="s">
        <v>202</v>
      </c>
      <c r="G42" s="12" t="s">
        <v>203</v>
      </c>
      <c r="H42" s="12" t="s">
        <v>204</v>
      </c>
      <c r="I42" s="10">
        <v>45518</v>
      </c>
    </row>
    <row r="43" spans="1:9" x14ac:dyDescent="0.15">
      <c r="A43" s="9">
        <v>42</v>
      </c>
      <c r="B43" s="9" t="s">
        <v>9</v>
      </c>
      <c r="C43" s="9">
        <v>1918</v>
      </c>
      <c r="D43" s="10">
        <v>45663</v>
      </c>
      <c r="E43" s="13" t="str">
        <f>+HYPERLINK("http://trademark.i-assist.jp/data/china/image_1918th/80366356.pdf","80366356")</f>
        <v>80366356</v>
      </c>
      <c r="F43" s="9" t="s">
        <v>205</v>
      </c>
      <c r="G43" s="9" t="s">
        <v>206</v>
      </c>
      <c r="H43" s="9" t="s">
        <v>207</v>
      </c>
      <c r="I43" s="10">
        <v>45518</v>
      </c>
    </row>
    <row r="44" spans="1:9" x14ac:dyDescent="0.15">
      <c r="A44" s="9">
        <v>43</v>
      </c>
      <c r="B44" s="9" t="s">
        <v>9</v>
      </c>
      <c r="C44" s="9">
        <v>1918</v>
      </c>
      <c r="D44" s="10">
        <v>45663</v>
      </c>
      <c r="E44" s="13" t="str">
        <f>+HYPERLINK("http://trademark.i-assist.jp/data/china/image_1918th/80418091.pdf","80418091")</f>
        <v>80418091</v>
      </c>
      <c r="F44" s="12" t="s">
        <v>208</v>
      </c>
      <c r="G44" s="9" t="s">
        <v>209</v>
      </c>
      <c r="H44" s="9" t="s">
        <v>210</v>
      </c>
      <c r="I44" s="10">
        <v>45521</v>
      </c>
    </row>
    <row r="45" spans="1:9" x14ac:dyDescent="0.15">
      <c r="A45" s="9">
        <v>44</v>
      </c>
      <c r="B45" s="9" t="s">
        <v>9</v>
      </c>
      <c r="C45" s="9">
        <v>1918</v>
      </c>
      <c r="D45" s="10">
        <v>45663</v>
      </c>
      <c r="E45" s="13" t="str">
        <f>+HYPERLINK("http://trademark.i-assist.jp/data/china/image_1918th/80421711.pdf","80421711")</f>
        <v>80421711</v>
      </c>
      <c r="F45" s="9" t="s">
        <v>211</v>
      </c>
      <c r="G45" s="12" t="s">
        <v>31</v>
      </c>
      <c r="H45" s="12" t="s">
        <v>212</v>
      </c>
      <c r="I45" s="10">
        <v>45521</v>
      </c>
    </row>
    <row r="46" spans="1:9" x14ac:dyDescent="0.15">
      <c r="A46" s="9">
        <v>45</v>
      </c>
      <c r="B46" s="9" t="s">
        <v>9</v>
      </c>
      <c r="C46" s="9">
        <v>1918</v>
      </c>
      <c r="D46" s="10">
        <v>45663</v>
      </c>
      <c r="E46" s="13" t="str">
        <f>+HYPERLINK("http://trademark.i-assist.jp/data/china/image_1918th/80491480.pdf","80491480")</f>
        <v>80491480</v>
      </c>
      <c r="F46" s="9" t="s">
        <v>213</v>
      </c>
      <c r="G46" s="9" t="s">
        <v>214</v>
      </c>
      <c r="H46" s="9" t="s">
        <v>215</v>
      </c>
      <c r="I46" s="10">
        <v>45525</v>
      </c>
    </row>
    <row r="47" spans="1:9" x14ac:dyDescent="0.15">
      <c r="A47" s="9">
        <v>46</v>
      </c>
      <c r="B47" s="9" t="s">
        <v>9</v>
      </c>
      <c r="C47" s="9">
        <v>1918</v>
      </c>
      <c r="D47" s="10">
        <v>45663</v>
      </c>
      <c r="E47" s="13" t="str">
        <f>+HYPERLINK("http://trademark.i-assist.jp/data/china/image_1918th/80498596.pdf","80498596")</f>
        <v>80498596</v>
      </c>
      <c r="F47" s="9" t="s">
        <v>216</v>
      </c>
      <c r="G47" s="9" t="s">
        <v>18</v>
      </c>
      <c r="H47" s="9" t="s">
        <v>217</v>
      </c>
      <c r="I47" s="10">
        <v>45526</v>
      </c>
    </row>
    <row r="48" spans="1:9" x14ac:dyDescent="0.15">
      <c r="A48" s="9">
        <v>47</v>
      </c>
      <c r="B48" s="9" t="s">
        <v>9</v>
      </c>
      <c r="C48" s="9">
        <v>1918</v>
      </c>
      <c r="D48" s="10">
        <v>45663</v>
      </c>
      <c r="E48" s="13" t="str">
        <f>+HYPERLINK("http://trademark.i-assist.jp/data/china/image_1918th/80516089.pdf","80516089")</f>
        <v>80516089</v>
      </c>
      <c r="F48" s="9" t="s">
        <v>218</v>
      </c>
      <c r="G48" s="9" t="s">
        <v>219</v>
      </c>
      <c r="H48" s="9" t="s">
        <v>220</v>
      </c>
      <c r="I48" s="10">
        <v>45526</v>
      </c>
    </row>
    <row r="49" spans="1:9" x14ac:dyDescent="0.15">
      <c r="A49" s="9">
        <v>48</v>
      </c>
      <c r="B49" s="9" t="s">
        <v>9</v>
      </c>
      <c r="C49" s="9">
        <v>1918</v>
      </c>
      <c r="D49" s="10">
        <v>45663</v>
      </c>
      <c r="E49" s="13" t="str">
        <f>+HYPERLINK("http://trademark.i-assist.jp/data/china/image_1918th/80517580.pdf","80517580")</f>
        <v>80517580</v>
      </c>
      <c r="F49" s="12" t="s">
        <v>221</v>
      </c>
      <c r="G49" s="12" t="s">
        <v>222</v>
      </c>
      <c r="H49" s="9" t="s">
        <v>223</v>
      </c>
      <c r="I49" s="10">
        <v>45526</v>
      </c>
    </row>
    <row r="50" spans="1:9" x14ac:dyDescent="0.15">
      <c r="A50" s="9">
        <v>49</v>
      </c>
      <c r="B50" s="9" t="s">
        <v>9</v>
      </c>
      <c r="C50" s="9">
        <v>1918</v>
      </c>
      <c r="D50" s="10">
        <v>45663</v>
      </c>
      <c r="E50" s="13" t="str">
        <f>+HYPERLINK("http://trademark.i-assist.jp/data/china/image_1918th/80529192.pdf","80529192")</f>
        <v>80529192</v>
      </c>
      <c r="F50" s="9" t="s">
        <v>224</v>
      </c>
      <c r="G50" s="12" t="s">
        <v>17</v>
      </c>
      <c r="H50" s="9" t="s">
        <v>225</v>
      </c>
      <c r="I50" s="10">
        <v>45527</v>
      </c>
    </row>
    <row r="51" spans="1:9" x14ac:dyDescent="0.15">
      <c r="A51" s="9">
        <v>50</v>
      </c>
      <c r="B51" s="9" t="s">
        <v>9</v>
      </c>
      <c r="C51" s="9">
        <v>1918</v>
      </c>
      <c r="D51" s="10">
        <v>45663</v>
      </c>
      <c r="E51" s="13" t="str">
        <f>+HYPERLINK("http://trademark.i-assist.jp/data/china/image_1918th/80550584.pdf","80550584")</f>
        <v>80550584</v>
      </c>
      <c r="F51" s="9" t="s">
        <v>226</v>
      </c>
      <c r="G51" s="9" t="s">
        <v>227</v>
      </c>
      <c r="H51" s="9" t="s">
        <v>228</v>
      </c>
      <c r="I51" s="10">
        <v>45528</v>
      </c>
    </row>
    <row r="52" spans="1:9" x14ac:dyDescent="0.15">
      <c r="A52" s="9">
        <v>51</v>
      </c>
      <c r="B52" s="9" t="s">
        <v>9</v>
      </c>
      <c r="C52" s="9">
        <v>1918</v>
      </c>
      <c r="D52" s="10">
        <v>45663</v>
      </c>
      <c r="E52" s="13" t="str">
        <f>+HYPERLINK("http://trademark.i-assist.jp/data/china/image_1918th/80562219.pdf","80562219")</f>
        <v>80562219</v>
      </c>
      <c r="F52" s="12" t="s">
        <v>229</v>
      </c>
      <c r="G52" s="9" t="s">
        <v>230</v>
      </c>
      <c r="H52" s="9" t="s">
        <v>231</v>
      </c>
      <c r="I52" s="10">
        <v>45530</v>
      </c>
    </row>
    <row r="53" spans="1:9" x14ac:dyDescent="0.15">
      <c r="A53" s="9">
        <v>52</v>
      </c>
      <c r="B53" s="9" t="s">
        <v>9</v>
      </c>
      <c r="C53" s="9">
        <v>1918</v>
      </c>
      <c r="D53" s="10">
        <v>45663</v>
      </c>
      <c r="E53" s="13" t="str">
        <f>+HYPERLINK("http://trademark.i-assist.jp/data/china/image_1918th/80565043.pdf","80565043")</f>
        <v>80565043</v>
      </c>
      <c r="F53" s="9" t="s">
        <v>232</v>
      </c>
      <c r="G53" s="9" t="s">
        <v>233</v>
      </c>
      <c r="H53" s="9" t="s">
        <v>234</v>
      </c>
      <c r="I53" s="10">
        <v>45530</v>
      </c>
    </row>
    <row r="54" spans="1:9" x14ac:dyDescent="0.15">
      <c r="A54" s="9">
        <v>53</v>
      </c>
      <c r="B54" s="9" t="s">
        <v>9</v>
      </c>
      <c r="C54" s="9">
        <v>1918</v>
      </c>
      <c r="D54" s="10">
        <v>45663</v>
      </c>
      <c r="E54" s="13" t="str">
        <f>+HYPERLINK("http://trademark.i-assist.jp/data/china/image_1918th/80568527.pdf","80568527")</f>
        <v>80568527</v>
      </c>
      <c r="F54" s="12" t="s">
        <v>12</v>
      </c>
      <c r="G54" s="9" t="s">
        <v>235</v>
      </c>
      <c r="H54" s="9" t="s">
        <v>236</v>
      </c>
      <c r="I54" s="10">
        <v>45530</v>
      </c>
    </row>
    <row r="55" spans="1:9" x14ac:dyDescent="0.15">
      <c r="A55" s="9">
        <v>54</v>
      </c>
      <c r="B55" s="9" t="s">
        <v>9</v>
      </c>
      <c r="C55" s="9">
        <v>1918</v>
      </c>
      <c r="D55" s="10">
        <v>45663</v>
      </c>
      <c r="E55" s="13" t="str">
        <f>+HYPERLINK("http://trademark.i-assist.jp/data/china/image_1918th/80623316.pdf","80623316")</f>
        <v>80623316</v>
      </c>
      <c r="F55" s="9" t="s">
        <v>237</v>
      </c>
      <c r="G55" s="9" t="s">
        <v>238</v>
      </c>
      <c r="H55" s="9" t="s">
        <v>239</v>
      </c>
      <c r="I55" s="10">
        <v>45532</v>
      </c>
    </row>
    <row r="56" spans="1:9" x14ac:dyDescent="0.15">
      <c r="A56" s="9">
        <v>55</v>
      </c>
      <c r="B56" s="9" t="s">
        <v>9</v>
      </c>
      <c r="C56" s="9">
        <v>1918</v>
      </c>
      <c r="D56" s="10">
        <v>45663</v>
      </c>
      <c r="E56" s="13" t="str">
        <f>+HYPERLINK("http://trademark.i-assist.jp/data/china/image_1918th/80623713.pdf","80623713")</f>
        <v>80623713</v>
      </c>
      <c r="F56" s="9" t="s">
        <v>240</v>
      </c>
      <c r="G56" s="12" t="s">
        <v>241</v>
      </c>
      <c r="H56" s="9" t="s">
        <v>242</v>
      </c>
      <c r="I56" s="10">
        <v>45532</v>
      </c>
    </row>
    <row r="57" spans="1:9" x14ac:dyDescent="0.15">
      <c r="A57" s="9">
        <v>56</v>
      </c>
      <c r="B57" s="9" t="s">
        <v>9</v>
      </c>
      <c r="C57" s="9">
        <v>1918</v>
      </c>
      <c r="D57" s="10">
        <v>45663</v>
      </c>
      <c r="E57" s="13" t="str">
        <f>+HYPERLINK("http://trademark.i-assist.jp/data/china/image_1918th/80640613.pdf","80640613")</f>
        <v>80640613</v>
      </c>
      <c r="F57" s="12" t="s">
        <v>243</v>
      </c>
      <c r="G57" s="9" t="s">
        <v>244</v>
      </c>
      <c r="H57" s="12" t="s">
        <v>245</v>
      </c>
      <c r="I57" s="10">
        <v>45533</v>
      </c>
    </row>
    <row r="58" spans="1:9" x14ac:dyDescent="0.15">
      <c r="A58" s="9">
        <v>57</v>
      </c>
      <c r="B58" s="9" t="s">
        <v>9</v>
      </c>
      <c r="C58" s="9">
        <v>1918</v>
      </c>
      <c r="D58" s="10">
        <v>45663</v>
      </c>
      <c r="E58" s="13" t="str">
        <f>+HYPERLINK("http://trademark.i-assist.jp/data/china/image_1918th/80664440.pdf","80664440")</f>
        <v>80664440</v>
      </c>
      <c r="F58" s="9" t="s">
        <v>246</v>
      </c>
      <c r="G58" s="9" t="s">
        <v>247</v>
      </c>
      <c r="H58" s="9" t="s">
        <v>248</v>
      </c>
      <c r="I58" s="10">
        <v>45534</v>
      </c>
    </row>
    <row r="59" spans="1:9" x14ac:dyDescent="0.15">
      <c r="A59" s="9">
        <v>58</v>
      </c>
      <c r="B59" s="9" t="s">
        <v>9</v>
      </c>
      <c r="C59" s="9">
        <v>1918</v>
      </c>
      <c r="D59" s="10">
        <v>45663</v>
      </c>
      <c r="E59" s="13" t="str">
        <f>+HYPERLINK("http://trademark.i-assist.jp/data/china/image_1918th/80665386.pdf","80665386")</f>
        <v>80665386</v>
      </c>
      <c r="F59" s="12" t="s">
        <v>249</v>
      </c>
      <c r="G59" s="9" t="s">
        <v>250</v>
      </c>
      <c r="H59" s="9" t="s">
        <v>251</v>
      </c>
      <c r="I59" s="10">
        <v>45534</v>
      </c>
    </row>
    <row r="60" spans="1:9" x14ac:dyDescent="0.15">
      <c r="A60" s="9">
        <v>59</v>
      </c>
      <c r="B60" s="9" t="s">
        <v>9</v>
      </c>
      <c r="C60" s="9">
        <v>1918</v>
      </c>
      <c r="D60" s="10">
        <v>45663</v>
      </c>
      <c r="E60" s="13" t="str">
        <f>+HYPERLINK("http://trademark.i-assist.jp/data/china/image_1918th/80674549.pdf","80674549")</f>
        <v>80674549</v>
      </c>
      <c r="F60" s="9" t="s">
        <v>252</v>
      </c>
      <c r="G60" s="9" t="s">
        <v>253</v>
      </c>
      <c r="H60" s="9" t="s">
        <v>254</v>
      </c>
      <c r="I60" s="10">
        <v>45535</v>
      </c>
    </row>
    <row r="61" spans="1:9" x14ac:dyDescent="0.15">
      <c r="A61" s="9">
        <v>60</v>
      </c>
      <c r="B61" s="9" t="s">
        <v>9</v>
      </c>
      <c r="C61" s="9">
        <v>1918</v>
      </c>
      <c r="D61" s="10">
        <v>45663</v>
      </c>
      <c r="E61" s="13" t="str">
        <f>+HYPERLINK("http://trademark.i-assist.jp/data/china/image_1918th/80676799.pdf","80676799")</f>
        <v>80676799</v>
      </c>
      <c r="F61" s="12" t="s">
        <v>255</v>
      </c>
      <c r="G61" s="9" t="s">
        <v>256</v>
      </c>
      <c r="H61" s="9" t="s">
        <v>257</v>
      </c>
      <c r="I61" s="10">
        <v>45535</v>
      </c>
    </row>
    <row r="62" spans="1:9" x14ac:dyDescent="0.15">
      <c r="A62" s="9">
        <v>61</v>
      </c>
      <c r="B62" s="9" t="s">
        <v>9</v>
      </c>
      <c r="C62" s="9">
        <v>1918</v>
      </c>
      <c r="D62" s="10">
        <v>45663</v>
      </c>
      <c r="E62" s="13" t="str">
        <f>+HYPERLINK("http://trademark.i-assist.jp/data/china/image_1918th/80677114.pdf","80677114")</f>
        <v>80677114</v>
      </c>
      <c r="F62" s="9" t="s">
        <v>258</v>
      </c>
      <c r="G62" s="9" t="s">
        <v>259</v>
      </c>
      <c r="H62" s="9" t="s">
        <v>260</v>
      </c>
      <c r="I62" s="10">
        <v>45535</v>
      </c>
    </row>
    <row r="63" spans="1:9" x14ac:dyDescent="0.15">
      <c r="A63" s="9">
        <v>62</v>
      </c>
      <c r="B63" s="9" t="s">
        <v>9</v>
      </c>
      <c r="C63" s="9">
        <v>1918</v>
      </c>
      <c r="D63" s="10">
        <v>45663</v>
      </c>
      <c r="E63" s="13" t="str">
        <f>+HYPERLINK("http://trademark.i-assist.jp/data/china/image_1918th/80716937.pdf","80716937")</f>
        <v>80716937</v>
      </c>
      <c r="F63" s="9" t="s">
        <v>261</v>
      </c>
      <c r="G63" s="12" t="s">
        <v>262</v>
      </c>
      <c r="H63" s="9" t="s">
        <v>263</v>
      </c>
      <c r="I63" s="10">
        <v>45538</v>
      </c>
    </row>
    <row r="64" spans="1:9" x14ac:dyDescent="0.15">
      <c r="A64" s="9">
        <v>63</v>
      </c>
      <c r="B64" s="9" t="s">
        <v>9</v>
      </c>
      <c r="C64" s="9">
        <v>1918</v>
      </c>
      <c r="D64" s="10">
        <v>45663</v>
      </c>
      <c r="E64" s="13" t="str">
        <f>+HYPERLINK("http://trademark.i-assist.jp/data/china/image_1918th/80724169.pdf","80724169")</f>
        <v>80724169</v>
      </c>
      <c r="F64" s="9" t="s">
        <v>264</v>
      </c>
      <c r="G64" s="9" t="s">
        <v>214</v>
      </c>
      <c r="H64" s="9" t="s">
        <v>265</v>
      </c>
      <c r="I64" s="10">
        <v>45538</v>
      </c>
    </row>
    <row r="65" spans="1:9" x14ac:dyDescent="0.15">
      <c r="A65" s="9">
        <v>64</v>
      </c>
      <c r="B65" s="9" t="s">
        <v>9</v>
      </c>
      <c r="C65" s="9">
        <v>1918</v>
      </c>
      <c r="D65" s="10">
        <v>45663</v>
      </c>
      <c r="E65" s="13" t="str">
        <f>+HYPERLINK("http://trademark.i-assist.jp/data/china/image_1918th/80731921.pdf","80731921")</f>
        <v>80731921</v>
      </c>
      <c r="F65" s="12" t="s">
        <v>266</v>
      </c>
      <c r="G65" s="9" t="s">
        <v>267</v>
      </c>
      <c r="H65" s="9" t="s">
        <v>268</v>
      </c>
      <c r="I65" s="10">
        <v>45539</v>
      </c>
    </row>
    <row r="66" spans="1:9" x14ac:dyDescent="0.15">
      <c r="A66" s="9">
        <v>65</v>
      </c>
      <c r="B66" s="9" t="s">
        <v>9</v>
      </c>
      <c r="C66" s="9">
        <v>1918</v>
      </c>
      <c r="D66" s="10">
        <v>45663</v>
      </c>
      <c r="E66" s="13" t="str">
        <f>+HYPERLINK("http://trademark.i-assist.jp/data/china/image_1918th/80739918.pdf","80739918")</f>
        <v>80739918</v>
      </c>
      <c r="F66" s="9" t="s">
        <v>269</v>
      </c>
      <c r="G66" s="9" t="s">
        <v>15</v>
      </c>
      <c r="H66" s="9" t="s">
        <v>270</v>
      </c>
      <c r="I66" s="10">
        <v>45539</v>
      </c>
    </row>
    <row r="67" spans="1:9" x14ac:dyDescent="0.15">
      <c r="A67" s="9">
        <v>66</v>
      </c>
      <c r="B67" s="9" t="s">
        <v>9</v>
      </c>
      <c r="C67" s="9">
        <v>1918</v>
      </c>
      <c r="D67" s="10">
        <v>45663</v>
      </c>
      <c r="E67" s="13" t="str">
        <f>+HYPERLINK("http://trademark.i-assist.jp/data/china/image_1918th/80749159.pdf","80749159")</f>
        <v>80749159</v>
      </c>
      <c r="F67" s="9" t="s">
        <v>271</v>
      </c>
      <c r="G67" s="9" t="s">
        <v>272</v>
      </c>
      <c r="H67" s="9" t="s">
        <v>273</v>
      </c>
      <c r="I67" s="10">
        <v>45539</v>
      </c>
    </row>
    <row r="68" spans="1:9" x14ac:dyDescent="0.15">
      <c r="A68" s="9">
        <v>67</v>
      </c>
      <c r="B68" s="9" t="s">
        <v>9</v>
      </c>
      <c r="C68" s="9">
        <v>1918</v>
      </c>
      <c r="D68" s="10">
        <v>45663</v>
      </c>
      <c r="E68" s="13" t="str">
        <f>+HYPERLINK("http://trademark.i-assist.jp/data/china/image_1918th/80751059.pdf","80751059")</f>
        <v>80751059</v>
      </c>
      <c r="F68" s="12" t="s">
        <v>274</v>
      </c>
      <c r="G68" s="9" t="s">
        <v>275</v>
      </c>
      <c r="H68" s="9" t="s">
        <v>276</v>
      </c>
      <c r="I68" s="10">
        <v>45539</v>
      </c>
    </row>
    <row r="69" spans="1:9" x14ac:dyDescent="0.15">
      <c r="A69" s="9">
        <v>68</v>
      </c>
      <c r="B69" s="9" t="s">
        <v>9</v>
      </c>
      <c r="C69" s="9">
        <v>1918</v>
      </c>
      <c r="D69" s="10">
        <v>45663</v>
      </c>
      <c r="E69" s="13" t="str">
        <f>+HYPERLINK("http://trademark.i-assist.jp/data/china/image_1918th/80754285.pdf","80754285")</f>
        <v>80754285</v>
      </c>
      <c r="F69" s="9" t="s">
        <v>277</v>
      </c>
      <c r="G69" s="9" t="s">
        <v>278</v>
      </c>
      <c r="H69" s="9" t="s">
        <v>279</v>
      </c>
      <c r="I69" s="10">
        <v>45540</v>
      </c>
    </row>
    <row r="70" spans="1:9" x14ac:dyDescent="0.15">
      <c r="A70" s="9">
        <v>69</v>
      </c>
      <c r="B70" s="9" t="s">
        <v>9</v>
      </c>
      <c r="C70" s="9">
        <v>1918</v>
      </c>
      <c r="D70" s="10">
        <v>45663</v>
      </c>
      <c r="E70" s="13" t="str">
        <f>+HYPERLINK("http://trademark.i-assist.jp/data/china/image_1918th/80758314.pdf","80758314")</f>
        <v>80758314</v>
      </c>
      <c r="F70" s="9" t="s">
        <v>280</v>
      </c>
      <c r="G70" s="9" t="s">
        <v>281</v>
      </c>
      <c r="H70" s="9" t="s">
        <v>282</v>
      </c>
      <c r="I70" s="10">
        <v>45540</v>
      </c>
    </row>
    <row r="71" spans="1:9" x14ac:dyDescent="0.15">
      <c r="A71" s="9">
        <v>70</v>
      </c>
      <c r="B71" s="9" t="s">
        <v>9</v>
      </c>
      <c r="C71" s="9">
        <v>1918</v>
      </c>
      <c r="D71" s="10">
        <v>45663</v>
      </c>
      <c r="E71" s="13" t="str">
        <f>+HYPERLINK("http://trademark.i-assist.jp/data/china/image_1918th/80760768.pdf","80760768")</f>
        <v>80760768</v>
      </c>
      <c r="F71" s="9" t="s">
        <v>283</v>
      </c>
      <c r="G71" s="12" t="s">
        <v>284</v>
      </c>
      <c r="H71" s="9" t="s">
        <v>285</v>
      </c>
      <c r="I71" s="10">
        <v>45540</v>
      </c>
    </row>
    <row r="72" spans="1:9" x14ac:dyDescent="0.15">
      <c r="A72" s="9">
        <v>71</v>
      </c>
      <c r="B72" s="9" t="s">
        <v>9</v>
      </c>
      <c r="C72" s="9">
        <v>1918</v>
      </c>
      <c r="D72" s="10">
        <v>45663</v>
      </c>
      <c r="E72" s="13" t="str">
        <f>+HYPERLINK("http://trademark.i-assist.jp/data/china/image_1918th/80778705.pdf","80778705")</f>
        <v>80778705</v>
      </c>
      <c r="F72" s="12" t="s">
        <v>286</v>
      </c>
      <c r="G72" s="9" t="s">
        <v>287</v>
      </c>
      <c r="H72" s="9" t="s">
        <v>288</v>
      </c>
      <c r="I72" s="10">
        <v>45541</v>
      </c>
    </row>
    <row r="73" spans="1:9" x14ac:dyDescent="0.15">
      <c r="A73" s="9">
        <v>72</v>
      </c>
      <c r="B73" s="9" t="s">
        <v>9</v>
      </c>
      <c r="C73" s="9">
        <v>1918</v>
      </c>
      <c r="D73" s="10">
        <v>45663</v>
      </c>
      <c r="E73" s="13" t="str">
        <f>+HYPERLINK("http://trademark.i-assist.jp/data/china/image_1918th/80794973.pdf","80794973")</f>
        <v>80794973</v>
      </c>
      <c r="F73" s="9" t="s">
        <v>289</v>
      </c>
      <c r="G73" s="9" t="s">
        <v>290</v>
      </c>
      <c r="H73" s="9" t="s">
        <v>291</v>
      </c>
      <c r="I73" s="10">
        <v>45541</v>
      </c>
    </row>
    <row r="74" spans="1:9" x14ac:dyDescent="0.15">
      <c r="A74" s="9">
        <v>73</v>
      </c>
      <c r="B74" s="9" t="s">
        <v>9</v>
      </c>
      <c r="C74" s="9">
        <v>1918</v>
      </c>
      <c r="D74" s="10">
        <v>45663</v>
      </c>
      <c r="E74" s="13" t="str">
        <f>+HYPERLINK("http://trademark.i-assist.jp/data/china/image_1918th/80799102.pdf","80799102")</f>
        <v>80799102</v>
      </c>
      <c r="F74" s="9" t="s">
        <v>292</v>
      </c>
      <c r="G74" s="9" t="s">
        <v>34</v>
      </c>
      <c r="H74" s="9" t="s">
        <v>293</v>
      </c>
      <c r="I74" s="10">
        <v>45541</v>
      </c>
    </row>
    <row r="75" spans="1:9" x14ac:dyDescent="0.15">
      <c r="A75" s="9">
        <v>74</v>
      </c>
      <c r="B75" s="9" t="s">
        <v>9</v>
      </c>
      <c r="C75" s="9">
        <v>1918</v>
      </c>
      <c r="D75" s="10">
        <v>45663</v>
      </c>
      <c r="E75" s="13" t="str">
        <f>+HYPERLINK("http://trademark.i-assist.jp/data/china/image_1918th/80814544.pdf","80814544")</f>
        <v>80814544</v>
      </c>
      <c r="F75" s="9" t="s">
        <v>294</v>
      </c>
      <c r="G75" s="9" t="s">
        <v>295</v>
      </c>
      <c r="H75" s="9" t="s">
        <v>296</v>
      </c>
      <c r="I75" s="10">
        <v>45544</v>
      </c>
    </row>
    <row r="76" spans="1:9" x14ac:dyDescent="0.15">
      <c r="A76" s="9">
        <v>75</v>
      </c>
      <c r="B76" s="9" t="s">
        <v>9</v>
      </c>
      <c r="C76" s="9">
        <v>1918</v>
      </c>
      <c r="D76" s="10">
        <v>45663</v>
      </c>
      <c r="E76" s="13" t="str">
        <f>+HYPERLINK("http://trademark.i-assist.jp/data/china/image_1918th/80817763.pdf","80817763")</f>
        <v>80817763</v>
      </c>
      <c r="F76" s="9" t="s">
        <v>297</v>
      </c>
      <c r="G76" s="9" t="s">
        <v>298</v>
      </c>
      <c r="H76" s="9" t="s">
        <v>299</v>
      </c>
      <c r="I76" s="10">
        <v>45544</v>
      </c>
    </row>
    <row r="77" spans="1:9" x14ac:dyDescent="0.15">
      <c r="A77" s="9">
        <v>76</v>
      </c>
      <c r="B77" s="9" t="s">
        <v>9</v>
      </c>
      <c r="C77" s="9">
        <v>1918</v>
      </c>
      <c r="D77" s="10">
        <v>45663</v>
      </c>
      <c r="E77" s="13" t="str">
        <f>+HYPERLINK("http://trademark.i-assist.jp/data/china/image_1918th/80817984.pdf","80817984")</f>
        <v>80817984</v>
      </c>
      <c r="F77" s="12" t="s">
        <v>12</v>
      </c>
      <c r="G77" s="9" t="s">
        <v>300</v>
      </c>
      <c r="H77" s="9" t="s">
        <v>301</v>
      </c>
      <c r="I77" s="10">
        <v>45544</v>
      </c>
    </row>
    <row r="78" spans="1:9" x14ac:dyDescent="0.15">
      <c r="A78" s="9">
        <v>77</v>
      </c>
      <c r="B78" s="9" t="s">
        <v>9</v>
      </c>
      <c r="C78" s="9">
        <v>1918</v>
      </c>
      <c r="D78" s="10">
        <v>45663</v>
      </c>
      <c r="E78" s="13" t="str">
        <f>+HYPERLINK("http://trademark.i-assist.jp/data/china/image_1918th/80820812.pdf","80820812")</f>
        <v>80820812</v>
      </c>
      <c r="F78" s="9" t="s">
        <v>302</v>
      </c>
      <c r="G78" s="9" t="s">
        <v>303</v>
      </c>
      <c r="H78" s="9" t="s">
        <v>304</v>
      </c>
      <c r="I78" s="10">
        <v>45544</v>
      </c>
    </row>
    <row r="79" spans="1:9" x14ac:dyDescent="0.15">
      <c r="A79" s="9">
        <v>78</v>
      </c>
      <c r="B79" s="9" t="s">
        <v>9</v>
      </c>
      <c r="C79" s="9">
        <v>1918</v>
      </c>
      <c r="D79" s="10">
        <v>45663</v>
      </c>
      <c r="E79" s="13" t="str">
        <f>+HYPERLINK("http://trademark.i-assist.jp/data/china/image_1918th/80830812.pdf","80830812")</f>
        <v>80830812</v>
      </c>
      <c r="F79" s="9" t="s">
        <v>305</v>
      </c>
      <c r="G79" s="9" t="s">
        <v>300</v>
      </c>
      <c r="H79" s="9" t="s">
        <v>306</v>
      </c>
      <c r="I79" s="10">
        <v>45544</v>
      </c>
    </row>
    <row r="80" spans="1:9" x14ac:dyDescent="0.15">
      <c r="A80" s="9">
        <v>79</v>
      </c>
      <c r="B80" s="9" t="s">
        <v>9</v>
      </c>
      <c r="C80" s="9">
        <v>1918</v>
      </c>
      <c r="D80" s="10">
        <v>45663</v>
      </c>
      <c r="E80" s="13" t="str">
        <f>+HYPERLINK("http://trademark.i-assist.jp/data/china/image_1918th/80832482.pdf","80832482")</f>
        <v>80832482</v>
      </c>
      <c r="F80" s="9" t="s">
        <v>307</v>
      </c>
      <c r="G80" s="9" t="s">
        <v>308</v>
      </c>
      <c r="H80" s="9" t="s">
        <v>309</v>
      </c>
      <c r="I80" s="10">
        <v>45544</v>
      </c>
    </row>
    <row r="81" spans="1:9" x14ac:dyDescent="0.15">
      <c r="A81" s="9">
        <v>80</v>
      </c>
      <c r="B81" s="9" t="s">
        <v>9</v>
      </c>
      <c r="C81" s="9">
        <v>1918</v>
      </c>
      <c r="D81" s="10">
        <v>45663</v>
      </c>
      <c r="E81" s="13" t="str">
        <f>+HYPERLINK("http://trademark.i-assist.jp/data/china/image_1918th/80833615.pdf","80833615")</f>
        <v>80833615</v>
      </c>
      <c r="F81" s="12" t="s">
        <v>12</v>
      </c>
      <c r="G81" s="9" t="s">
        <v>310</v>
      </c>
      <c r="H81" s="12" t="s">
        <v>311</v>
      </c>
      <c r="I81" s="10">
        <v>45544</v>
      </c>
    </row>
    <row r="82" spans="1:9" x14ac:dyDescent="0.15">
      <c r="A82" s="9">
        <v>81</v>
      </c>
      <c r="B82" s="9" t="s">
        <v>9</v>
      </c>
      <c r="C82" s="9">
        <v>1918</v>
      </c>
      <c r="D82" s="10">
        <v>45663</v>
      </c>
      <c r="E82" s="13" t="str">
        <f>+HYPERLINK("http://trademark.i-assist.jp/data/china/image_1918th/80837968.pdf","80837968")</f>
        <v>80837968</v>
      </c>
      <c r="F82" s="9" t="s">
        <v>35</v>
      </c>
      <c r="G82" s="9" t="s">
        <v>22</v>
      </c>
      <c r="H82" s="9" t="s">
        <v>312</v>
      </c>
      <c r="I82" s="10">
        <v>45545</v>
      </c>
    </row>
    <row r="83" spans="1:9" x14ac:dyDescent="0.15">
      <c r="A83" s="9">
        <v>82</v>
      </c>
      <c r="B83" s="9" t="s">
        <v>9</v>
      </c>
      <c r="C83" s="9">
        <v>1918</v>
      </c>
      <c r="D83" s="10">
        <v>45663</v>
      </c>
      <c r="E83" s="13" t="str">
        <f>+HYPERLINK("http://trademark.i-assist.jp/data/china/image_1918th/80838750.pdf","80838750")</f>
        <v>80838750</v>
      </c>
      <c r="F83" s="12" t="s">
        <v>12</v>
      </c>
      <c r="G83" s="9" t="s">
        <v>313</v>
      </c>
      <c r="H83" s="9" t="s">
        <v>314</v>
      </c>
      <c r="I83" s="10">
        <v>45545</v>
      </c>
    </row>
    <row r="84" spans="1:9" x14ac:dyDescent="0.15">
      <c r="A84" s="9">
        <v>83</v>
      </c>
      <c r="B84" s="9" t="s">
        <v>9</v>
      </c>
      <c r="C84" s="9">
        <v>1918</v>
      </c>
      <c r="D84" s="10">
        <v>45663</v>
      </c>
      <c r="E84" s="13" t="str">
        <f>+HYPERLINK("http://trademark.i-assist.jp/data/china/image_1918th/80840492.pdf","80840492")</f>
        <v>80840492</v>
      </c>
      <c r="F84" s="9" t="s">
        <v>315</v>
      </c>
      <c r="G84" s="12" t="s">
        <v>316</v>
      </c>
      <c r="H84" s="9" t="s">
        <v>317</v>
      </c>
      <c r="I84" s="10">
        <v>45545</v>
      </c>
    </row>
    <row r="85" spans="1:9" x14ac:dyDescent="0.15">
      <c r="A85" s="9">
        <v>84</v>
      </c>
      <c r="B85" s="9" t="s">
        <v>9</v>
      </c>
      <c r="C85" s="9">
        <v>1918</v>
      </c>
      <c r="D85" s="10">
        <v>45663</v>
      </c>
      <c r="E85" s="13" t="str">
        <f>+HYPERLINK("http://trademark.i-assist.jp/data/china/image_1918th/80842932.pdf","80842932")</f>
        <v>80842932</v>
      </c>
      <c r="F85" s="9" t="s">
        <v>36</v>
      </c>
      <c r="G85" s="9" t="s">
        <v>22</v>
      </c>
      <c r="H85" s="9" t="s">
        <v>318</v>
      </c>
      <c r="I85" s="10">
        <v>45545</v>
      </c>
    </row>
    <row r="86" spans="1:9" x14ac:dyDescent="0.15">
      <c r="A86" s="9">
        <v>85</v>
      </c>
      <c r="B86" s="9" t="s">
        <v>9</v>
      </c>
      <c r="C86" s="9">
        <v>1918</v>
      </c>
      <c r="D86" s="10">
        <v>45663</v>
      </c>
      <c r="E86" s="13" t="str">
        <f>+HYPERLINK("http://trademark.i-assist.jp/data/china/image_1918th/80843567.pdf","80843567")</f>
        <v>80843567</v>
      </c>
      <c r="F86" s="9" t="s">
        <v>319</v>
      </c>
      <c r="G86" s="9" t="s">
        <v>320</v>
      </c>
      <c r="H86" s="9" t="s">
        <v>321</v>
      </c>
      <c r="I86" s="10">
        <v>45545</v>
      </c>
    </row>
    <row r="87" spans="1:9" x14ac:dyDescent="0.15">
      <c r="A87" s="9">
        <v>86</v>
      </c>
      <c r="B87" s="9" t="s">
        <v>9</v>
      </c>
      <c r="C87" s="9">
        <v>1918</v>
      </c>
      <c r="D87" s="10">
        <v>45663</v>
      </c>
      <c r="E87" s="13" t="str">
        <f>+HYPERLINK("http://trademark.i-assist.jp/data/china/image_1918th/80853696.pdf","80853696")</f>
        <v>80853696</v>
      </c>
      <c r="F87" s="9" t="s">
        <v>322</v>
      </c>
      <c r="G87" s="9" t="s">
        <v>323</v>
      </c>
      <c r="H87" s="9" t="s">
        <v>324</v>
      </c>
      <c r="I87" s="10">
        <v>45545</v>
      </c>
    </row>
    <row r="88" spans="1:9" x14ac:dyDescent="0.15">
      <c r="A88" s="9">
        <v>87</v>
      </c>
      <c r="B88" s="9" t="s">
        <v>9</v>
      </c>
      <c r="C88" s="9">
        <v>1918</v>
      </c>
      <c r="D88" s="10">
        <v>45663</v>
      </c>
      <c r="E88" s="13" t="str">
        <f>+HYPERLINK("http://trademark.i-assist.jp/data/china/image_1918th/80855892.pdf","80855892")</f>
        <v>80855892</v>
      </c>
      <c r="F88" s="9" t="s">
        <v>325</v>
      </c>
      <c r="G88" s="12" t="s">
        <v>326</v>
      </c>
      <c r="H88" s="12" t="s">
        <v>327</v>
      </c>
      <c r="I88" s="10">
        <v>45545</v>
      </c>
    </row>
    <row r="89" spans="1:9" x14ac:dyDescent="0.15">
      <c r="A89" s="9">
        <v>88</v>
      </c>
      <c r="B89" s="9" t="s">
        <v>9</v>
      </c>
      <c r="C89" s="9">
        <v>1918</v>
      </c>
      <c r="D89" s="10">
        <v>45663</v>
      </c>
      <c r="E89" s="13" t="str">
        <f>+HYPERLINK("http://trademark.i-assist.jp/data/china/image_1918th/80858028.pdf","80858028")</f>
        <v>80858028</v>
      </c>
      <c r="F89" s="12" t="s">
        <v>12</v>
      </c>
      <c r="G89" s="12" t="s">
        <v>328</v>
      </c>
      <c r="H89" s="9" t="s">
        <v>329</v>
      </c>
      <c r="I89" s="10">
        <v>45546</v>
      </c>
    </row>
    <row r="90" spans="1:9" x14ac:dyDescent="0.15">
      <c r="A90" s="9">
        <v>89</v>
      </c>
      <c r="B90" s="9" t="s">
        <v>9</v>
      </c>
      <c r="C90" s="9">
        <v>1918</v>
      </c>
      <c r="D90" s="10">
        <v>45663</v>
      </c>
      <c r="E90" s="13" t="str">
        <f>+HYPERLINK("http://trademark.i-assist.jp/data/china/image_1918th/80868294.pdf","80868294")</f>
        <v>80868294</v>
      </c>
      <c r="F90" s="9" t="s">
        <v>330</v>
      </c>
      <c r="G90" s="9" t="s">
        <v>331</v>
      </c>
      <c r="H90" s="9" t="s">
        <v>332</v>
      </c>
      <c r="I90" s="10">
        <v>45546</v>
      </c>
    </row>
    <row r="91" spans="1:9" x14ac:dyDescent="0.15">
      <c r="A91" s="9">
        <v>90</v>
      </c>
      <c r="B91" s="9" t="s">
        <v>9</v>
      </c>
      <c r="C91" s="9">
        <v>1918</v>
      </c>
      <c r="D91" s="10">
        <v>45663</v>
      </c>
      <c r="E91" s="13" t="str">
        <f>+HYPERLINK("http://trademark.i-assist.jp/data/china/image_1918th/80869426.pdf","80869426")</f>
        <v>80869426</v>
      </c>
      <c r="F91" s="9" t="s">
        <v>333</v>
      </c>
      <c r="G91" s="9" t="s">
        <v>334</v>
      </c>
      <c r="H91" s="9" t="s">
        <v>335</v>
      </c>
      <c r="I91" s="10">
        <v>45546</v>
      </c>
    </row>
    <row r="92" spans="1:9" x14ac:dyDescent="0.15">
      <c r="A92" s="9">
        <v>91</v>
      </c>
      <c r="B92" s="9" t="s">
        <v>9</v>
      </c>
      <c r="C92" s="9">
        <v>1918</v>
      </c>
      <c r="D92" s="10">
        <v>45663</v>
      </c>
      <c r="E92" s="13" t="str">
        <f>+HYPERLINK("http://trademark.i-assist.jp/data/china/image_1918th/80872356.pdf","80872356")</f>
        <v>80872356</v>
      </c>
      <c r="F92" s="9" t="s">
        <v>336</v>
      </c>
      <c r="G92" s="9" t="s">
        <v>337</v>
      </c>
      <c r="H92" s="9" t="s">
        <v>338</v>
      </c>
      <c r="I92" s="10">
        <v>45546</v>
      </c>
    </row>
    <row r="93" spans="1:9" x14ac:dyDescent="0.15">
      <c r="A93" s="9">
        <v>92</v>
      </c>
      <c r="B93" s="9" t="s">
        <v>9</v>
      </c>
      <c r="C93" s="9">
        <v>1918</v>
      </c>
      <c r="D93" s="10">
        <v>45663</v>
      </c>
      <c r="E93" s="13" t="str">
        <f>+HYPERLINK("http://trademark.i-assist.jp/data/china/image_1918th/80873766.pdf","80873766")</f>
        <v>80873766</v>
      </c>
      <c r="F93" s="9" t="s">
        <v>339</v>
      </c>
      <c r="G93" s="9" t="s">
        <v>340</v>
      </c>
      <c r="H93" s="9" t="s">
        <v>341</v>
      </c>
      <c r="I93" s="10">
        <v>45546</v>
      </c>
    </row>
    <row r="94" spans="1:9" x14ac:dyDescent="0.15">
      <c r="A94" s="9">
        <v>93</v>
      </c>
      <c r="B94" s="9" t="s">
        <v>9</v>
      </c>
      <c r="C94" s="9">
        <v>1918</v>
      </c>
      <c r="D94" s="10">
        <v>45663</v>
      </c>
      <c r="E94" s="13" t="str">
        <f>+HYPERLINK("http://trademark.i-assist.jp/data/china/image_1918th/80873927.pdf","80873927")</f>
        <v>80873927</v>
      </c>
      <c r="F94" s="9" t="s">
        <v>342</v>
      </c>
      <c r="G94" s="9" t="s">
        <v>343</v>
      </c>
      <c r="H94" s="9" t="s">
        <v>344</v>
      </c>
      <c r="I94" s="10">
        <v>45546</v>
      </c>
    </row>
    <row r="95" spans="1:9" x14ac:dyDescent="0.15">
      <c r="A95" s="9">
        <v>94</v>
      </c>
      <c r="B95" s="9" t="s">
        <v>9</v>
      </c>
      <c r="C95" s="9">
        <v>1918</v>
      </c>
      <c r="D95" s="10">
        <v>45663</v>
      </c>
      <c r="E95" s="13" t="str">
        <f>+HYPERLINK("http://trademark.i-assist.jp/data/china/image_1918th/80882653.pdf","80882653")</f>
        <v>80882653</v>
      </c>
      <c r="F95" s="9" t="s">
        <v>345</v>
      </c>
      <c r="G95" s="9" t="s">
        <v>346</v>
      </c>
      <c r="H95" s="12" t="s">
        <v>347</v>
      </c>
      <c r="I95" s="10">
        <v>45547</v>
      </c>
    </row>
    <row r="96" spans="1:9" x14ac:dyDescent="0.15">
      <c r="A96" s="9">
        <v>95</v>
      </c>
      <c r="B96" s="9" t="s">
        <v>9</v>
      </c>
      <c r="C96" s="9">
        <v>1918</v>
      </c>
      <c r="D96" s="10">
        <v>45663</v>
      </c>
      <c r="E96" s="13" t="str">
        <f>+HYPERLINK("http://trademark.i-assist.jp/data/china/image_1918th/80883158.pdf","80883158")</f>
        <v>80883158</v>
      </c>
      <c r="F96" s="9" t="s">
        <v>348</v>
      </c>
      <c r="G96" s="9" t="s">
        <v>349</v>
      </c>
      <c r="H96" s="9" t="s">
        <v>350</v>
      </c>
      <c r="I96" s="10">
        <v>45547</v>
      </c>
    </row>
    <row r="97" spans="1:9" x14ac:dyDescent="0.15">
      <c r="A97" s="9">
        <v>96</v>
      </c>
      <c r="B97" s="9" t="s">
        <v>9</v>
      </c>
      <c r="C97" s="9">
        <v>1918</v>
      </c>
      <c r="D97" s="10">
        <v>45663</v>
      </c>
      <c r="E97" s="13" t="str">
        <f>+HYPERLINK("http://trademark.i-assist.jp/data/china/image_1918th/80893338.pdf","80893338")</f>
        <v>80893338</v>
      </c>
      <c r="F97" s="11" t="s">
        <v>351</v>
      </c>
      <c r="G97" s="9" t="s">
        <v>352</v>
      </c>
      <c r="H97" s="9" t="s">
        <v>353</v>
      </c>
      <c r="I97" s="10">
        <v>45547</v>
      </c>
    </row>
    <row r="98" spans="1:9" x14ac:dyDescent="0.15">
      <c r="A98" s="9">
        <v>97</v>
      </c>
      <c r="B98" s="9" t="s">
        <v>9</v>
      </c>
      <c r="C98" s="9">
        <v>1918</v>
      </c>
      <c r="D98" s="10">
        <v>45663</v>
      </c>
      <c r="E98" s="13" t="str">
        <f>+HYPERLINK("http://trademark.i-assist.jp/data/china/image_1918th/80900716.pdf","80900716")</f>
        <v>80900716</v>
      </c>
      <c r="F98" s="9" t="s">
        <v>354</v>
      </c>
      <c r="G98" s="9" t="s">
        <v>355</v>
      </c>
      <c r="H98" s="9" t="s">
        <v>356</v>
      </c>
      <c r="I98" s="10">
        <v>45548</v>
      </c>
    </row>
    <row r="99" spans="1:9" x14ac:dyDescent="0.15">
      <c r="A99" s="9">
        <v>98</v>
      </c>
      <c r="B99" s="9" t="s">
        <v>9</v>
      </c>
      <c r="C99" s="9">
        <v>1918</v>
      </c>
      <c r="D99" s="10">
        <v>45663</v>
      </c>
      <c r="E99" s="13" t="str">
        <f>+HYPERLINK("http://trademark.i-assist.jp/data/china/image_1918th/80904127.pdf","80904127")</f>
        <v>80904127</v>
      </c>
      <c r="F99" s="12" t="s">
        <v>357</v>
      </c>
      <c r="G99" s="12" t="s">
        <v>81</v>
      </c>
      <c r="H99" s="9" t="s">
        <v>358</v>
      </c>
      <c r="I99" s="10">
        <v>45548</v>
      </c>
    </row>
    <row r="100" spans="1:9" x14ac:dyDescent="0.15">
      <c r="A100" s="9">
        <v>99</v>
      </c>
      <c r="B100" s="9" t="s">
        <v>9</v>
      </c>
      <c r="C100" s="9">
        <v>1918</v>
      </c>
      <c r="D100" s="10">
        <v>45663</v>
      </c>
      <c r="E100" s="13" t="str">
        <f>+HYPERLINK("http://trademark.i-assist.jp/data/china/image_1918th/80911492.pdf","80911492")</f>
        <v>80911492</v>
      </c>
      <c r="F100" s="9" t="s">
        <v>359</v>
      </c>
      <c r="G100" s="9" t="s">
        <v>360</v>
      </c>
      <c r="H100" s="9" t="s">
        <v>361</v>
      </c>
      <c r="I100" s="10">
        <v>45548</v>
      </c>
    </row>
    <row r="101" spans="1:9" x14ac:dyDescent="0.15">
      <c r="A101" s="9">
        <v>100</v>
      </c>
      <c r="B101" s="9" t="s">
        <v>9</v>
      </c>
      <c r="C101" s="9">
        <v>1918</v>
      </c>
      <c r="D101" s="10">
        <v>45663</v>
      </c>
      <c r="E101" s="13" t="str">
        <f>+HYPERLINK("http://trademark.i-assist.jp/data/china/image_1918th/80911951.pdf","80911951")</f>
        <v>80911951</v>
      </c>
      <c r="F101" s="12" t="s">
        <v>362</v>
      </c>
      <c r="G101" s="9" t="s">
        <v>363</v>
      </c>
      <c r="H101" s="9" t="s">
        <v>364</v>
      </c>
      <c r="I101" s="10">
        <v>45548</v>
      </c>
    </row>
    <row r="102" spans="1:9" x14ac:dyDescent="0.15">
      <c r="A102" s="9">
        <v>101</v>
      </c>
      <c r="B102" s="9" t="s">
        <v>9</v>
      </c>
      <c r="C102" s="9">
        <v>1918</v>
      </c>
      <c r="D102" s="10">
        <v>45663</v>
      </c>
      <c r="E102" s="13" t="str">
        <f>+HYPERLINK("http://trademark.i-assist.jp/data/china/image_1918th/80915797.pdf","80915797")</f>
        <v>80915797</v>
      </c>
      <c r="F102" s="9" t="s">
        <v>365</v>
      </c>
      <c r="G102" s="9" t="s">
        <v>366</v>
      </c>
      <c r="H102" s="9" t="s">
        <v>367</v>
      </c>
      <c r="I102" s="10">
        <v>45548</v>
      </c>
    </row>
    <row r="103" spans="1:9" x14ac:dyDescent="0.15">
      <c r="A103" s="9">
        <v>102</v>
      </c>
      <c r="B103" s="9" t="s">
        <v>9</v>
      </c>
      <c r="C103" s="9">
        <v>1918</v>
      </c>
      <c r="D103" s="10">
        <v>45663</v>
      </c>
      <c r="E103" s="13" t="str">
        <f>+HYPERLINK("http://trademark.i-assist.jp/data/china/image_1918th/80918798.pdf","80918798")</f>
        <v>80918798</v>
      </c>
      <c r="F103" s="12" t="s">
        <v>12</v>
      </c>
      <c r="G103" s="9" t="s">
        <v>368</v>
      </c>
      <c r="H103" s="9" t="s">
        <v>369</v>
      </c>
      <c r="I103" s="10">
        <v>45548</v>
      </c>
    </row>
    <row r="104" spans="1:9" x14ac:dyDescent="0.15">
      <c r="A104" s="9">
        <v>103</v>
      </c>
      <c r="B104" s="9" t="s">
        <v>9</v>
      </c>
      <c r="C104" s="9">
        <v>1918</v>
      </c>
      <c r="D104" s="10">
        <v>45663</v>
      </c>
      <c r="E104" s="13" t="str">
        <f>+HYPERLINK("http://trademark.i-assist.jp/data/china/image_1918th/80920652.pdf","80920652")</f>
        <v>80920652</v>
      </c>
      <c r="F104" s="12" t="s">
        <v>12</v>
      </c>
      <c r="G104" s="12" t="s">
        <v>370</v>
      </c>
      <c r="H104" s="9" t="s">
        <v>371</v>
      </c>
      <c r="I104" s="10">
        <v>45548</v>
      </c>
    </row>
    <row r="105" spans="1:9" x14ac:dyDescent="0.15">
      <c r="A105" s="9">
        <v>104</v>
      </c>
      <c r="B105" s="9" t="s">
        <v>9</v>
      </c>
      <c r="C105" s="9">
        <v>1918</v>
      </c>
      <c r="D105" s="10">
        <v>45663</v>
      </c>
      <c r="E105" s="13" t="str">
        <f>+HYPERLINK("http://trademark.i-assist.jp/data/china/image_1918th/80921157.pdf","80921157")</f>
        <v>80921157</v>
      </c>
      <c r="F105" s="12" t="s">
        <v>372</v>
      </c>
      <c r="G105" s="9" t="s">
        <v>373</v>
      </c>
      <c r="H105" s="9" t="s">
        <v>374</v>
      </c>
      <c r="I105" s="10">
        <v>45548</v>
      </c>
    </row>
    <row r="106" spans="1:9" x14ac:dyDescent="0.15">
      <c r="A106" s="9">
        <v>105</v>
      </c>
      <c r="B106" s="9" t="s">
        <v>9</v>
      </c>
      <c r="C106" s="9">
        <v>1918</v>
      </c>
      <c r="D106" s="10">
        <v>45663</v>
      </c>
      <c r="E106" s="13" t="str">
        <f>+HYPERLINK("http://trademark.i-assist.jp/data/china/image_1918th/80928615.pdf","80928615")</f>
        <v>80928615</v>
      </c>
      <c r="F106" s="9" t="s">
        <v>375</v>
      </c>
      <c r="G106" s="12" t="s">
        <v>376</v>
      </c>
      <c r="H106" s="9" t="s">
        <v>377</v>
      </c>
      <c r="I106" s="10">
        <v>45549</v>
      </c>
    </row>
    <row r="107" spans="1:9" x14ac:dyDescent="0.15">
      <c r="A107" s="9">
        <v>106</v>
      </c>
      <c r="B107" s="9" t="s">
        <v>9</v>
      </c>
      <c r="C107" s="9">
        <v>1918</v>
      </c>
      <c r="D107" s="10">
        <v>45663</v>
      </c>
      <c r="E107" s="13" t="str">
        <f>+HYPERLINK("http://trademark.i-assist.jp/data/china/image_1918th/80931576.pdf","80931576")</f>
        <v>80931576</v>
      </c>
      <c r="F107" s="9" t="s">
        <v>378</v>
      </c>
      <c r="G107" s="12" t="s">
        <v>379</v>
      </c>
      <c r="H107" s="12" t="s">
        <v>380</v>
      </c>
      <c r="I107" s="10">
        <v>45549</v>
      </c>
    </row>
    <row r="108" spans="1:9" x14ac:dyDescent="0.15">
      <c r="A108" s="9">
        <v>107</v>
      </c>
      <c r="B108" s="9" t="s">
        <v>9</v>
      </c>
      <c r="C108" s="9">
        <v>1918</v>
      </c>
      <c r="D108" s="10">
        <v>45663</v>
      </c>
      <c r="E108" s="13" t="str">
        <f>+HYPERLINK("http://trademark.i-assist.jp/data/china/image_1918th/80931798.pdf","80931798")</f>
        <v>80931798</v>
      </c>
      <c r="F108" s="9" t="s">
        <v>381</v>
      </c>
      <c r="G108" s="9" t="s">
        <v>382</v>
      </c>
      <c r="H108" s="9" t="s">
        <v>383</v>
      </c>
      <c r="I108" s="10">
        <v>45549</v>
      </c>
    </row>
    <row r="109" spans="1:9" x14ac:dyDescent="0.15">
      <c r="A109" s="9">
        <v>108</v>
      </c>
      <c r="B109" s="9" t="s">
        <v>9</v>
      </c>
      <c r="C109" s="9">
        <v>1918</v>
      </c>
      <c r="D109" s="10">
        <v>45663</v>
      </c>
      <c r="E109" s="13" t="str">
        <f>+HYPERLINK("http://trademark.i-assist.jp/data/china/image_1918th/80934904.pdf","80934904")</f>
        <v>80934904</v>
      </c>
      <c r="F109" s="9" t="s">
        <v>384</v>
      </c>
      <c r="G109" s="9" t="s">
        <v>385</v>
      </c>
      <c r="H109" s="9" t="s">
        <v>386</v>
      </c>
      <c r="I109" s="10">
        <v>45549</v>
      </c>
    </row>
    <row r="110" spans="1:9" x14ac:dyDescent="0.15">
      <c r="A110" s="9">
        <v>109</v>
      </c>
      <c r="B110" s="9" t="s">
        <v>9</v>
      </c>
      <c r="C110" s="9">
        <v>1918</v>
      </c>
      <c r="D110" s="10">
        <v>45663</v>
      </c>
      <c r="E110" s="13" t="str">
        <f>+HYPERLINK("http://trademark.i-assist.jp/data/china/image_1918th/80936959.pdf","80936959")</f>
        <v>80936959</v>
      </c>
      <c r="F110" s="9" t="s">
        <v>387</v>
      </c>
      <c r="G110" s="12" t="s">
        <v>388</v>
      </c>
      <c r="H110" s="9" t="s">
        <v>389</v>
      </c>
      <c r="I110" s="10">
        <v>45549</v>
      </c>
    </row>
    <row r="111" spans="1:9" x14ac:dyDescent="0.15">
      <c r="A111" s="9">
        <v>110</v>
      </c>
      <c r="B111" s="9" t="s">
        <v>9</v>
      </c>
      <c r="C111" s="9">
        <v>1918</v>
      </c>
      <c r="D111" s="10">
        <v>45663</v>
      </c>
      <c r="E111" s="13" t="str">
        <f>+HYPERLINK("http://trademark.i-assist.jp/data/china/image_1918th/80937097.pdf","80937097")</f>
        <v>80937097</v>
      </c>
      <c r="F111" s="9" t="s">
        <v>390</v>
      </c>
      <c r="G111" s="9" t="s">
        <v>391</v>
      </c>
      <c r="H111" s="9" t="s">
        <v>392</v>
      </c>
      <c r="I111" s="10">
        <v>45549</v>
      </c>
    </row>
    <row r="112" spans="1:9" x14ac:dyDescent="0.15">
      <c r="A112" s="9">
        <v>111</v>
      </c>
      <c r="B112" s="9" t="s">
        <v>9</v>
      </c>
      <c r="C112" s="9">
        <v>1918</v>
      </c>
      <c r="D112" s="10">
        <v>45663</v>
      </c>
      <c r="E112" s="13" t="str">
        <f>+HYPERLINK("http://trademark.i-assist.jp/data/china/image_1918th/80940886.pdf","80940886")</f>
        <v>80940886</v>
      </c>
      <c r="F112" s="9" t="s">
        <v>393</v>
      </c>
      <c r="G112" s="12" t="s">
        <v>394</v>
      </c>
      <c r="H112" s="9" t="s">
        <v>395</v>
      </c>
      <c r="I112" s="10">
        <v>45549</v>
      </c>
    </row>
    <row r="113" spans="1:9" x14ac:dyDescent="0.15">
      <c r="A113" s="9">
        <v>112</v>
      </c>
      <c r="B113" s="9" t="s">
        <v>9</v>
      </c>
      <c r="C113" s="9">
        <v>1918</v>
      </c>
      <c r="D113" s="10">
        <v>45663</v>
      </c>
      <c r="E113" s="13" t="str">
        <f>+HYPERLINK("http://trademark.i-assist.jp/data/china/image_1918th/80947527.pdf","80947527")</f>
        <v>80947527</v>
      </c>
      <c r="F113" s="12" t="s">
        <v>12</v>
      </c>
      <c r="G113" s="9" t="s">
        <v>396</v>
      </c>
      <c r="H113" s="9" t="s">
        <v>397</v>
      </c>
      <c r="I113" s="10">
        <v>45549</v>
      </c>
    </row>
    <row r="114" spans="1:9" x14ac:dyDescent="0.15">
      <c r="A114" s="9">
        <v>113</v>
      </c>
      <c r="B114" s="9" t="s">
        <v>9</v>
      </c>
      <c r="C114" s="9">
        <v>1918</v>
      </c>
      <c r="D114" s="10">
        <v>45663</v>
      </c>
      <c r="E114" s="13" t="str">
        <f>+HYPERLINK("http://trademark.i-assist.jp/data/china/image_1918th/80947928.pdf","80947928")</f>
        <v>80947928</v>
      </c>
      <c r="F114" s="9" t="s">
        <v>398</v>
      </c>
      <c r="G114" s="12" t="s">
        <v>399</v>
      </c>
      <c r="H114" s="9" t="s">
        <v>400</v>
      </c>
      <c r="I114" s="10">
        <v>45549</v>
      </c>
    </row>
    <row r="115" spans="1:9" x14ac:dyDescent="0.15">
      <c r="A115" s="9">
        <v>114</v>
      </c>
      <c r="B115" s="9" t="s">
        <v>9</v>
      </c>
      <c r="C115" s="9">
        <v>1918</v>
      </c>
      <c r="D115" s="10">
        <v>45663</v>
      </c>
      <c r="E115" s="13" t="str">
        <f>+HYPERLINK("http://trademark.i-assist.jp/data/china/image_1918th/80948041.pdf","80948041")</f>
        <v>80948041</v>
      </c>
      <c r="F115" s="9" t="s">
        <v>401</v>
      </c>
      <c r="G115" s="12" t="s">
        <v>402</v>
      </c>
      <c r="H115" s="9" t="s">
        <v>403</v>
      </c>
      <c r="I115" s="10">
        <v>45549</v>
      </c>
    </row>
    <row r="116" spans="1:9" x14ac:dyDescent="0.15">
      <c r="A116" s="9">
        <v>115</v>
      </c>
      <c r="B116" s="9" t="s">
        <v>9</v>
      </c>
      <c r="C116" s="9">
        <v>1918</v>
      </c>
      <c r="D116" s="10">
        <v>45663</v>
      </c>
      <c r="E116" s="13" t="str">
        <f>+HYPERLINK("http://trademark.i-assist.jp/data/china/image_1918th/80951060A.pdf","80951060A")</f>
        <v>80951060A</v>
      </c>
      <c r="F116" s="9" t="s">
        <v>404</v>
      </c>
      <c r="G116" s="9" t="s">
        <v>405</v>
      </c>
      <c r="H116" s="9" t="s">
        <v>406</v>
      </c>
      <c r="I116" s="10">
        <v>45549</v>
      </c>
    </row>
    <row r="117" spans="1:9" x14ac:dyDescent="0.15">
      <c r="A117" s="9">
        <v>116</v>
      </c>
      <c r="B117" s="9" t="s">
        <v>9</v>
      </c>
      <c r="C117" s="9">
        <v>1918</v>
      </c>
      <c r="D117" s="10">
        <v>45663</v>
      </c>
      <c r="E117" s="13" t="str">
        <f>+HYPERLINK("http://trademark.i-assist.jp/data/china/image_1918th/80955688.pdf","80955688")</f>
        <v>80955688</v>
      </c>
      <c r="F117" s="11" t="s">
        <v>407</v>
      </c>
      <c r="G117" s="12" t="s">
        <v>408</v>
      </c>
      <c r="H117" s="9" t="s">
        <v>409</v>
      </c>
      <c r="I117" s="10">
        <v>45551</v>
      </c>
    </row>
    <row r="118" spans="1:9" x14ac:dyDescent="0.15">
      <c r="A118" s="9">
        <v>117</v>
      </c>
      <c r="B118" s="9" t="s">
        <v>9</v>
      </c>
      <c r="C118" s="9">
        <v>1918</v>
      </c>
      <c r="D118" s="10">
        <v>45663</v>
      </c>
      <c r="E118" s="13" t="str">
        <f>+HYPERLINK("http://trademark.i-assist.jp/data/china/image_1918th/80959442.pdf","80959442")</f>
        <v>80959442</v>
      </c>
      <c r="F118" s="9" t="s">
        <v>410</v>
      </c>
      <c r="G118" s="9" t="s">
        <v>411</v>
      </c>
      <c r="H118" s="9" t="s">
        <v>412</v>
      </c>
      <c r="I118" s="10">
        <v>45553</v>
      </c>
    </row>
    <row r="119" spans="1:9" x14ac:dyDescent="0.15">
      <c r="A119" s="9">
        <v>118</v>
      </c>
      <c r="B119" s="9" t="s">
        <v>9</v>
      </c>
      <c r="C119" s="9">
        <v>1918</v>
      </c>
      <c r="D119" s="10">
        <v>45663</v>
      </c>
      <c r="E119" s="13" t="str">
        <f>+HYPERLINK("http://trademark.i-assist.jp/data/china/image_1918th/80960601.pdf","80960601")</f>
        <v>80960601</v>
      </c>
      <c r="F119" s="9" t="s">
        <v>413</v>
      </c>
      <c r="G119" s="9" t="s">
        <v>414</v>
      </c>
      <c r="H119" s="9" t="s">
        <v>415</v>
      </c>
      <c r="I119" s="10">
        <v>45553</v>
      </c>
    </row>
    <row r="120" spans="1:9" x14ac:dyDescent="0.15">
      <c r="A120" s="9">
        <v>119</v>
      </c>
      <c r="B120" s="9" t="s">
        <v>9</v>
      </c>
      <c r="C120" s="9">
        <v>1918</v>
      </c>
      <c r="D120" s="10">
        <v>45663</v>
      </c>
      <c r="E120" s="13" t="str">
        <f>+HYPERLINK("http://trademark.i-assist.jp/data/china/image_1918th/80966165.pdf","80966165")</f>
        <v>80966165</v>
      </c>
      <c r="F120" s="9" t="s">
        <v>416</v>
      </c>
      <c r="G120" s="9" t="s">
        <v>417</v>
      </c>
      <c r="H120" s="9" t="s">
        <v>418</v>
      </c>
      <c r="I120" s="10">
        <v>45553</v>
      </c>
    </row>
    <row r="121" spans="1:9" x14ac:dyDescent="0.15">
      <c r="A121" s="9">
        <v>120</v>
      </c>
      <c r="B121" s="9" t="s">
        <v>9</v>
      </c>
      <c r="C121" s="9">
        <v>1918</v>
      </c>
      <c r="D121" s="10">
        <v>45663</v>
      </c>
      <c r="E121" s="13" t="str">
        <f>+HYPERLINK("http://trademark.i-assist.jp/data/china/image_1918th/80968234.pdf","80968234")</f>
        <v>80968234</v>
      </c>
      <c r="F121" s="9" t="s">
        <v>419</v>
      </c>
      <c r="G121" s="12" t="s">
        <v>420</v>
      </c>
      <c r="H121" s="9" t="s">
        <v>421</v>
      </c>
      <c r="I121" s="10">
        <v>45553</v>
      </c>
    </row>
    <row r="122" spans="1:9" x14ac:dyDescent="0.15">
      <c r="A122" s="9">
        <v>121</v>
      </c>
      <c r="B122" s="9" t="s">
        <v>9</v>
      </c>
      <c r="C122" s="9">
        <v>1918</v>
      </c>
      <c r="D122" s="10">
        <v>45663</v>
      </c>
      <c r="E122" s="13" t="str">
        <f>+HYPERLINK("http://trademark.i-assist.jp/data/china/image_1918th/80969173.pdf","80969173")</f>
        <v>80969173</v>
      </c>
      <c r="F122" s="9" t="s">
        <v>422</v>
      </c>
      <c r="G122" s="9" t="s">
        <v>423</v>
      </c>
      <c r="H122" s="9" t="s">
        <v>424</v>
      </c>
      <c r="I122" s="10">
        <v>45553</v>
      </c>
    </row>
    <row r="123" spans="1:9" x14ac:dyDescent="0.15">
      <c r="A123" s="9">
        <v>122</v>
      </c>
      <c r="B123" s="9" t="s">
        <v>9</v>
      </c>
      <c r="C123" s="9">
        <v>1918</v>
      </c>
      <c r="D123" s="10">
        <v>45663</v>
      </c>
      <c r="E123" s="13" t="str">
        <f>+HYPERLINK("http://trademark.i-assist.jp/data/china/image_1918th/80971069.pdf","80971069")</f>
        <v>80971069</v>
      </c>
      <c r="F123" s="9" t="s">
        <v>425</v>
      </c>
      <c r="G123" s="9" t="s">
        <v>426</v>
      </c>
      <c r="H123" s="9" t="s">
        <v>427</v>
      </c>
      <c r="I123" s="10">
        <v>45553</v>
      </c>
    </row>
    <row r="124" spans="1:9" x14ac:dyDescent="0.15">
      <c r="A124" s="9">
        <v>123</v>
      </c>
      <c r="B124" s="9" t="s">
        <v>9</v>
      </c>
      <c r="C124" s="9">
        <v>1918</v>
      </c>
      <c r="D124" s="10">
        <v>45663</v>
      </c>
      <c r="E124" s="13" t="str">
        <f>+HYPERLINK("http://trademark.i-assist.jp/data/china/image_1918th/80971099.pdf","80971099")</f>
        <v>80971099</v>
      </c>
      <c r="F124" s="9" t="s">
        <v>428</v>
      </c>
      <c r="G124" s="9" t="s">
        <v>429</v>
      </c>
      <c r="H124" s="9" t="s">
        <v>430</v>
      </c>
      <c r="I124" s="10">
        <v>45553</v>
      </c>
    </row>
    <row r="125" spans="1:9" x14ac:dyDescent="0.15">
      <c r="A125" s="9">
        <v>124</v>
      </c>
      <c r="B125" s="9" t="s">
        <v>9</v>
      </c>
      <c r="C125" s="9">
        <v>1918</v>
      </c>
      <c r="D125" s="10">
        <v>45663</v>
      </c>
      <c r="E125" s="13" t="str">
        <f>+HYPERLINK("http://trademark.i-assist.jp/data/china/image_1918th/80971195.pdf","80971195")</f>
        <v>80971195</v>
      </c>
      <c r="F125" s="9" t="s">
        <v>431</v>
      </c>
      <c r="G125" s="12" t="s">
        <v>420</v>
      </c>
      <c r="H125" s="9" t="s">
        <v>432</v>
      </c>
      <c r="I125" s="10">
        <v>45553</v>
      </c>
    </row>
    <row r="126" spans="1:9" x14ac:dyDescent="0.15">
      <c r="A126" s="9">
        <v>125</v>
      </c>
      <c r="B126" s="9" t="s">
        <v>9</v>
      </c>
      <c r="C126" s="9">
        <v>1918</v>
      </c>
      <c r="D126" s="10">
        <v>45663</v>
      </c>
      <c r="E126" s="13" t="str">
        <f>+HYPERLINK("http://trademark.i-assist.jp/data/china/image_1918th/80971281.pdf","80971281")</f>
        <v>80971281</v>
      </c>
      <c r="F126" s="9" t="s">
        <v>433</v>
      </c>
      <c r="G126" s="9" t="s">
        <v>434</v>
      </c>
      <c r="H126" s="9" t="s">
        <v>435</v>
      </c>
      <c r="I126" s="10">
        <v>45553</v>
      </c>
    </row>
    <row r="127" spans="1:9" x14ac:dyDescent="0.15">
      <c r="A127" s="9">
        <v>126</v>
      </c>
      <c r="B127" s="9" t="s">
        <v>9</v>
      </c>
      <c r="C127" s="9">
        <v>1918</v>
      </c>
      <c r="D127" s="10">
        <v>45663</v>
      </c>
      <c r="E127" s="13" t="str">
        <f>+HYPERLINK("http://trademark.i-assist.jp/data/china/image_1918th/80972746.pdf","80972746")</f>
        <v>80972746</v>
      </c>
      <c r="F127" s="9" t="s">
        <v>436</v>
      </c>
      <c r="G127" s="9" t="s">
        <v>437</v>
      </c>
      <c r="H127" s="12" t="s">
        <v>438</v>
      </c>
      <c r="I127" s="10">
        <v>45553</v>
      </c>
    </row>
    <row r="128" spans="1:9" x14ac:dyDescent="0.15">
      <c r="A128" s="9">
        <v>127</v>
      </c>
      <c r="B128" s="9" t="s">
        <v>9</v>
      </c>
      <c r="C128" s="9">
        <v>1918</v>
      </c>
      <c r="D128" s="10">
        <v>45663</v>
      </c>
      <c r="E128" s="13" t="str">
        <f>+HYPERLINK("http://trademark.i-assist.jp/data/china/image_1918th/80973178.pdf","80973178")</f>
        <v>80973178</v>
      </c>
      <c r="F128" s="9" t="s">
        <v>439</v>
      </c>
      <c r="G128" s="12" t="s">
        <v>440</v>
      </c>
      <c r="H128" s="12" t="s">
        <v>441</v>
      </c>
      <c r="I128" s="10">
        <v>45553</v>
      </c>
    </row>
    <row r="129" spans="1:9" x14ac:dyDescent="0.15">
      <c r="A129" s="9">
        <v>128</v>
      </c>
      <c r="B129" s="9" t="s">
        <v>9</v>
      </c>
      <c r="C129" s="9">
        <v>1918</v>
      </c>
      <c r="D129" s="10">
        <v>45663</v>
      </c>
      <c r="E129" s="13" t="str">
        <f>+HYPERLINK("http://trademark.i-assist.jp/data/china/image_1918th/80973793.pdf","80973793")</f>
        <v>80973793</v>
      </c>
      <c r="F129" s="9" t="s">
        <v>442</v>
      </c>
      <c r="G129" s="9" t="s">
        <v>443</v>
      </c>
      <c r="H129" s="9" t="s">
        <v>444</v>
      </c>
      <c r="I129" s="10">
        <v>45553</v>
      </c>
    </row>
    <row r="130" spans="1:9" x14ac:dyDescent="0.15">
      <c r="A130" s="9">
        <v>129</v>
      </c>
      <c r="B130" s="9" t="s">
        <v>9</v>
      </c>
      <c r="C130" s="9">
        <v>1918</v>
      </c>
      <c r="D130" s="10">
        <v>45663</v>
      </c>
      <c r="E130" s="13" t="str">
        <f>+HYPERLINK("http://trademark.i-assist.jp/data/china/image_1918th/80975738.pdf","80975738")</f>
        <v>80975738</v>
      </c>
      <c r="F130" s="9" t="s">
        <v>445</v>
      </c>
      <c r="G130" s="9" t="s">
        <v>446</v>
      </c>
      <c r="H130" s="9" t="s">
        <v>447</v>
      </c>
      <c r="I130" s="10">
        <v>45553</v>
      </c>
    </row>
    <row r="131" spans="1:9" x14ac:dyDescent="0.15">
      <c r="A131" s="9">
        <v>130</v>
      </c>
      <c r="B131" s="9" t="s">
        <v>9</v>
      </c>
      <c r="C131" s="9">
        <v>1918</v>
      </c>
      <c r="D131" s="10">
        <v>45663</v>
      </c>
      <c r="E131" s="13" t="str">
        <f>+HYPERLINK("http://trademark.i-assist.jp/data/china/image_1918th/80976596.pdf","80976596")</f>
        <v>80976596</v>
      </c>
      <c r="F131" s="9" t="s">
        <v>448</v>
      </c>
      <c r="G131" s="12" t="s">
        <v>449</v>
      </c>
      <c r="H131" s="12" t="s">
        <v>450</v>
      </c>
      <c r="I131" s="10">
        <v>45553</v>
      </c>
    </row>
    <row r="132" spans="1:9" x14ac:dyDescent="0.15">
      <c r="A132" s="9">
        <v>131</v>
      </c>
      <c r="B132" s="9" t="s">
        <v>9</v>
      </c>
      <c r="C132" s="9">
        <v>1918</v>
      </c>
      <c r="D132" s="10">
        <v>45663</v>
      </c>
      <c r="E132" s="13" t="str">
        <f>+HYPERLINK("http://trademark.i-assist.jp/data/china/image_1918th/80977388.pdf","80977388")</f>
        <v>80977388</v>
      </c>
      <c r="F132" s="9" t="s">
        <v>451</v>
      </c>
      <c r="G132" s="9" t="s">
        <v>452</v>
      </c>
      <c r="H132" s="9" t="s">
        <v>453</v>
      </c>
      <c r="I132" s="10">
        <v>45553</v>
      </c>
    </row>
    <row r="133" spans="1:9" x14ac:dyDescent="0.15">
      <c r="A133" s="9">
        <v>132</v>
      </c>
      <c r="B133" s="9" t="s">
        <v>9</v>
      </c>
      <c r="C133" s="9">
        <v>1918</v>
      </c>
      <c r="D133" s="10">
        <v>45663</v>
      </c>
      <c r="E133" s="13" t="str">
        <f>+HYPERLINK("http://trademark.i-assist.jp/data/china/image_1918th/80979283.pdf","80979283")</f>
        <v>80979283</v>
      </c>
      <c r="F133" s="12" t="s">
        <v>454</v>
      </c>
      <c r="G133" s="9" t="s">
        <v>411</v>
      </c>
      <c r="H133" s="9" t="s">
        <v>455</v>
      </c>
      <c r="I133" s="10">
        <v>45553</v>
      </c>
    </row>
    <row r="134" spans="1:9" x14ac:dyDescent="0.15">
      <c r="A134" s="9">
        <v>133</v>
      </c>
      <c r="B134" s="9" t="s">
        <v>9</v>
      </c>
      <c r="C134" s="9">
        <v>1918</v>
      </c>
      <c r="D134" s="10">
        <v>45663</v>
      </c>
      <c r="E134" s="13" t="str">
        <f>+HYPERLINK("http://trademark.i-assist.jp/data/china/image_1918th/80980053.pdf","80980053")</f>
        <v>80980053</v>
      </c>
      <c r="F134" s="11" t="s">
        <v>456</v>
      </c>
      <c r="G134" s="9" t="s">
        <v>457</v>
      </c>
      <c r="H134" s="9" t="s">
        <v>458</v>
      </c>
      <c r="I134" s="10">
        <v>45553</v>
      </c>
    </row>
    <row r="135" spans="1:9" x14ac:dyDescent="0.15">
      <c r="A135" s="9">
        <v>134</v>
      </c>
      <c r="B135" s="9" t="s">
        <v>9</v>
      </c>
      <c r="C135" s="9">
        <v>1918</v>
      </c>
      <c r="D135" s="10">
        <v>45663</v>
      </c>
      <c r="E135" s="13" t="str">
        <f>+HYPERLINK("http://trademark.i-assist.jp/data/china/image_1918th/80980526.pdf","80980526")</f>
        <v>80980526</v>
      </c>
      <c r="F135" s="9" t="s">
        <v>459</v>
      </c>
      <c r="G135" s="9" t="s">
        <v>460</v>
      </c>
      <c r="H135" s="9" t="s">
        <v>461</v>
      </c>
      <c r="I135" s="10">
        <v>45553</v>
      </c>
    </row>
    <row r="136" spans="1:9" x14ac:dyDescent="0.15">
      <c r="A136" s="9">
        <v>135</v>
      </c>
      <c r="B136" s="9" t="s">
        <v>9</v>
      </c>
      <c r="C136" s="9">
        <v>1918</v>
      </c>
      <c r="D136" s="10">
        <v>45663</v>
      </c>
      <c r="E136" s="13" t="str">
        <f>+HYPERLINK("http://trademark.i-assist.jp/data/china/image_1918th/80981570.pdf","80981570")</f>
        <v>80981570</v>
      </c>
      <c r="F136" s="9" t="s">
        <v>462</v>
      </c>
      <c r="G136" s="9" t="s">
        <v>463</v>
      </c>
      <c r="H136" s="9" t="s">
        <v>464</v>
      </c>
      <c r="I136" s="10">
        <v>45554</v>
      </c>
    </row>
    <row r="137" spans="1:9" x14ac:dyDescent="0.15">
      <c r="A137" s="9">
        <v>136</v>
      </c>
      <c r="B137" s="9" t="s">
        <v>9</v>
      </c>
      <c r="C137" s="9">
        <v>1918</v>
      </c>
      <c r="D137" s="10">
        <v>45663</v>
      </c>
      <c r="E137" s="13" t="str">
        <f>+HYPERLINK("http://trademark.i-assist.jp/data/china/image_1918th/80982620.pdf","80982620")</f>
        <v>80982620</v>
      </c>
      <c r="F137" s="9" t="s">
        <v>465</v>
      </c>
      <c r="G137" s="9" t="s">
        <v>466</v>
      </c>
      <c r="H137" s="9" t="s">
        <v>467</v>
      </c>
      <c r="I137" s="10">
        <v>45554</v>
      </c>
    </row>
    <row r="138" spans="1:9" x14ac:dyDescent="0.15">
      <c r="A138" s="9">
        <v>137</v>
      </c>
      <c r="B138" s="9" t="s">
        <v>9</v>
      </c>
      <c r="C138" s="9">
        <v>1918</v>
      </c>
      <c r="D138" s="10">
        <v>45663</v>
      </c>
      <c r="E138" s="13" t="str">
        <f>+HYPERLINK("http://trademark.i-assist.jp/data/china/image_1918th/80983190.pdf","80983190")</f>
        <v>80983190</v>
      </c>
      <c r="F138" s="9" t="s">
        <v>468</v>
      </c>
      <c r="G138" s="12" t="s">
        <v>469</v>
      </c>
      <c r="H138" s="12" t="s">
        <v>470</v>
      </c>
      <c r="I138" s="10">
        <v>45554</v>
      </c>
    </row>
    <row r="139" spans="1:9" x14ac:dyDescent="0.15">
      <c r="A139" s="9">
        <v>138</v>
      </c>
      <c r="B139" s="9" t="s">
        <v>9</v>
      </c>
      <c r="C139" s="9">
        <v>1918</v>
      </c>
      <c r="D139" s="10">
        <v>45663</v>
      </c>
      <c r="E139" s="13" t="str">
        <f>+HYPERLINK("http://trademark.i-assist.jp/data/china/image_1918th/80983552.pdf","80983552")</f>
        <v>80983552</v>
      </c>
      <c r="F139" s="12" t="s">
        <v>471</v>
      </c>
      <c r="G139" s="12" t="s">
        <v>472</v>
      </c>
      <c r="H139" s="9" t="s">
        <v>473</v>
      </c>
      <c r="I139" s="10">
        <v>45554</v>
      </c>
    </row>
    <row r="140" spans="1:9" x14ac:dyDescent="0.15">
      <c r="A140" s="9">
        <v>139</v>
      </c>
      <c r="B140" s="9" t="s">
        <v>9</v>
      </c>
      <c r="C140" s="9">
        <v>1918</v>
      </c>
      <c r="D140" s="10">
        <v>45663</v>
      </c>
      <c r="E140" s="13" t="str">
        <f>+HYPERLINK("http://trademark.i-assist.jp/data/china/image_1918th/80983756.pdf","80983756")</f>
        <v>80983756</v>
      </c>
      <c r="F140" s="9" t="s">
        <v>474</v>
      </c>
      <c r="G140" s="12" t="s">
        <v>475</v>
      </c>
      <c r="H140" s="9" t="s">
        <v>476</v>
      </c>
      <c r="I140" s="10">
        <v>45554</v>
      </c>
    </row>
    <row r="141" spans="1:9" x14ac:dyDescent="0.15">
      <c r="A141" s="9">
        <v>140</v>
      </c>
      <c r="B141" s="9" t="s">
        <v>9</v>
      </c>
      <c r="C141" s="9">
        <v>1918</v>
      </c>
      <c r="D141" s="10">
        <v>45663</v>
      </c>
      <c r="E141" s="13" t="str">
        <f>+HYPERLINK("http://trademark.i-assist.jp/data/china/image_1918th/80985672.pdf","80985672")</f>
        <v>80985672</v>
      </c>
      <c r="F141" s="9" t="s">
        <v>477</v>
      </c>
      <c r="G141" s="9" t="s">
        <v>478</v>
      </c>
      <c r="H141" s="9" t="s">
        <v>479</v>
      </c>
      <c r="I141" s="10">
        <v>45554</v>
      </c>
    </row>
    <row r="142" spans="1:9" x14ac:dyDescent="0.15">
      <c r="A142" s="9">
        <v>141</v>
      </c>
      <c r="B142" s="9" t="s">
        <v>9</v>
      </c>
      <c r="C142" s="9">
        <v>1918</v>
      </c>
      <c r="D142" s="10">
        <v>45663</v>
      </c>
      <c r="E142" s="13" t="str">
        <f>+HYPERLINK("http://trademark.i-assist.jp/data/china/image_1918th/80985961.pdf","80985961")</f>
        <v>80985961</v>
      </c>
      <c r="F142" s="9" t="s">
        <v>480</v>
      </c>
      <c r="G142" s="9" t="s">
        <v>481</v>
      </c>
      <c r="H142" s="9" t="s">
        <v>482</v>
      </c>
      <c r="I142" s="10">
        <v>45554</v>
      </c>
    </row>
    <row r="143" spans="1:9" x14ac:dyDescent="0.15">
      <c r="A143" s="9">
        <v>142</v>
      </c>
      <c r="B143" s="9" t="s">
        <v>9</v>
      </c>
      <c r="C143" s="9">
        <v>1918</v>
      </c>
      <c r="D143" s="10">
        <v>45663</v>
      </c>
      <c r="E143" s="13" t="str">
        <f>+HYPERLINK("http://trademark.i-assist.jp/data/china/image_1918th/80986232.pdf","80986232")</f>
        <v>80986232</v>
      </c>
      <c r="F143" s="12" t="s">
        <v>483</v>
      </c>
      <c r="G143" s="12" t="s">
        <v>484</v>
      </c>
      <c r="H143" s="9" t="s">
        <v>485</v>
      </c>
      <c r="I143" s="10">
        <v>45554</v>
      </c>
    </row>
    <row r="144" spans="1:9" x14ac:dyDescent="0.15">
      <c r="A144" s="9">
        <v>143</v>
      </c>
      <c r="B144" s="9" t="s">
        <v>9</v>
      </c>
      <c r="C144" s="9">
        <v>1918</v>
      </c>
      <c r="D144" s="10">
        <v>45663</v>
      </c>
      <c r="E144" s="13" t="str">
        <f>+HYPERLINK("http://trademark.i-assist.jp/data/china/image_1918th/80987099.pdf","80987099")</f>
        <v>80987099</v>
      </c>
      <c r="F144" s="9" t="s">
        <v>486</v>
      </c>
      <c r="G144" s="12" t="s">
        <v>472</v>
      </c>
      <c r="H144" s="9" t="s">
        <v>487</v>
      </c>
      <c r="I144" s="10">
        <v>45554</v>
      </c>
    </row>
    <row r="145" spans="1:9" x14ac:dyDescent="0.15">
      <c r="A145" s="9">
        <v>144</v>
      </c>
      <c r="B145" s="9" t="s">
        <v>9</v>
      </c>
      <c r="C145" s="9">
        <v>1918</v>
      </c>
      <c r="D145" s="10">
        <v>45663</v>
      </c>
      <c r="E145" s="13" t="str">
        <f>+HYPERLINK("http://trademark.i-assist.jp/data/china/image_1918th/80987110.pdf","80987110")</f>
        <v>80987110</v>
      </c>
      <c r="F145" s="9" t="s">
        <v>488</v>
      </c>
      <c r="G145" s="12" t="s">
        <v>472</v>
      </c>
      <c r="H145" s="9" t="s">
        <v>489</v>
      </c>
      <c r="I145" s="10">
        <v>45554</v>
      </c>
    </row>
    <row r="146" spans="1:9" x14ac:dyDescent="0.15">
      <c r="A146" s="9">
        <v>145</v>
      </c>
      <c r="B146" s="9" t="s">
        <v>9</v>
      </c>
      <c r="C146" s="9">
        <v>1918</v>
      </c>
      <c r="D146" s="10">
        <v>45663</v>
      </c>
      <c r="E146" s="13" t="str">
        <f>+HYPERLINK("http://trademark.i-assist.jp/data/china/image_1918th/80988472.pdf","80988472")</f>
        <v>80988472</v>
      </c>
      <c r="F146" s="9" t="s">
        <v>490</v>
      </c>
      <c r="G146" s="9" t="s">
        <v>491</v>
      </c>
      <c r="H146" s="9" t="s">
        <v>492</v>
      </c>
      <c r="I146" s="10">
        <v>45554</v>
      </c>
    </row>
    <row r="147" spans="1:9" x14ac:dyDescent="0.15">
      <c r="A147" s="9">
        <v>146</v>
      </c>
      <c r="B147" s="9" t="s">
        <v>9</v>
      </c>
      <c r="C147" s="9">
        <v>1918</v>
      </c>
      <c r="D147" s="10">
        <v>45663</v>
      </c>
      <c r="E147" s="13" t="str">
        <f>+HYPERLINK("http://trademark.i-assist.jp/data/china/image_1918th/80988825.pdf","80988825")</f>
        <v>80988825</v>
      </c>
      <c r="F147" s="9" t="s">
        <v>493</v>
      </c>
      <c r="G147" s="12" t="s">
        <v>494</v>
      </c>
      <c r="H147" s="9" t="s">
        <v>495</v>
      </c>
      <c r="I147" s="10">
        <v>45554</v>
      </c>
    </row>
    <row r="148" spans="1:9" x14ac:dyDescent="0.15">
      <c r="A148" s="9">
        <v>147</v>
      </c>
      <c r="B148" s="9" t="s">
        <v>9</v>
      </c>
      <c r="C148" s="9">
        <v>1918</v>
      </c>
      <c r="D148" s="10">
        <v>45663</v>
      </c>
      <c r="E148" s="13" t="str">
        <f>+HYPERLINK("http://trademark.i-assist.jp/data/china/image_1918th/80988992.pdf","80988992")</f>
        <v>80988992</v>
      </c>
      <c r="F148" s="9" t="s">
        <v>496</v>
      </c>
      <c r="G148" s="12" t="s">
        <v>497</v>
      </c>
      <c r="H148" s="9" t="s">
        <v>498</v>
      </c>
      <c r="I148" s="10">
        <v>45554</v>
      </c>
    </row>
    <row r="149" spans="1:9" x14ac:dyDescent="0.15">
      <c r="A149" s="9">
        <v>148</v>
      </c>
      <c r="B149" s="9" t="s">
        <v>9</v>
      </c>
      <c r="C149" s="9">
        <v>1918</v>
      </c>
      <c r="D149" s="10">
        <v>45663</v>
      </c>
      <c r="E149" s="13" t="str">
        <f>+HYPERLINK("http://trademark.i-assist.jp/data/china/image_1918th/80989403.pdf","80989403")</f>
        <v>80989403</v>
      </c>
      <c r="F149" s="12" t="s">
        <v>12</v>
      </c>
      <c r="G149" s="9" t="s">
        <v>499</v>
      </c>
      <c r="H149" s="9" t="s">
        <v>500</v>
      </c>
      <c r="I149" s="10">
        <v>45554</v>
      </c>
    </row>
    <row r="150" spans="1:9" x14ac:dyDescent="0.15">
      <c r="A150" s="9">
        <v>149</v>
      </c>
      <c r="B150" s="9" t="s">
        <v>9</v>
      </c>
      <c r="C150" s="9">
        <v>1918</v>
      </c>
      <c r="D150" s="10">
        <v>45663</v>
      </c>
      <c r="E150" s="13" t="str">
        <f>+HYPERLINK("http://trademark.i-assist.jp/data/china/image_1918th/80989963.pdf","80989963")</f>
        <v>80989963</v>
      </c>
      <c r="F150" s="9" t="s">
        <v>501</v>
      </c>
      <c r="G150" s="9" t="s">
        <v>502</v>
      </c>
      <c r="H150" s="9" t="s">
        <v>503</v>
      </c>
      <c r="I150" s="10">
        <v>45554</v>
      </c>
    </row>
    <row r="151" spans="1:9" x14ac:dyDescent="0.15">
      <c r="A151" s="9">
        <v>150</v>
      </c>
      <c r="B151" s="9" t="s">
        <v>9</v>
      </c>
      <c r="C151" s="9">
        <v>1918</v>
      </c>
      <c r="D151" s="10">
        <v>45663</v>
      </c>
      <c r="E151" s="13" t="str">
        <f>+HYPERLINK("http://trademark.i-assist.jp/data/china/image_1918th/80990080.pdf","80990080")</f>
        <v>80990080</v>
      </c>
      <c r="F151" s="9" t="s">
        <v>504</v>
      </c>
      <c r="G151" s="9" t="s">
        <v>505</v>
      </c>
      <c r="H151" s="9" t="s">
        <v>506</v>
      </c>
      <c r="I151" s="10">
        <v>45554</v>
      </c>
    </row>
    <row r="152" spans="1:9" x14ac:dyDescent="0.15">
      <c r="A152" s="9">
        <v>151</v>
      </c>
      <c r="B152" s="9" t="s">
        <v>9</v>
      </c>
      <c r="C152" s="9">
        <v>1918</v>
      </c>
      <c r="D152" s="10">
        <v>45663</v>
      </c>
      <c r="E152" s="13" t="str">
        <f>+HYPERLINK("http://trademark.i-assist.jp/data/china/image_1918th/80990330.pdf","80990330")</f>
        <v>80990330</v>
      </c>
      <c r="F152" s="9" t="s">
        <v>507</v>
      </c>
      <c r="G152" s="9" t="s">
        <v>508</v>
      </c>
      <c r="H152" s="9" t="s">
        <v>509</v>
      </c>
      <c r="I152" s="10">
        <v>45554</v>
      </c>
    </row>
    <row r="153" spans="1:9" x14ac:dyDescent="0.15">
      <c r="A153" s="9">
        <v>152</v>
      </c>
      <c r="B153" s="9" t="s">
        <v>9</v>
      </c>
      <c r="C153" s="9">
        <v>1918</v>
      </c>
      <c r="D153" s="10">
        <v>45663</v>
      </c>
      <c r="E153" s="13" t="str">
        <f>+HYPERLINK("http://trademark.i-assist.jp/data/china/image_1918th/80992980.pdf","80992980")</f>
        <v>80992980</v>
      </c>
      <c r="F153" s="12" t="s">
        <v>510</v>
      </c>
      <c r="G153" s="12" t="s">
        <v>472</v>
      </c>
      <c r="H153" s="9" t="s">
        <v>511</v>
      </c>
      <c r="I153" s="10">
        <v>45554</v>
      </c>
    </row>
    <row r="154" spans="1:9" x14ac:dyDescent="0.15">
      <c r="A154" s="9">
        <v>153</v>
      </c>
      <c r="B154" s="9" t="s">
        <v>9</v>
      </c>
      <c r="C154" s="9">
        <v>1918</v>
      </c>
      <c r="D154" s="10">
        <v>45663</v>
      </c>
      <c r="E154" s="13" t="str">
        <f>+HYPERLINK("http://trademark.i-assist.jp/data/china/image_1918th/80992988.pdf","80992988")</f>
        <v>80992988</v>
      </c>
      <c r="F154" s="12" t="s">
        <v>512</v>
      </c>
      <c r="G154" s="12" t="s">
        <v>472</v>
      </c>
      <c r="H154" s="9" t="s">
        <v>513</v>
      </c>
      <c r="I154" s="10">
        <v>45554</v>
      </c>
    </row>
    <row r="155" spans="1:9" x14ac:dyDescent="0.15">
      <c r="A155" s="9">
        <v>154</v>
      </c>
      <c r="B155" s="9" t="s">
        <v>9</v>
      </c>
      <c r="C155" s="9">
        <v>1918</v>
      </c>
      <c r="D155" s="10">
        <v>45663</v>
      </c>
      <c r="E155" s="13" t="str">
        <f>+HYPERLINK("http://trademark.i-assist.jp/data/china/image_1918th/80992996.pdf","80992996")</f>
        <v>80992996</v>
      </c>
      <c r="F155" s="12" t="s">
        <v>514</v>
      </c>
      <c r="G155" s="12" t="s">
        <v>472</v>
      </c>
      <c r="H155" s="9" t="s">
        <v>515</v>
      </c>
      <c r="I155" s="10">
        <v>45554</v>
      </c>
    </row>
    <row r="156" spans="1:9" x14ac:dyDescent="0.15">
      <c r="A156" s="9">
        <v>155</v>
      </c>
      <c r="B156" s="9" t="s">
        <v>9</v>
      </c>
      <c r="C156" s="9">
        <v>1918</v>
      </c>
      <c r="D156" s="10">
        <v>45663</v>
      </c>
      <c r="E156" s="13" t="str">
        <f>+HYPERLINK("http://trademark.i-assist.jp/data/china/image_1918th/80993361.pdf","80993361")</f>
        <v>80993361</v>
      </c>
      <c r="F156" s="9" t="s">
        <v>516</v>
      </c>
      <c r="G156" s="12" t="s">
        <v>517</v>
      </c>
      <c r="H156" s="9" t="s">
        <v>518</v>
      </c>
      <c r="I156" s="10">
        <v>45554</v>
      </c>
    </row>
    <row r="157" spans="1:9" x14ac:dyDescent="0.15">
      <c r="A157" s="9">
        <v>156</v>
      </c>
      <c r="B157" s="9" t="s">
        <v>9</v>
      </c>
      <c r="C157" s="9">
        <v>1918</v>
      </c>
      <c r="D157" s="10">
        <v>45663</v>
      </c>
      <c r="E157" s="13" t="str">
        <f>+HYPERLINK("http://trademark.i-assist.jp/data/china/image_1918th/80993865.pdf","80993865")</f>
        <v>80993865</v>
      </c>
      <c r="F157" s="9" t="s">
        <v>519</v>
      </c>
      <c r="G157" s="12" t="s">
        <v>520</v>
      </c>
      <c r="H157" s="9" t="s">
        <v>521</v>
      </c>
      <c r="I157" s="10">
        <v>45554</v>
      </c>
    </row>
    <row r="158" spans="1:9" x14ac:dyDescent="0.15">
      <c r="A158" s="9">
        <v>157</v>
      </c>
      <c r="B158" s="9" t="s">
        <v>9</v>
      </c>
      <c r="C158" s="9">
        <v>1918</v>
      </c>
      <c r="D158" s="10">
        <v>45663</v>
      </c>
      <c r="E158" s="13" t="str">
        <f>+HYPERLINK("http://trademark.i-assist.jp/data/china/image_1918th/80994280.pdf","80994280")</f>
        <v>80994280</v>
      </c>
      <c r="F158" s="12" t="s">
        <v>522</v>
      </c>
      <c r="G158" s="12" t="s">
        <v>523</v>
      </c>
      <c r="H158" s="9" t="s">
        <v>524</v>
      </c>
      <c r="I158" s="10">
        <v>45554</v>
      </c>
    </row>
    <row r="159" spans="1:9" x14ac:dyDescent="0.15">
      <c r="A159" s="9">
        <v>158</v>
      </c>
      <c r="B159" s="9" t="s">
        <v>9</v>
      </c>
      <c r="C159" s="9">
        <v>1918</v>
      </c>
      <c r="D159" s="10">
        <v>45663</v>
      </c>
      <c r="E159" s="13" t="str">
        <f>+HYPERLINK("http://trademark.i-assist.jp/data/china/image_1918th/80999242.pdf","80999242")</f>
        <v>80999242</v>
      </c>
      <c r="F159" s="9" t="s">
        <v>525</v>
      </c>
      <c r="G159" s="9" t="s">
        <v>526</v>
      </c>
      <c r="H159" s="9" t="s">
        <v>527</v>
      </c>
      <c r="I159" s="10">
        <v>45554</v>
      </c>
    </row>
    <row r="160" spans="1:9" x14ac:dyDescent="0.15">
      <c r="A160" s="9">
        <v>159</v>
      </c>
      <c r="B160" s="9" t="s">
        <v>9</v>
      </c>
      <c r="C160" s="9">
        <v>1918</v>
      </c>
      <c r="D160" s="10">
        <v>45663</v>
      </c>
      <c r="E160" s="13" t="str">
        <f>+HYPERLINK("http://trademark.i-assist.jp/data/china/image_1918th/80999927.pdf","80999927")</f>
        <v>80999927</v>
      </c>
      <c r="F160" s="9" t="s">
        <v>528</v>
      </c>
      <c r="G160" s="9" t="s">
        <v>529</v>
      </c>
      <c r="H160" s="9" t="s">
        <v>530</v>
      </c>
      <c r="I160" s="10">
        <v>45554</v>
      </c>
    </row>
    <row r="161" spans="1:9" x14ac:dyDescent="0.15">
      <c r="A161" s="9">
        <v>160</v>
      </c>
      <c r="B161" s="9" t="s">
        <v>9</v>
      </c>
      <c r="C161" s="9">
        <v>1918</v>
      </c>
      <c r="D161" s="10">
        <v>45663</v>
      </c>
      <c r="E161" s="13" t="str">
        <f>+HYPERLINK("http://trademark.i-assist.jp/data/china/image_1918th/81000019.pdf","81000019")</f>
        <v>81000019</v>
      </c>
      <c r="F161" s="9" t="s">
        <v>531</v>
      </c>
      <c r="G161" s="9" t="s">
        <v>532</v>
      </c>
      <c r="H161" s="9" t="s">
        <v>533</v>
      </c>
      <c r="I161" s="10">
        <v>45554</v>
      </c>
    </row>
    <row r="162" spans="1:9" x14ac:dyDescent="0.15">
      <c r="A162" s="9">
        <v>161</v>
      </c>
      <c r="B162" s="9" t="s">
        <v>9</v>
      </c>
      <c r="C162" s="9">
        <v>1918</v>
      </c>
      <c r="D162" s="10">
        <v>45663</v>
      </c>
      <c r="E162" s="13" t="str">
        <f>+HYPERLINK("http://trademark.i-assist.jp/data/china/image_1918th/81000665.pdf","81000665")</f>
        <v>81000665</v>
      </c>
      <c r="F162" s="9" t="s">
        <v>534</v>
      </c>
      <c r="G162" s="12" t="s">
        <v>535</v>
      </c>
      <c r="H162" s="9" t="s">
        <v>536</v>
      </c>
      <c r="I162" s="10">
        <v>45554</v>
      </c>
    </row>
    <row r="163" spans="1:9" x14ac:dyDescent="0.15">
      <c r="A163" s="9">
        <v>162</v>
      </c>
      <c r="B163" s="9" t="s">
        <v>9</v>
      </c>
      <c r="C163" s="9">
        <v>1918</v>
      </c>
      <c r="D163" s="10">
        <v>45663</v>
      </c>
      <c r="E163" s="13" t="str">
        <f>+HYPERLINK("http://trademark.i-assist.jp/data/china/image_1918th/81000666.pdf","81000666")</f>
        <v>81000666</v>
      </c>
      <c r="F163" s="9" t="s">
        <v>537</v>
      </c>
      <c r="G163" s="12" t="s">
        <v>472</v>
      </c>
      <c r="H163" s="9" t="s">
        <v>538</v>
      </c>
      <c r="I163" s="10">
        <v>45554</v>
      </c>
    </row>
    <row r="164" spans="1:9" x14ac:dyDescent="0.15">
      <c r="A164" s="9">
        <v>163</v>
      </c>
      <c r="B164" s="9" t="s">
        <v>9</v>
      </c>
      <c r="C164" s="9">
        <v>1918</v>
      </c>
      <c r="D164" s="10">
        <v>45663</v>
      </c>
      <c r="E164" s="13" t="str">
        <f>+HYPERLINK("http://trademark.i-assist.jp/data/china/image_1918th/81000675.pdf","81000675")</f>
        <v>81000675</v>
      </c>
      <c r="F164" s="9" t="s">
        <v>539</v>
      </c>
      <c r="G164" s="12" t="s">
        <v>472</v>
      </c>
      <c r="H164" s="9" t="s">
        <v>540</v>
      </c>
      <c r="I164" s="10">
        <v>45554</v>
      </c>
    </row>
    <row r="165" spans="1:9" x14ac:dyDescent="0.15">
      <c r="A165" s="9">
        <v>164</v>
      </c>
      <c r="B165" s="9" t="s">
        <v>9</v>
      </c>
      <c r="C165" s="9">
        <v>1918</v>
      </c>
      <c r="D165" s="10">
        <v>45663</v>
      </c>
      <c r="E165" s="13" t="str">
        <f>+HYPERLINK("http://trademark.i-assist.jp/data/china/image_1918th/81001403.pdf","81001403")</f>
        <v>81001403</v>
      </c>
      <c r="F165" s="9" t="s">
        <v>541</v>
      </c>
      <c r="G165" s="9" t="s">
        <v>55</v>
      </c>
      <c r="H165" s="12" t="s">
        <v>542</v>
      </c>
      <c r="I165" s="10">
        <v>45554</v>
      </c>
    </row>
    <row r="166" spans="1:9" x14ac:dyDescent="0.15">
      <c r="A166" s="9">
        <v>165</v>
      </c>
      <c r="B166" s="9" t="s">
        <v>9</v>
      </c>
      <c r="C166" s="9">
        <v>1918</v>
      </c>
      <c r="D166" s="10">
        <v>45663</v>
      </c>
      <c r="E166" s="13" t="str">
        <f>+HYPERLINK("http://trademark.i-assist.jp/data/china/image_1918th/81002837.pdf","81002837")</f>
        <v>81002837</v>
      </c>
      <c r="F166" s="9" t="s">
        <v>543</v>
      </c>
      <c r="G166" s="9" t="s">
        <v>544</v>
      </c>
      <c r="H166" s="9" t="s">
        <v>545</v>
      </c>
      <c r="I166" s="10">
        <v>45554</v>
      </c>
    </row>
    <row r="167" spans="1:9" x14ac:dyDescent="0.15">
      <c r="A167" s="9">
        <v>166</v>
      </c>
      <c r="B167" s="9" t="s">
        <v>9</v>
      </c>
      <c r="C167" s="9">
        <v>1918</v>
      </c>
      <c r="D167" s="10">
        <v>45663</v>
      </c>
      <c r="E167" s="13" t="str">
        <f>+HYPERLINK("http://trademark.i-assist.jp/data/china/image_1918th/81003847.pdf","81003847")</f>
        <v>81003847</v>
      </c>
      <c r="F167" s="12" t="s">
        <v>546</v>
      </c>
      <c r="G167" s="9" t="s">
        <v>547</v>
      </c>
      <c r="H167" s="9" t="s">
        <v>548</v>
      </c>
      <c r="I167" s="10">
        <v>45554</v>
      </c>
    </row>
    <row r="168" spans="1:9" x14ac:dyDescent="0.15">
      <c r="A168" s="9">
        <v>167</v>
      </c>
      <c r="B168" s="9" t="s">
        <v>9</v>
      </c>
      <c r="C168" s="9">
        <v>1918</v>
      </c>
      <c r="D168" s="10">
        <v>45663</v>
      </c>
      <c r="E168" s="13" t="str">
        <f>+HYPERLINK("http://trademark.i-assist.jp/data/china/image_1918th/81004796.pdf","81004796")</f>
        <v>81004796</v>
      </c>
      <c r="F168" s="12" t="s">
        <v>549</v>
      </c>
      <c r="G168" s="12" t="s">
        <v>550</v>
      </c>
      <c r="H168" s="9" t="s">
        <v>551</v>
      </c>
      <c r="I168" s="10">
        <v>45554</v>
      </c>
    </row>
    <row r="169" spans="1:9" x14ac:dyDescent="0.15">
      <c r="A169" s="9">
        <v>168</v>
      </c>
      <c r="B169" s="9" t="s">
        <v>9</v>
      </c>
      <c r="C169" s="9">
        <v>1918</v>
      </c>
      <c r="D169" s="10">
        <v>45663</v>
      </c>
      <c r="E169" s="13" t="str">
        <f>+HYPERLINK("http://trademark.i-assist.jp/data/china/image_1918th/81005059.pdf","81005059")</f>
        <v>81005059</v>
      </c>
      <c r="F169" s="9" t="s">
        <v>552</v>
      </c>
      <c r="G169" s="9" t="s">
        <v>553</v>
      </c>
      <c r="H169" s="9" t="s">
        <v>10</v>
      </c>
      <c r="I169" s="10">
        <v>45554</v>
      </c>
    </row>
    <row r="170" spans="1:9" x14ac:dyDescent="0.15">
      <c r="A170" s="9">
        <v>169</v>
      </c>
      <c r="B170" s="9" t="s">
        <v>9</v>
      </c>
      <c r="C170" s="9">
        <v>1918</v>
      </c>
      <c r="D170" s="10">
        <v>45663</v>
      </c>
      <c r="E170" s="13" t="str">
        <f>+HYPERLINK("http://trademark.i-assist.jp/data/china/image_1918th/81006119.pdf","81006119")</f>
        <v>81006119</v>
      </c>
      <c r="F170" s="9" t="s">
        <v>554</v>
      </c>
      <c r="G170" s="9" t="s">
        <v>555</v>
      </c>
      <c r="H170" s="9" t="s">
        <v>556</v>
      </c>
      <c r="I170" s="10">
        <v>45555</v>
      </c>
    </row>
    <row r="171" spans="1:9" x14ac:dyDescent="0.15">
      <c r="A171" s="9">
        <v>170</v>
      </c>
      <c r="B171" s="9" t="s">
        <v>9</v>
      </c>
      <c r="C171" s="9">
        <v>1918</v>
      </c>
      <c r="D171" s="10">
        <v>45663</v>
      </c>
      <c r="E171" s="13" t="str">
        <f>+HYPERLINK("http://trademark.i-assist.jp/data/china/image_1918th/81006330.pdf","81006330")</f>
        <v>81006330</v>
      </c>
      <c r="F171" s="9" t="s">
        <v>557</v>
      </c>
      <c r="G171" s="9" t="s">
        <v>558</v>
      </c>
      <c r="H171" s="9" t="s">
        <v>559</v>
      </c>
      <c r="I171" s="10">
        <v>45555</v>
      </c>
    </row>
    <row r="172" spans="1:9" x14ac:dyDescent="0.15">
      <c r="A172" s="9">
        <v>171</v>
      </c>
      <c r="B172" s="9" t="s">
        <v>9</v>
      </c>
      <c r="C172" s="9">
        <v>1918</v>
      </c>
      <c r="D172" s="10">
        <v>45663</v>
      </c>
      <c r="E172" s="13" t="str">
        <f>+HYPERLINK("http://trademark.i-assist.jp/data/china/image_1918th/81009652.pdf","81009652")</f>
        <v>81009652</v>
      </c>
      <c r="F172" s="9" t="s">
        <v>560</v>
      </c>
      <c r="G172" s="9" t="s">
        <v>561</v>
      </c>
      <c r="H172" s="9" t="s">
        <v>562</v>
      </c>
      <c r="I172" s="10">
        <v>45555</v>
      </c>
    </row>
    <row r="173" spans="1:9" x14ac:dyDescent="0.15">
      <c r="A173" s="9">
        <v>172</v>
      </c>
      <c r="B173" s="9" t="s">
        <v>9</v>
      </c>
      <c r="C173" s="9">
        <v>1918</v>
      </c>
      <c r="D173" s="10">
        <v>45663</v>
      </c>
      <c r="E173" s="13" t="str">
        <f>+HYPERLINK("http://trademark.i-assist.jp/data/china/image_1918th/81012052.pdf","81012052")</f>
        <v>81012052</v>
      </c>
      <c r="F173" s="9" t="s">
        <v>563</v>
      </c>
      <c r="G173" s="9" t="s">
        <v>564</v>
      </c>
      <c r="H173" s="9" t="s">
        <v>565</v>
      </c>
      <c r="I173" s="10">
        <v>45555</v>
      </c>
    </row>
    <row r="174" spans="1:9" x14ac:dyDescent="0.15">
      <c r="A174" s="9">
        <v>173</v>
      </c>
      <c r="B174" s="9" t="s">
        <v>9</v>
      </c>
      <c r="C174" s="9">
        <v>1918</v>
      </c>
      <c r="D174" s="10">
        <v>45663</v>
      </c>
      <c r="E174" s="13" t="str">
        <f>+HYPERLINK("http://trademark.i-assist.jp/data/china/image_1918th/81012631.pdf","81012631")</f>
        <v>81012631</v>
      </c>
      <c r="F174" s="12" t="s">
        <v>566</v>
      </c>
      <c r="G174" s="9" t="s">
        <v>567</v>
      </c>
      <c r="H174" s="12" t="s">
        <v>568</v>
      </c>
      <c r="I174" s="10">
        <v>45555</v>
      </c>
    </row>
    <row r="175" spans="1:9" x14ac:dyDescent="0.15">
      <c r="A175" s="9">
        <v>174</v>
      </c>
      <c r="B175" s="9" t="s">
        <v>9</v>
      </c>
      <c r="C175" s="9">
        <v>1918</v>
      </c>
      <c r="D175" s="10">
        <v>45663</v>
      </c>
      <c r="E175" s="13" t="str">
        <f>+HYPERLINK("http://trademark.i-assist.jp/data/china/image_1918th/81012893.pdf","81012893")</f>
        <v>81012893</v>
      </c>
      <c r="F175" s="9" t="s">
        <v>569</v>
      </c>
      <c r="G175" s="9" t="s">
        <v>558</v>
      </c>
      <c r="H175" s="9" t="s">
        <v>570</v>
      </c>
      <c r="I175" s="10">
        <v>45555</v>
      </c>
    </row>
    <row r="176" spans="1:9" x14ac:dyDescent="0.15">
      <c r="A176" s="9">
        <v>175</v>
      </c>
      <c r="B176" s="9" t="s">
        <v>9</v>
      </c>
      <c r="C176" s="9">
        <v>1918</v>
      </c>
      <c r="D176" s="10">
        <v>45663</v>
      </c>
      <c r="E176" s="13" t="str">
        <f>+HYPERLINK("http://trademark.i-assist.jp/data/china/image_1918th/81014168.pdf","81014168")</f>
        <v>81014168</v>
      </c>
      <c r="F176" s="9" t="s">
        <v>571</v>
      </c>
      <c r="G176" s="9" t="s">
        <v>572</v>
      </c>
      <c r="H176" s="9" t="s">
        <v>573</v>
      </c>
      <c r="I176" s="10">
        <v>45555</v>
      </c>
    </row>
    <row r="177" spans="1:9" x14ac:dyDescent="0.15">
      <c r="A177" s="9">
        <v>176</v>
      </c>
      <c r="B177" s="9" t="s">
        <v>9</v>
      </c>
      <c r="C177" s="9">
        <v>1918</v>
      </c>
      <c r="D177" s="10">
        <v>45663</v>
      </c>
      <c r="E177" s="13" t="str">
        <f>+HYPERLINK("http://trademark.i-assist.jp/data/china/image_1918th/81019652.pdf","81019652")</f>
        <v>81019652</v>
      </c>
      <c r="F177" s="12" t="s">
        <v>12</v>
      </c>
      <c r="G177" s="9" t="s">
        <v>574</v>
      </c>
      <c r="H177" s="9" t="s">
        <v>575</v>
      </c>
      <c r="I177" s="10">
        <v>45555</v>
      </c>
    </row>
    <row r="178" spans="1:9" x14ac:dyDescent="0.15">
      <c r="A178" s="9">
        <v>177</v>
      </c>
      <c r="B178" s="9" t="s">
        <v>9</v>
      </c>
      <c r="C178" s="9">
        <v>1918</v>
      </c>
      <c r="D178" s="10">
        <v>45663</v>
      </c>
      <c r="E178" s="13" t="str">
        <f>+HYPERLINK("http://trademark.i-assist.jp/data/china/image_1918th/81020245.pdf","81020245")</f>
        <v>81020245</v>
      </c>
      <c r="F178" s="9" t="s">
        <v>576</v>
      </c>
      <c r="G178" s="9" t="s">
        <v>41</v>
      </c>
      <c r="H178" s="9" t="s">
        <v>577</v>
      </c>
      <c r="I178" s="10">
        <v>45555</v>
      </c>
    </row>
    <row r="179" spans="1:9" x14ac:dyDescent="0.15">
      <c r="A179" s="9">
        <v>178</v>
      </c>
      <c r="B179" s="9" t="s">
        <v>9</v>
      </c>
      <c r="C179" s="9">
        <v>1918</v>
      </c>
      <c r="D179" s="10">
        <v>45663</v>
      </c>
      <c r="E179" s="13" t="str">
        <f>+HYPERLINK("http://trademark.i-assist.jp/data/china/image_1918th/81022127.pdf","81022127")</f>
        <v>81022127</v>
      </c>
      <c r="F179" s="9" t="s">
        <v>578</v>
      </c>
      <c r="G179" s="12" t="s">
        <v>579</v>
      </c>
      <c r="H179" s="9" t="s">
        <v>580</v>
      </c>
      <c r="I179" s="10">
        <v>45555</v>
      </c>
    </row>
    <row r="180" spans="1:9" x14ac:dyDescent="0.15">
      <c r="A180" s="9">
        <v>179</v>
      </c>
      <c r="B180" s="9" t="s">
        <v>9</v>
      </c>
      <c r="C180" s="9">
        <v>1918</v>
      </c>
      <c r="D180" s="10">
        <v>45663</v>
      </c>
      <c r="E180" s="13" t="str">
        <f>+HYPERLINK("http://trademark.i-assist.jp/data/china/image_1918th/81022660.pdf","81022660")</f>
        <v>81022660</v>
      </c>
      <c r="F180" s="9" t="s">
        <v>581</v>
      </c>
      <c r="G180" s="9" t="s">
        <v>582</v>
      </c>
      <c r="H180" s="9" t="s">
        <v>583</v>
      </c>
      <c r="I180" s="10">
        <v>45555</v>
      </c>
    </row>
    <row r="181" spans="1:9" x14ac:dyDescent="0.15">
      <c r="A181" s="9">
        <v>180</v>
      </c>
      <c r="B181" s="9" t="s">
        <v>9</v>
      </c>
      <c r="C181" s="9">
        <v>1918</v>
      </c>
      <c r="D181" s="10">
        <v>45663</v>
      </c>
      <c r="E181" s="13" t="str">
        <f>+HYPERLINK("http://trademark.i-assist.jp/data/china/image_1918th/81022905.pdf","81022905")</f>
        <v>81022905</v>
      </c>
      <c r="F181" s="9" t="s">
        <v>584</v>
      </c>
      <c r="G181" s="9" t="s">
        <v>585</v>
      </c>
      <c r="H181" s="9" t="s">
        <v>586</v>
      </c>
      <c r="I181" s="10">
        <v>45555</v>
      </c>
    </row>
    <row r="182" spans="1:9" x14ac:dyDescent="0.15">
      <c r="A182" s="9">
        <v>181</v>
      </c>
      <c r="B182" s="9" t="s">
        <v>9</v>
      </c>
      <c r="C182" s="9">
        <v>1918</v>
      </c>
      <c r="D182" s="10">
        <v>45663</v>
      </c>
      <c r="E182" s="13" t="str">
        <f>+HYPERLINK("http://trademark.i-assist.jp/data/china/image_1918th/81024676.pdf","81024676")</f>
        <v>81024676</v>
      </c>
      <c r="F182" s="9" t="s">
        <v>587</v>
      </c>
      <c r="G182" s="9" t="s">
        <v>558</v>
      </c>
      <c r="H182" s="9" t="s">
        <v>588</v>
      </c>
      <c r="I182" s="10">
        <v>45555</v>
      </c>
    </row>
    <row r="183" spans="1:9" x14ac:dyDescent="0.15">
      <c r="A183" s="9">
        <v>182</v>
      </c>
      <c r="B183" s="9" t="s">
        <v>9</v>
      </c>
      <c r="C183" s="9">
        <v>1918</v>
      </c>
      <c r="D183" s="10">
        <v>45663</v>
      </c>
      <c r="E183" s="13" t="str">
        <f>+HYPERLINK("http://trademark.i-assist.jp/data/china/image_1918th/81026080.pdf","81026080")</f>
        <v>81026080</v>
      </c>
      <c r="F183" s="9" t="s">
        <v>589</v>
      </c>
      <c r="G183" s="9" t="s">
        <v>590</v>
      </c>
      <c r="H183" s="9" t="s">
        <v>591</v>
      </c>
      <c r="I183" s="10">
        <v>45555</v>
      </c>
    </row>
    <row r="184" spans="1:9" x14ac:dyDescent="0.15">
      <c r="A184" s="9">
        <v>183</v>
      </c>
      <c r="B184" s="9" t="s">
        <v>9</v>
      </c>
      <c r="C184" s="9">
        <v>1918</v>
      </c>
      <c r="D184" s="10">
        <v>45663</v>
      </c>
      <c r="E184" s="13" t="str">
        <f>+HYPERLINK("http://trademark.i-assist.jp/data/china/image_1918th/81029953.pdf","81029953")</f>
        <v>81029953</v>
      </c>
      <c r="F184" s="9" t="s">
        <v>592</v>
      </c>
      <c r="G184" s="9" t="s">
        <v>593</v>
      </c>
      <c r="H184" s="9" t="s">
        <v>594</v>
      </c>
      <c r="I184" s="10">
        <v>45555</v>
      </c>
    </row>
    <row r="185" spans="1:9" x14ac:dyDescent="0.15">
      <c r="A185" s="9">
        <v>184</v>
      </c>
      <c r="B185" s="9" t="s">
        <v>9</v>
      </c>
      <c r="C185" s="9">
        <v>1918</v>
      </c>
      <c r="D185" s="10">
        <v>45663</v>
      </c>
      <c r="E185" s="13" t="str">
        <f>+HYPERLINK("http://trademark.i-assist.jp/data/china/image_1918th/81031156.pdf","81031156")</f>
        <v>81031156</v>
      </c>
      <c r="F185" s="9" t="s">
        <v>595</v>
      </c>
      <c r="G185" s="9" t="s">
        <v>596</v>
      </c>
      <c r="H185" s="9" t="s">
        <v>597</v>
      </c>
      <c r="I185" s="10">
        <v>45555</v>
      </c>
    </row>
    <row r="186" spans="1:9" x14ac:dyDescent="0.15">
      <c r="A186" s="9">
        <v>185</v>
      </c>
      <c r="B186" s="9" t="s">
        <v>9</v>
      </c>
      <c r="C186" s="9">
        <v>1918</v>
      </c>
      <c r="D186" s="10">
        <v>45663</v>
      </c>
      <c r="E186" s="13" t="str">
        <f>+HYPERLINK("http://trademark.i-assist.jp/data/china/image_1918th/81032861.pdf","81032861")</f>
        <v>81032861</v>
      </c>
      <c r="F186" s="9" t="s">
        <v>598</v>
      </c>
      <c r="G186" s="9" t="s">
        <v>599</v>
      </c>
      <c r="H186" s="12" t="s">
        <v>600</v>
      </c>
      <c r="I186" s="10">
        <v>45556</v>
      </c>
    </row>
    <row r="187" spans="1:9" x14ac:dyDescent="0.15">
      <c r="A187" s="9">
        <v>186</v>
      </c>
      <c r="B187" s="9" t="s">
        <v>9</v>
      </c>
      <c r="C187" s="9">
        <v>1918</v>
      </c>
      <c r="D187" s="10">
        <v>45663</v>
      </c>
      <c r="E187" s="13" t="str">
        <f>+HYPERLINK("http://trademark.i-assist.jp/data/china/image_1918th/81035056.pdf","81035056")</f>
        <v>81035056</v>
      </c>
      <c r="F187" s="9" t="s">
        <v>601</v>
      </c>
      <c r="G187" s="9" t="s">
        <v>602</v>
      </c>
      <c r="H187" s="9" t="s">
        <v>603</v>
      </c>
      <c r="I187" s="10">
        <v>45556</v>
      </c>
    </row>
    <row r="188" spans="1:9" x14ac:dyDescent="0.15">
      <c r="A188" s="9">
        <v>187</v>
      </c>
      <c r="B188" s="9" t="s">
        <v>9</v>
      </c>
      <c r="C188" s="9">
        <v>1918</v>
      </c>
      <c r="D188" s="10">
        <v>45663</v>
      </c>
      <c r="E188" s="13" t="str">
        <f>+HYPERLINK("http://trademark.i-assist.jp/data/china/image_1918th/81035086.pdf","81035086")</f>
        <v>81035086</v>
      </c>
      <c r="F188" s="9" t="s">
        <v>604</v>
      </c>
      <c r="G188" s="9" t="s">
        <v>605</v>
      </c>
      <c r="H188" s="12" t="s">
        <v>606</v>
      </c>
      <c r="I188" s="10">
        <v>45556</v>
      </c>
    </row>
    <row r="189" spans="1:9" x14ac:dyDescent="0.15">
      <c r="A189" s="9">
        <v>188</v>
      </c>
      <c r="B189" s="9" t="s">
        <v>9</v>
      </c>
      <c r="C189" s="9">
        <v>1918</v>
      </c>
      <c r="D189" s="10">
        <v>45663</v>
      </c>
      <c r="E189" s="13" t="str">
        <f>+HYPERLINK("http://trademark.i-assist.jp/data/china/image_1918th/81036948.pdf","81036948")</f>
        <v>81036948</v>
      </c>
      <c r="F189" s="12" t="s">
        <v>607</v>
      </c>
      <c r="G189" s="9" t="s">
        <v>42</v>
      </c>
      <c r="H189" s="9" t="s">
        <v>608</v>
      </c>
      <c r="I189" s="10">
        <v>45556</v>
      </c>
    </row>
    <row r="190" spans="1:9" x14ac:dyDescent="0.15">
      <c r="A190" s="9">
        <v>189</v>
      </c>
      <c r="B190" s="9" t="s">
        <v>9</v>
      </c>
      <c r="C190" s="9">
        <v>1918</v>
      </c>
      <c r="D190" s="10">
        <v>45663</v>
      </c>
      <c r="E190" s="13" t="str">
        <f>+HYPERLINK("http://trademark.i-assist.jp/data/china/image_1918th/81038670.pdf","81038670")</f>
        <v>81038670</v>
      </c>
      <c r="F190" s="9" t="s">
        <v>609</v>
      </c>
      <c r="G190" s="9" t="s">
        <v>610</v>
      </c>
      <c r="H190" s="12" t="s">
        <v>611</v>
      </c>
      <c r="I190" s="10">
        <v>45556</v>
      </c>
    </row>
    <row r="191" spans="1:9" x14ac:dyDescent="0.15">
      <c r="A191" s="9">
        <v>190</v>
      </c>
      <c r="B191" s="9" t="s">
        <v>9</v>
      </c>
      <c r="C191" s="9">
        <v>1918</v>
      </c>
      <c r="D191" s="10">
        <v>45663</v>
      </c>
      <c r="E191" s="13" t="str">
        <f>+HYPERLINK("http://trademark.i-assist.jp/data/china/image_1918th/81040903.pdf","81040903")</f>
        <v>81040903</v>
      </c>
      <c r="F191" s="9" t="s">
        <v>612</v>
      </c>
      <c r="G191" s="9" t="s">
        <v>613</v>
      </c>
      <c r="H191" s="9" t="s">
        <v>614</v>
      </c>
      <c r="I191" s="10">
        <v>45557</v>
      </c>
    </row>
    <row r="192" spans="1:9" x14ac:dyDescent="0.15">
      <c r="A192" s="9">
        <v>191</v>
      </c>
      <c r="B192" s="9" t="s">
        <v>9</v>
      </c>
      <c r="C192" s="9">
        <v>1918</v>
      </c>
      <c r="D192" s="10">
        <v>45663</v>
      </c>
      <c r="E192" s="13" t="str">
        <f>+HYPERLINK("http://trademark.i-assist.jp/data/china/image_1918th/81044369.pdf","81044369")</f>
        <v>81044369</v>
      </c>
      <c r="F192" s="12" t="s">
        <v>12</v>
      </c>
      <c r="G192" s="12" t="s">
        <v>615</v>
      </c>
      <c r="H192" s="9" t="s">
        <v>616</v>
      </c>
      <c r="I192" s="10">
        <v>45558</v>
      </c>
    </row>
    <row r="193" spans="1:9" x14ac:dyDescent="0.15">
      <c r="A193" s="9">
        <v>192</v>
      </c>
      <c r="B193" s="9" t="s">
        <v>9</v>
      </c>
      <c r="C193" s="9">
        <v>1918</v>
      </c>
      <c r="D193" s="10">
        <v>45663</v>
      </c>
      <c r="E193" s="13" t="str">
        <f>+HYPERLINK("http://trademark.i-assist.jp/data/china/image_1918th/81045045.pdf","81045045")</f>
        <v>81045045</v>
      </c>
      <c r="F193" s="9" t="s">
        <v>617</v>
      </c>
      <c r="G193" s="9" t="s">
        <v>618</v>
      </c>
      <c r="H193" s="9" t="s">
        <v>619</v>
      </c>
      <c r="I193" s="10">
        <v>45558</v>
      </c>
    </row>
    <row r="194" spans="1:9" x14ac:dyDescent="0.15">
      <c r="A194" s="9">
        <v>193</v>
      </c>
      <c r="B194" s="9" t="s">
        <v>9</v>
      </c>
      <c r="C194" s="9">
        <v>1918</v>
      </c>
      <c r="D194" s="10">
        <v>45663</v>
      </c>
      <c r="E194" s="13" t="str">
        <f>+HYPERLINK("http://trademark.i-assist.jp/data/china/image_1918th/81045228.pdf","81045228")</f>
        <v>81045228</v>
      </c>
      <c r="F194" s="12" t="s">
        <v>12</v>
      </c>
      <c r="G194" s="12" t="s">
        <v>44</v>
      </c>
      <c r="H194" s="9" t="s">
        <v>620</v>
      </c>
      <c r="I194" s="10">
        <v>45558</v>
      </c>
    </row>
    <row r="195" spans="1:9" x14ac:dyDescent="0.15">
      <c r="A195" s="9">
        <v>194</v>
      </c>
      <c r="B195" s="9" t="s">
        <v>9</v>
      </c>
      <c r="C195" s="9">
        <v>1918</v>
      </c>
      <c r="D195" s="10">
        <v>45663</v>
      </c>
      <c r="E195" s="13" t="str">
        <f>+HYPERLINK("http://trademark.i-assist.jp/data/china/image_1918th/81045428.pdf","81045428")</f>
        <v>81045428</v>
      </c>
      <c r="F195" s="12" t="s">
        <v>621</v>
      </c>
      <c r="G195" s="12" t="s">
        <v>622</v>
      </c>
      <c r="H195" s="9" t="s">
        <v>623</v>
      </c>
      <c r="I195" s="10">
        <v>45558</v>
      </c>
    </row>
    <row r="196" spans="1:9" x14ac:dyDescent="0.15">
      <c r="A196" s="9">
        <v>195</v>
      </c>
      <c r="B196" s="9" t="s">
        <v>9</v>
      </c>
      <c r="C196" s="9">
        <v>1918</v>
      </c>
      <c r="D196" s="10">
        <v>45663</v>
      </c>
      <c r="E196" s="13" t="str">
        <f>+HYPERLINK("http://trademark.i-assist.jp/data/china/image_1918th/81045519.pdf","81045519")</f>
        <v>81045519</v>
      </c>
      <c r="F196" s="9" t="s">
        <v>624</v>
      </c>
      <c r="G196" s="12" t="s">
        <v>625</v>
      </c>
      <c r="H196" s="9" t="s">
        <v>626</v>
      </c>
      <c r="I196" s="10">
        <v>45558</v>
      </c>
    </row>
    <row r="197" spans="1:9" x14ac:dyDescent="0.15">
      <c r="A197" s="9">
        <v>196</v>
      </c>
      <c r="B197" s="9" t="s">
        <v>9</v>
      </c>
      <c r="C197" s="9">
        <v>1918</v>
      </c>
      <c r="D197" s="10">
        <v>45663</v>
      </c>
      <c r="E197" s="13" t="str">
        <f>+HYPERLINK("http://trademark.i-assist.jp/data/china/image_1918th/81048548.pdf","81048548")</f>
        <v>81048548</v>
      </c>
      <c r="F197" s="9" t="s">
        <v>627</v>
      </c>
      <c r="G197" s="9" t="s">
        <v>628</v>
      </c>
      <c r="H197" s="9" t="s">
        <v>629</v>
      </c>
      <c r="I197" s="10">
        <v>45558</v>
      </c>
    </row>
    <row r="198" spans="1:9" x14ac:dyDescent="0.15">
      <c r="A198" s="9">
        <v>197</v>
      </c>
      <c r="B198" s="9" t="s">
        <v>9</v>
      </c>
      <c r="C198" s="9">
        <v>1918</v>
      </c>
      <c r="D198" s="10">
        <v>45663</v>
      </c>
      <c r="E198" s="13" t="str">
        <f>+HYPERLINK("http://trademark.i-assist.jp/data/china/image_1918th/81049463.pdf","81049463")</f>
        <v>81049463</v>
      </c>
      <c r="F198" s="9" t="s">
        <v>630</v>
      </c>
      <c r="G198" s="9" t="s">
        <v>631</v>
      </c>
      <c r="H198" s="9" t="s">
        <v>632</v>
      </c>
      <c r="I198" s="10">
        <v>45558</v>
      </c>
    </row>
    <row r="199" spans="1:9" x14ac:dyDescent="0.15">
      <c r="A199" s="9">
        <v>198</v>
      </c>
      <c r="B199" s="9" t="s">
        <v>9</v>
      </c>
      <c r="C199" s="9">
        <v>1918</v>
      </c>
      <c r="D199" s="10">
        <v>45663</v>
      </c>
      <c r="E199" s="13" t="str">
        <f>+HYPERLINK("http://trademark.i-assist.jp/data/china/image_1918th/81049546.pdf","81049546")</f>
        <v>81049546</v>
      </c>
      <c r="F199" s="9" t="s">
        <v>633</v>
      </c>
      <c r="G199" s="9" t="s">
        <v>634</v>
      </c>
      <c r="H199" s="9" t="s">
        <v>635</v>
      </c>
      <c r="I199" s="10">
        <v>45558</v>
      </c>
    </row>
    <row r="200" spans="1:9" x14ac:dyDescent="0.15">
      <c r="A200" s="9">
        <v>199</v>
      </c>
      <c r="B200" s="9" t="s">
        <v>9</v>
      </c>
      <c r="C200" s="9">
        <v>1918</v>
      </c>
      <c r="D200" s="10">
        <v>45663</v>
      </c>
      <c r="E200" s="13" t="str">
        <f>+HYPERLINK("http://trademark.i-assist.jp/data/china/image_1918th/81050772.pdf","81050772")</f>
        <v>81050772</v>
      </c>
      <c r="F200" s="9" t="s">
        <v>636</v>
      </c>
      <c r="G200" s="9" t="s">
        <v>628</v>
      </c>
      <c r="H200" s="9" t="s">
        <v>637</v>
      </c>
      <c r="I200" s="10">
        <v>45558</v>
      </c>
    </row>
    <row r="201" spans="1:9" x14ac:dyDescent="0.15">
      <c r="A201" s="9">
        <v>200</v>
      </c>
      <c r="B201" s="9" t="s">
        <v>9</v>
      </c>
      <c r="C201" s="9">
        <v>1918</v>
      </c>
      <c r="D201" s="10">
        <v>45663</v>
      </c>
      <c r="E201" s="13" t="str">
        <f>+HYPERLINK("http://trademark.i-assist.jp/data/china/image_1918th/81051984.pdf","81051984")</f>
        <v>81051984</v>
      </c>
      <c r="F201" s="9" t="s">
        <v>638</v>
      </c>
      <c r="G201" s="9" t="s">
        <v>639</v>
      </c>
      <c r="H201" s="9" t="s">
        <v>640</v>
      </c>
      <c r="I201" s="10">
        <v>45558</v>
      </c>
    </row>
    <row r="202" spans="1:9" x14ac:dyDescent="0.15">
      <c r="A202" s="9">
        <v>201</v>
      </c>
      <c r="B202" s="9" t="s">
        <v>9</v>
      </c>
      <c r="C202" s="9">
        <v>1918</v>
      </c>
      <c r="D202" s="10">
        <v>45663</v>
      </c>
      <c r="E202" s="13" t="str">
        <f>+HYPERLINK("http://trademark.i-assist.jp/data/china/image_1918th/81053742.pdf","81053742")</f>
        <v>81053742</v>
      </c>
      <c r="F202" s="9" t="s">
        <v>641</v>
      </c>
      <c r="G202" s="9" t="s">
        <v>642</v>
      </c>
      <c r="H202" s="9" t="s">
        <v>643</v>
      </c>
      <c r="I202" s="10">
        <v>45558</v>
      </c>
    </row>
    <row r="203" spans="1:9" x14ac:dyDescent="0.15">
      <c r="A203" s="9">
        <v>202</v>
      </c>
      <c r="B203" s="9" t="s">
        <v>9</v>
      </c>
      <c r="C203" s="9">
        <v>1918</v>
      </c>
      <c r="D203" s="10">
        <v>45663</v>
      </c>
      <c r="E203" s="13" t="str">
        <f>+HYPERLINK("http://trademark.i-assist.jp/data/china/image_1918th/81054654.pdf","81054654")</f>
        <v>81054654</v>
      </c>
      <c r="F203" s="9" t="s">
        <v>644</v>
      </c>
      <c r="G203" s="9" t="s">
        <v>645</v>
      </c>
      <c r="H203" s="9" t="s">
        <v>646</v>
      </c>
      <c r="I203" s="10">
        <v>45558</v>
      </c>
    </row>
    <row r="204" spans="1:9" x14ac:dyDescent="0.15">
      <c r="A204" s="9">
        <v>203</v>
      </c>
      <c r="B204" s="9" t="s">
        <v>9</v>
      </c>
      <c r="C204" s="9">
        <v>1918</v>
      </c>
      <c r="D204" s="10">
        <v>45663</v>
      </c>
      <c r="E204" s="13" t="str">
        <f>+HYPERLINK("http://trademark.i-assist.jp/data/china/image_1918th/81055439.pdf","81055439")</f>
        <v>81055439</v>
      </c>
      <c r="F204" s="12" t="s">
        <v>12</v>
      </c>
      <c r="G204" s="9" t="s">
        <v>647</v>
      </c>
      <c r="H204" s="9" t="s">
        <v>648</v>
      </c>
      <c r="I204" s="10">
        <v>45558</v>
      </c>
    </row>
    <row r="205" spans="1:9" x14ac:dyDescent="0.15">
      <c r="A205" s="9">
        <v>204</v>
      </c>
      <c r="B205" s="9" t="s">
        <v>9</v>
      </c>
      <c r="C205" s="9">
        <v>1918</v>
      </c>
      <c r="D205" s="10">
        <v>45663</v>
      </c>
      <c r="E205" s="13" t="str">
        <f>+HYPERLINK("http://trademark.i-assist.jp/data/china/image_1918th/81056112.pdf","81056112")</f>
        <v>81056112</v>
      </c>
      <c r="F205" s="9" t="s">
        <v>649</v>
      </c>
      <c r="G205" s="9" t="s">
        <v>650</v>
      </c>
      <c r="H205" s="9" t="s">
        <v>651</v>
      </c>
      <c r="I205" s="10">
        <v>45558</v>
      </c>
    </row>
    <row r="206" spans="1:9" x14ac:dyDescent="0.15">
      <c r="A206" s="9">
        <v>205</v>
      </c>
      <c r="B206" s="9" t="s">
        <v>9</v>
      </c>
      <c r="C206" s="9">
        <v>1918</v>
      </c>
      <c r="D206" s="10">
        <v>45663</v>
      </c>
      <c r="E206" s="13" t="str">
        <f>+HYPERLINK("http://trademark.i-assist.jp/data/china/image_1918th/81057506.pdf","81057506")</f>
        <v>81057506</v>
      </c>
      <c r="F206" s="9" t="s">
        <v>652</v>
      </c>
      <c r="G206" s="9" t="s">
        <v>653</v>
      </c>
      <c r="H206" s="9" t="s">
        <v>654</v>
      </c>
      <c r="I206" s="10">
        <v>45558</v>
      </c>
    </row>
    <row r="207" spans="1:9" x14ac:dyDescent="0.15">
      <c r="A207" s="9">
        <v>206</v>
      </c>
      <c r="B207" s="9" t="s">
        <v>9</v>
      </c>
      <c r="C207" s="9">
        <v>1918</v>
      </c>
      <c r="D207" s="10">
        <v>45663</v>
      </c>
      <c r="E207" s="13" t="str">
        <f>+HYPERLINK("http://trademark.i-assist.jp/data/china/image_1918th/81061062.pdf","81061062")</f>
        <v>81061062</v>
      </c>
      <c r="F207" s="9" t="s">
        <v>655</v>
      </c>
      <c r="G207" s="9" t="s">
        <v>656</v>
      </c>
      <c r="H207" s="9" t="s">
        <v>657</v>
      </c>
      <c r="I207" s="10">
        <v>45558</v>
      </c>
    </row>
    <row r="208" spans="1:9" x14ac:dyDescent="0.15">
      <c r="A208" s="9">
        <v>207</v>
      </c>
      <c r="B208" s="9" t="s">
        <v>9</v>
      </c>
      <c r="C208" s="9">
        <v>1918</v>
      </c>
      <c r="D208" s="10">
        <v>45663</v>
      </c>
      <c r="E208" s="13" t="str">
        <f>+HYPERLINK("http://trademark.i-assist.jp/data/china/image_1918th/81061207.pdf","81061207")</f>
        <v>81061207</v>
      </c>
      <c r="F208" s="9" t="s">
        <v>658</v>
      </c>
      <c r="G208" s="12" t="s">
        <v>659</v>
      </c>
      <c r="H208" s="9" t="s">
        <v>660</v>
      </c>
      <c r="I208" s="10">
        <v>45558</v>
      </c>
    </row>
    <row r="209" spans="1:9" x14ac:dyDescent="0.15">
      <c r="A209" s="9">
        <v>208</v>
      </c>
      <c r="B209" s="9" t="s">
        <v>9</v>
      </c>
      <c r="C209" s="9">
        <v>1918</v>
      </c>
      <c r="D209" s="10">
        <v>45663</v>
      </c>
      <c r="E209" s="13" t="str">
        <f>+HYPERLINK("http://trademark.i-assist.jp/data/china/image_1918th/81063455.pdf","81063455")</f>
        <v>81063455</v>
      </c>
      <c r="F209" s="9" t="s">
        <v>661</v>
      </c>
      <c r="G209" s="9" t="s">
        <v>631</v>
      </c>
      <c r="H209" s="9" t="s">
        <v>662</v>
      </c>
      <c r="I209" s="10">
        <v>45558</v>
      </c>
    </row>
    <row r="210" spans="1:9" x14ac:dyDescent="0.15">
      <c r="A210" s="9">
        <v>209</v>
      </c>
      <c r="B210" s="9" t="s">
        <v>9</v>
      </c>
      <c r="C210" s="9">
        <v>1918</v>
      </c>
      <c r="D210" s="10">
        <v>45663</v>
      </c>
      <c r="E210" s="13" t="str">
        <f>+HYPERLINK("http://trademark.i-assist.jp/data/china/image_1918th/81063611.pdf","81063611")</f>
        <v>81063611</v>
      </c>
      <c r="F210" s="9" t="s">
        <v>663</v>
      </c>
      <c r="G210" s="9" t="s">
        <v>664</v>
      </c>
      <c r="H210" s="9" t="s">
        <v>665</v>
      </c>
      <c r="I210" s="10">
        <v>45558</v>
      </c>
    </row>
    <row r="211" spans="1:9" x14ac:dyDescent="0.15">
      <c r="A211" s="9">
        <v>210</v>
      </c>
      <c r="B211" s="9" t="s">
        <v>9</v>
      </c>
      <c r="C211" s="9">
        <v>1918</v>
      </c>
      <c r="D211" s="10">
        <v>45663</v>
      </c>
      <c r="E211" s="13" t="str">
        <f>+HYPERLINK("http://trademark.i-assist.jp/data/china/image_1918th/81063862.pdf","81063862")</f>
        <v>81063862</v>
      </c>
      <c r="F211" s="9" t="s">
        <v>666</v>
      </c>
      <c r="G211" s="9" t="s">
        <v>667</v>
      </c>
      <c r="H211" s="9" t="s">
        <v>668</v>
      </c>
      <c r="I211" s="10">
        <v>45558</v>
      </c>
    </row>
    <row r="212" spans="1:9" x14ac:dyDescent="0.15">
      <c r="A212" s="9">
        <v>211</v>
      </c>
      <c r="B212" s="9" t="s">
        <v>9</v>
      </c>
      <c r="C212" s="9">
        <v>1918</v>
      </c>
      <c r="D212" s="10">
        <v>45663</v>
      </c>
      <c r="E212" s="13" t="str">
        <f>+HYPERLINK("http://trademark.i-assist.jp/data/china/image_1918th/81064594.pdf","81064594")</f>
        <v>81064594</v>
      </c>
      <c r="F212" s="12" t="s">
        <v>12</v>
      </c>
      <c r="G212" s="9" t="s">
        <v>669</v>
      </c>
      <c r="H212" s="9" t="s">
        <v>670</v>
      </c>
      <c r="I212" s="10">
        <v>45558</v>
      </c>
    </row>
    <row r="213" spans="1:9" x14ac:dyDescent="0.15">
      <c r="A213" s="9">
        <v>212</v>
      </c>
      <c r="B213" s="9" t="s">
        <v>9</v>
      </c>
      <c r="C213" s="9">
        <v>1918</v>
      </c>
      <c r="D213" s="10">
        <v>45663</v>
      </c>
      <c r="E213" s="13" t="str">
        <f>+HYPERLINK("http://trademark.i-assist.jp/data/china/image_1918th/81066053.pdf","81066053")</f>
        <v>81066053</v>
      </c>
      <c r="F213" s="12" t="s">
        <v>12</v>
      </c>
      <c r="G213" s="12" t="s">
        <v>671</v>
      </c>
      <c r="H213" s="9" t="s">
        <v>672</v>
      </c>
      <c r="I213" s="10">
        <v>45558</v>
      </c>
    </row>
    <row r="214" spans="1:9" x14ac:dyDescent="0.15">
      <c r="A214" s="9">
        <v>213</v>
      </c>
      <c r="B214" s="9" t="s">
        <v>9</v>
      </c>
      <c r="C214" s="9">
        <v>1918</v>
      </c>
      <c r="D214" s="10">
        <v>45663</v>
      </c>
      <c r="E214" s="13" t="str">
        <f>+HYPERLINK("http://trademark.i-assist.jp/data/china/image_1918th/81066365.pdf","81066365")</f>
        <v>81066365</v>
      </c>
      <c r="F214" s="9" t="s">
        <v>673</v>
      </c>
      <c r="G214" s="9" t="s">
        <v>674</v>
      </c>
      <c r="H214" s="9" t="s">
        <v>675</v>
      </c>
      <c r="I214" s="10">
        <v>45558</v>
      </c>
    </row>
    <row r="215" spans="1:9" x14ac:dyDescent="0.15">
      <c r="A215" s="9">
        <v>214</v>
      </c>
      <c r="B215" s="9" t="s">
        <v>9</v>
      </c>
      <c r="C215" s="9">
        <v>1918</v>
      </c>
      <c r="D215" s="10">
        <v>45663</v>
      </c>
      <c r="E215" s="13" t="str">
        <f>+HYPERLINK("http://trademark.i-assist.jp/data/china/image_1918th/81068517.pdf","81068517")</f>
        <v>81068517</v>
      </c>
      <c r="F215" s="9" t="s">
        <v>676</v>
      </c>
      <c r="G215" s="9" t="s">
        <v>677</v>
      </c>
      <c r="H215" s="9" t="s">
        <v>678</v>
      </c>
      <c r="I215" s="10">
        <v>45558</v>
      </c>
    </row>
    <row r="216" spans="1:9" x14ac:dyDescent="0.15">
      <c r="A216" s="9">
        <v>215</v>
      </c>
      <c r="B216" s="9" t="s">
        <v>9</v>
      </c>
      <c r="C216" s="9">
        <v>1918</v>
      </c>
      <c r="D216" s="10">
        <v>45663</v>
      </c>
      <c r="E216" s="13" t="str">
        <f>+HYPERLINK("http://trademark.i-assist.jp/data/china/image_1918th/81070110.pdf","81070110")</f>
        <v>81070110</v>
      </c>
      <c r="F216" s="9" t="s">
        <v>679</v>
      </c>
      <c r="G216" s="9" t="s">
        <v>680</v>
      </c>
      <c r="H216" s="9" t="s">
        <v>681</v>
      </c>
      <c r="I216" s="10">
        <v>45559</v>
      </c>
    </row>
    <row r="217" spans="1:9" x14ac:dyDescent="0.15">
      <c r="A217" s="9">
        <v>216</v>
      </c>
      <c r="B217" s="9" t="s">
        <v>9</v>
      </c>
      <c r="C217" s="9">
        <v>1918</v>
      </c>
      <c r="D217" s="10">
        <v>45663</v>
      </c>
      <c r="E217" s="13" t="str">
        <f>+HYPERLINK("http://trademark.i-assist.jp/data/china/image_1918th/81071149.pdf","81071149")</f>
        <v>81071149</v>
      </c>
      <c r="F217" s="9" t="s">
        <v>682</v>
      </c>
      <c r="G217" s="9" t="s">
        <v>46</v>
      </c>
      <c r="H217" s="9" t="s">
        <v>683</v>
      </c>
      <c r="I217" s="10">
        <v>45559</v>
      </c>
    </row>
    <row r="218" spans="1:9" x14ac:dyDescent="0.15">
      <c r="A218" s="9">
        <v>217</v>
      </c>
      <c r="B218" s="9" t="s">
        <v>9</v>
      </c>
      <c r="C218" s="9">
        <v>1918</v>
      </c>
      <c r="D218" s="10">
        <v>45663</v>
      </c>
      <c r="E218" s="13" t="str">
        <f>+HYPERLINK("http://trademark.i-assist.jp/data/china/image_1918th/81072650.pdf","81072650")</f>
        <v>81072650</v>
      </c>
      <c r="F218" s="9" t="s">
        <v>684</v>
      </c>
      <c r="G218" s="12" t="s">
        <v>685</v>
      </c>
      <c r="H218" s="12" t="s">
        <v>686</v>
      </c>
      <c r="I218" s="10">
        <v>45559</v>
      </c>
    </row>
    <row r="219" spans="1:9" x14ac:dyDescent="0.15">
      <c r="A219" s="9">
        <v>218</v>
      </c>
      <c r="B219" s="9" t="s">
        <v>9</v>
      </c>
      <c r="C219" s="9">
        <v>1918</v>
      </c>
      <c r="D219" s="10">
        <v>45663</v>
      </c>
      <c r="E219" s="13" t="str">
        <f>+HYPERLINK("http://trademark.i-assist.jp/data/china/image_1918th/81073069.pdf","81073069")</f>
        <v>81073069</v>
      </c>
      <c r="F219" s="9" t="s">
        <v>687</v>
      </c>
      <c r="G219" s="9" t="s">
        <v>688</v>
      </c>
      <c r="H219" s="9" t="s">
        <v>689</v>
      </c>
      <c r="I219" s="10">
        <v>45559</v>
      </c>
    </row>
    <row r="220" spans="1:9" x14ac:dyDescent="0.15">
      <c r="A220" s="9">
        <v>219</v>
      </c>
      <c r="B220" s="9" t="s">
        <v>9</v>
      </c>
      <c r="C220" s="9">
        <v>1918</v>
      </c>
      <c r="D220" s="10">
        <v>45663</v>
      </c>
      <c r="E220" s="13" t="str">
        <f>+HYPERLINK("http://trademark.i-assist.jp/data/china/image_1918th/81073379.pdf","81073379")</f>
        <v>81073379</v>
      </c>
      <c r="F220" s="12" t="s">
        <v>12</v>
      </c>
      <c r="G220" s="12" t="s">
        <v>690</v>
      </c>
      <c r="H220" s="9" t="s">
        <v>691</v>
      </c>
      <c r="I220" s="10">
        <v>45559</v>
      </c>
    </row>
    <row r="221" spans="1:9" x14ac:dyDescent="0.15">
      <c r="A221" s="9">
        <v>220</v>
      </c>
      <c r="B221" s="9" t="s">
        <v>9</v>
      </c>
      <c r="C221" s="9">
        <v>1918</v>
      </c>
      <c r="D221" s="10">
        <v>45663</v>
      </c>
      <c r="E221" s="13" t="str">
        <f>+HYPERLINK("http://trademark.i-assist.jp/data/china/image_1918th/81074071.pdf","81074071")</f>
        <v>81074071</v>
      </c>
      <c r="F221" s="12" t="s">
        <v>12</v>
      </c>
      <c r="G221" s="9" t="s">
        <v>692</v>
      </c>
      <c r="H221" s="9" t="s">
        <v>693</v>
      </c>
      <c r="I221" s="10">
        <v>45559</v>
      </c>
    </row>
    <row r="222" spans="1:9" x14ac:dyDescent="0.15">
      <c r="A222" s="9">
        <v>221</v>
      </c>
      <c r="B222" s="9" t="s">
        <v>9</v>
      </c>
      <c r="C222" s="9">
        <v>1918</v>
      </c>
      <c r="D222" s="10">
        <v>45663</v>
      </c>
      <c r="E222" s="13" t="str">
        <f>+HYPERLINK("http://trademark.i-assist.jp/data/china/image_1918th/81074712.pdf","81074712")</f>
        <v>81074712</v>
      </c>
      <c r="F222" s="9" t="s">
        <v>694</v>
      </c>
      <c r="G222" s="9" t="s">
        <v>695</v>
      </c>
      <c r="H222" s="9" t="s">
        <v>696</v>
      </c>
      <c r="I222" s="10">
        <v>45559</v>
      </c>
    </row>
    <row r="223" spans="1:9" x14ac:dyDescent="0.15">
      <c r="A223" s="9">
        <v>222</v>
      </c>
      <c r="B223" s="9" t="s">
        <v>9</v>
      </c>
      <c r="C223" s="9">
        <v>1918</v>
      </c>
      <c r="D223" s="10">
        <v>45663</v>
      </c>
      <c r="E223" s="13" t="str">
        <f>+HYPERLINK("http://trademark.i-assist.jp/data/china/image_1918th/81076431.pdf","81076431")</f>
        <v>81076431</v>
      </c>
      <c r="F223" s="9" t="s">
        <v>697</v>
      </c>
      <c r="G223" s="9" t="s">
        <v>698</v>
      </c>
      <c r="H223" s="9" t="s">
        <v>699</v>
      </c>
      <c r="I223" s="10">
        <v>45559</v>
      </c>
    </row>
    <row r="224" spans="1:9" x14ac:dyDescent="0.15">
      <c r="A224" s="9">
        <v>223</v>
      </c>
      <c r="B224" s="9" t="s">
        <v>9</v>
      </c>
      <c r="C224" s="9">
        <v>1918</v>
      </c>
      <c r="D224" s="10">
        <v>45663</v>
      </c>
      <c r="E224" s="13" t="str">
        <f>+HYPERLINK("http://trademark.i-assist.jp/data/china/image_1918th/81077005.pdf","81077005")</f>
        <v>81077005</v>
      </c>
      <c r="F224" s="12" t="s">
        <v>12</v>
      </c>
      <c r="G224" s="9" t="s">
        <v>700</v>
      </c>
      <c r="H224" s="9" t="s">
        <v>701</v>
      </c>
      <c r="I224" s="10">
        <v>45559</v>
      </c>
    </row>
    <row r="225" spans="1:9" x14ac:dyDescent="0.15">
      <c r="A225" s="9">
        <v>224</v>
      </c>
      <c r="B225" s="9" t="s">
        <v>9</v>
      </c>
      <c r="C225" s="9">
        <v>1918</v>
      </c>
      <c r="D225" s="10">
        <v>45663</v>
      </c>
      <c r="E225" s="13" t="str">
        <f>+HYPERLINK("http://trademark.i-assist.jp/data/china/image_1918th/81077219.pdf","81077219")</f>
        <v>81077219</v>
      </c>
      <c r="F225" s="12" t="s">
        <v>702</v>
      </c>
      <c r="G225" s="12" t="s">
        <v>703</v>
      </c>
      <c r="H225" s="9" t="s">
        <v>704</v>
      </c>
      <c r="I225" s="10">
        <v>45559</v>
      </c>
    </row>
    <row r="226" spans="1:9" x14ac:dyDescent="0.15">
      <c r="A226" s="9">
        <v>225</v>
      </c>
      <c r="B226" s="9" t="s">
        <v>9</v>
      </c>
      <c r="C226" s="9">
        <v>1918</v>
      </c>
      <c r="D226" s="10">
        <v>45663</v>
      </c>
      <c r="E226" s="13" t="str">
        <f>+HYPERLINK("http://trademark.i-assist.jp/data/china/image_1918th/81077909.pdf","81077909")</f>
        <v>81077909</v>
      </c>
      <c r="F226" s="12" t="s">
        <v>705</v>
      </c>
      <c r="G226" s="12" t="s">
        <v>706</v>
      </c>
      <c r="H226" s="12" t="s">
        <v>707</v>
      </c>
      <c r="I226" s="10">
        <v>45559</v>
      </c>
    </row>
    <row r="227" spans="1:9" x14ac:dyDescent="0.15">
      <c r="A227" s="9">
        <v>226</v>
      </c>
      <c r="B227" s="9" t="s">
        <v>9</v>
      </c>
      <c r="C227" s="9">
        <v>1918</v>
      </c>
      <c r="D227" s="10">
        <v>45663</v>
      </c>
      <c r="E227" s="13" t="str">
        <f>+HYPERLINK("http://trademark.i-assist.jp/data/china/image_1918th/81078503.pdf","81078503")</f>
        <v>81078503</v>
      </c>
      <c r="F227" s="12" t="s">
        <v>12</v>
      </c>
      <c r="G227" s="9" t="s">
        <v>708</v>
      </c>
      <c r="H227" s="9" t="s">
        <v>709</v>
      </c>
      <c r="I227" s="10">
        <v>45559</v>
      </c>
    </row>
    <row r="228" spans="1:9" x14ac:dyDescent="0.15">
      <c r="A228" s="9">
        <v>227</v>
      </c>
      <c r="B228" s="9" t="s">
        <v>9</v>
      </c>
      <c r="C228" s="9">
        <v>1918</v>
      </c>
      <c r="D228" s="10">
        <v>45663</v>
      </c>
      <c r="E228" s="13" t="str">
        <f>+HYPERLINK("http://trademark.i-assist.jp/data/china/image_1918th/81079213.pdf","81079213")</f>
        <v>81079213</v>
      </c>
      <c r="F228" s="12" t="s">
        <v>710</v>
      </c>
      <c r="G228" s="9" t="s">
        <v>711</v>
      </c>
      <c r="H228" s="9" t="s">
        <v>712</v>
      </c>
      <c r="I228" s="10">
        <v>45559</v>
      </c>
    </row>
    <row r="229" spans="1:9" x14ac:dyDescent="0.15">
      <c r="A229" s="9">
        <v>228</v>
      </c>
      <c r="B229" s="9" t="s">
        <v>9</v>
      </c>
      <c r="C229" s="9">
        <v>1918</v>
      </c>
      <c r="D229" s="10">
        <v>45663</v>
      </c>
      <c r="E229" s="13" t="str">
        <f>+HYPERLINK("http://trademark.i-assist.jp/data/china/image_1918th/81080258.pdf","81080258")</f>
        <v>81080258</v>
      </c>
      <c r="F229" s="12" t="s">
        <v>12</v>
      </c>
      <c r="G229" s="9" t="s">
        <v>713</v>
      </c>
      <c r="H229" s="9" t="s">
        <v>714</v>
      </c>
      <c r="I229" s="10">
        <v>45559</v>
      </c>
    </row>
    <row r="230" spans="1:9" x14ac:dyDescent="0.15">
      <c r="A230" s="9">
        <v>229</v>
      </c>
      <c r="B230" s="9" t="s">
        <v>9</v>
      </c>
      <c r="C230" s="9">
        <v>1918</v>
      </c>
      <c r="D230" s="10">
        <v>45663</v>
      </c>
      <c r="E230" s="13" t="str">
        <f>+HYPERLINK("http://trademark.i-assist.jp/data/china/image_1918th/81081215.pdf","81081215")</f>
        <v>81081215</v>
      </c>
      <c r="F230" s="9" t="s">
        <v>715</v>
      </c>
      <c r="G230" s="9" t="s">
        <v>716</v>
      </c>
      <c r="H230" s="9" t="s">
        <v>717</v>
      </c>
      <c r="I230" s="10">
        <v>45559</v>
      </c>
    </row>
    <row r="231" spans="1:9" x14ac:dyDescent="0.15">
      <c r="A231" s="9">
        <v>230</v>
      </c>
      <c r="B231" s="9" t="s">
        <v>9</v>
      </c>
      <c r="C231" s="9">
        <v>1918</v>
      </c>
      <c r="D231" s="10">
        <v>45663</v>
      </c>
      <c r="E231" s="13" t="str">
        <f>+HYPERLINK("http://trademark.i-assist.jp/data/china/image_1918th/81081264.pdf","81081264")</f>
        <v>81081264</v>
      </c>
      <c r="F231" s="12" t="s">
        <v>12</v>
      </c>
      <c r="G231" s="12" t="s">
        <v>718</v>
      </c>
      <c r="H231" s="9" t="s">
        <v>719</v>
      </c>
      <c r="I231" s="10">
        <v>45559</v>
      </c>
    </row>
    <row r="232" spans="1:9" x14ac:dyDescent="0.15">
      <c r="A232" s="9">
        <v>231</v>
      </c>
      <c r="B232" s="9" t="s">
        <v>9</v>
      </c>
      <c r="C232" s="9">
        <v>1918</v>
      </c>
      <c r="D232" s="10">
        <v>45663</v>
      </c>
      <c r="E232" s="13" t="str">
        <f>+HYPERLINK("http://trademark.i-assist.jp/data/china/image_1918th/81083247.pdf","81083247")</f>
        <v>81083247</v>
      </c>
      <c r="F232" s="9" t="s">
        <v>720</v>
      </c>
      <c r="G232" s="12" t="s">
        <v>721</v>
      </c>
      <c r="H232" s="9" t="s">
        <v>722</v>
      </c>
      <c r="I232" s="10">
        <v>45559</v>
      </c>
    </row>
    <row r="233" spans="1:9" x14ac:dyDescent="0.15">
      <c r="A233" s="9">
        <v>232</v>
      </c>
      <c r="B233" s="9" t="s">
        <v>9</v>
      </c>
      <c r="C233" s="9">
        <v>1918</v>
      </c>
      <c r="D233" s="10">
        <v>45663</v>
      </c>
      <c r="E233" s="13" t="str">
        <f>+HYPERLINK("http://trademark.i-assist.jp/data/china/image_1918th/81086194.pdf","81086194")</f>
        <v>81086194</v>
      </c>
      <c r="F233" s="12" t="s">
        <v>723</v>
      </c>
      <c r="G233" s="9" t="s">
        <v>45</v>
      </c>
      <c r="H233" s="9" t="s">
        <v>724</v>
      </c>
      <c r="I233" s="10">
        <v>45559</v>
      </c>
    </row>
    <row r="234" spans="1:9" x14ac:dyDescent="0.15">
      <c r="A234" s="9">
        <v>233</v>
      </c>
      <c r="B234" s="9" t="s">
        <v>9</v>
      </c>
      <c r="C234" s="9">
        <v>1918</v>
      </c>
      <c r="D234" s="10">
        <v>45663</v>
      </c>
      <c r="E234" s="13" t="str">
        <f>+HYPERLINK("http://trademark.i-assist.jp/data/china/image_1918th/81087048.pdf","81087048")</f>
        <v>81087048</v>
      </c>
      <c r="F234" s="9" t="s">
        <v>725</v>
      </c>
      <c r="G234" s="9" t="s">
        <v>726</v>
      </c>
      <c r="H234" s="9" t="s">
        <v>727</v>
      </c>
      <c r="I234" s="10">
        <v>45559</v>
      </c>
    </row>
    <row r="235" spans="1:9" x14ac:dyDescent="0.15">
      <c r="A235" s="9">
        <v>234</v>
      </c>
      <c r="B235" s="9" t="s">
        <v>9</v>
      </c>
      <c r="C235" s="9">
        <v>1918</v>
      </c>
      <c r="D235" s="10">
        <v>45663</v>
      </c>
      <c r="E235" s="13" t="str">
        <f>+HYPERLINK("http://trademark.i-assist.jp/data/china/image_1918th/81087189.pdf","81087189")</f>
        <v>81087189</v>
      </c>
      <c r="F235" s="9" t="s">
        <v>728</v>
      </c>
      <c r="G235" s="12" t="s">
        <v>729</v>
      </c>
      <c r="H235" s="9" t="s">
        <v>730</v>
      </c>
      <c r="I235" s="10">
        <v>45559</v>
      </c>
    </row>
    <row r="236" spans="1:9" x14ac:dyDescent="0.15">
      <c r="A236" s="9">
        <v>235</v>
      </c>
      <c r="B236" s="9" t="s">
        <v>9</v>
      </c>
      <c r="C236" s="9">
        <v>1918</v>
      </c>
      <c r="D236" s="10">
        <v>45663</v>
      </c>
      <c r="E236" s="13" t="str">
        <f>+HYPERLINK("http://trademark.i-assist.jp/data/china/image_1918th/81089082.pdf","81089082")</f>
        <v>81089082</v>
      </c>
      <c r="F236" s="9" t="s">
        <v>731</v>
      </c>
      <c r="G236" s="9" t="s">
        <v>45</v>
      </c>
      <c r="H236" s="9" t="s">
        <v>732</v>
      </c>
      <c r="I236" s="10">
        <v>45559</v>
      </c>
    </row>
    <row r="237" spans="1:9" x14ac:dyDescent="0.15">
      <c r="A237" s="9">
        <v>236</v>
      </c>
      <c r="B237" s="9" t="s">
        <v>9</v>
      </c>
      <c r="C237" s="9">
        <v>1918</v>
      </c>
      <c r="D237" s="10">
        <v>45663</v>
      </c>
      <c r="E237" s="13" t="str">
        <f>+HYPERLINK("http://trademark.i-assist.jp/data/china/image_1918th/81089727.pdf","81089727")</f>
        <v>81089727</v>
      </c>
      <c r="F237" s="9" t="s">
        <v>733</v>
      </c>
      <c r="G237" s="12" t="s">
        <v>734</v>
      </c>
      <c r="H237" s="12" t="s">
        <v>735</v>
      </c>
      <c r="I237" s="10">
        <v>45559</v>
      </c>
    </row>
    <row r="238" spans="1:9" x14ac:dyDescent="0.15">
      <c r="A238" s="9">
        <v>237</v>
      </c>
      <c r="B238" s="9" t="s">
        <v>9</v>
      </c>
      <c r="C238" s="9">
        <v>1918</v>
      </c>
      <c r="D238" s="10">
        <v>45663</v>
      </c>
      <c r="E238" s="13" t="str">
        <f>+HYPERLINK("http://trademark.i-assist.jp/data/china/image_1918th/81090306.pdf","81090306")</f>
        <v>81090306</v>
      </c>
      <c r="F238" s="9" t="s">
        <v>736</v>
      </c>
      <c r="G238" s="12" t="s">
        <v>737</v>
      </c>
      <c r="H238" s="9" t="s">
        <v>738</v>
      </c>
      <c r="I238" s="10">
        <v>45559</v>
      </c>
    </row>
    <row r="239" spans="1:9" x14ac:dyDescent="0.15">
      <c r="A239" s="9">
        <v>238</v>
      </c>
      <c r="B239" s="9" t="s">
        <v>9</v>
      </c>
      <c r="C239" s="9">
        <v>1918</v>
      </c>
      <c r="D239" s="10">
        <v>45663</v>
      </c>
      <c r="E239" s="13" t="str">
        <f>+HYPERLINK("http://trademark.i-assist.jp/data/china/image_1918th/81090874.pdf","81090874")</f>
        <v>81090874</v>
      </c>
      <c r="F239" s="9" t="s">
        <v>739</v>
      </c>
      <c r="G239" s="12" t="s">
        <v>690</v>
      </c>
      <c r="H239" s="9" t="s">
        <v>740</v>
      </c>
      <c r="I239" s="10">
        <v>45559</v>
      </c>
    </row>
    <row r="240" spans="1:9" x14ac:dyDescent="0.15">
      <c r="A240" s="9">
        <v>239</v>
      </c>
      <c r="B240" s="9" t="s">
        <v>9</v>
      </c>
      <c r="C240" s="9">
        <v>1918</v>
      </c>
      <c r="D240" s="10">
        <v>45663</v>
      </c>
      <c r="E240" s="13" t="str">
        <f>+HYPERLINK("http://trademark.i-assist.jp/data/china/image_1918th/81091008.pdf","81091008")</f>
        <v>81091008</v>
      </c>
      <c r="F240" s="9" t="s">
        <v>741</v>
      </c>
      <c r="G240" s="9" t="s">
        <v>742</v>
      </c>
      <c r="H240" s="9" t="s">
        <v>743</v>
      </c>
      <c r="I240" s="10">
        <v>45559</v>
      </c>
    </row>
    <row r="241" spans="1:9" x14ac:dyDescent="0.15">
      <c r="A241" s="9">
        <v>240</v>
      </c>
      <c r="B241" s="9" t="s">
        <v>9</v>
      </c>
      <c r="C241" s="9">
        <v>1918</v>
      </c>
      <c r="D241" s="10">
        <v>45663</v>
      </c>
      <c r="E241" s="13" t="str">
        <f>+HYPERLINK("http://trademark.i-assist.jp/data/china/image_1918th/81091244.pdf","81091244")</f>
        <v>81091244</v>
      </c>
      <c r="F241" s="9" t="s">
        <v>744</v>
      </c>
      <c r="G241" s="12" t="s">
        <v>734</v>
      </c>
      <c r="H241" s="9" t="s">
        <v>745</v>
      </c>
      <c r="I241" s="10">
        <v>45559</v>
      </c>
    </row>
    <row r="242" spans="1:9" x14ac:dyDescent="0.15">
      <c r="A242" s="9">
        <v>241</v>
      </c>
      <c r="B242" s="9" t="s">
        <v>9</v>
      </c>
      <c r="C242" s="9">
        <v>1918</v>
      </c>
      <c r="D242" s="10">
        <v>45663</v>
      </c>
      <c r="E242" s="13" t="str">
        <f>+HYPERLINK("http://trademark.i-assist.jp/data/china/image_1918th/81091504.pdf","81091504")</f>
        <v>81091504</v>
      </c>
      <c r="F242" s="9" t="s">
        <v>746</v>
      </c>
      <c r="G242" s="9" t="s">
        <v>747</v>
      </c>
      <c r="H242" s="9" t="s">
        <v>748</v>
      </c>
      <c r="I242" s="10">
        <v>45559</v>
      </c>
    </row>
    <row r="243" spans="1:9" x14ac:dyDescent="0.15">
      <c r="A243" s="9">
        <v>242</v>
      </c>
      <c r="B243" s="9" t="s">
        <v>9</v>
      </c>
      <c r="C243" s="9">
        <v>1918</v>
      </c>
      <c r="D243" s="10">
        <v>45663</v>
      </c>
      <c r="E243" s="13" t="str">
        <f>+HYPERLINK("http://trademark.i-assist.jp/data/china/image_1918th/81092538.pdf","81092538")</f>
        <v>81092538</v>
      </c>
      <c r="F243" s="12" t="s">
        <v>12</v>
      </c>
      <c r="G243" s="9" t="s">
        <v>749</v>
      </c>
      <c r="H243" s="12" t="s">
        <v>750</v>
      </c>
      <c r="I243" s="10">
        <v>45559</v>
      </c>
    </row>
    <row r="244" spans="1:9" x14ac:dyDescent="0.15">
      <c r="A244" s="9">
        <v>243</v>
      </c>
      <c r="B244" s="9" t="s">
        <v>9</v>
      </c>
      <c r="C244" s="9">
        <v>1918</v>
      </c>
      <c r="D244" s="10">
        <v>45663</v>
      </c>
      <c r="E244" s="13" t="str">
        <f>+HYPERLINK("http://trademark.i-assist.jp/data/china/image_1918th/81092902.pdf","81092902")</f>
        <v>81092902</v>
      </c>
      <c r="F244" s="12" t="s">
        <v>12</v>
      </c>
      <c r="G244" s="9" t="s">
        <v>751</v>
      </c>
      <c r="H244" s="9" t="s">
        <v>752</v>
      </c>
      <c r="I244" s="10">
        <v>45559</v>
      </c>
    </row>
    <row r="245" spans="1:9" x14ac:dyDescent="0.15">
      <c r="A245" s="9">
        <v>244</v>
      </c>
      <c r="B245" s="9" t="s">
        <v>9</v>
      </c>
      <c r="C245" s="9">
        <v>1918</v>
      </c>
      <c r="D245" s="10">
        <v>45663</v>
      </c>
      <c r="E245" s="13" t="str">
        <f>+HYPERLINK("http://trademark.i-assist.jp/data/china/image_1918th/81094381.pdf","81094381")</f>
        <v>81094381</v>
      </c>
      <c r="F245" s="9" t="s">
        <v>753</v>
      </c>
      <c r="G245" s="9" t="s">
        <v>754</v>
      </c>
      <c r="H245" s="9" t="s">
        <v>755</v>
      </c>
      <c r="I245" s="10">
        <v>45559</v>
      </c>
    </row>
    <row r="246" spans="1:9" x14ac:dyDescent="0.15">
      <c r="A246" s="9">
        <v>245</v>
      </c>
      <c r="B246" s="9" t="s">
        <v>9</v>
      </c>
      <c r="C246" s="9">
        <v>1918</v>
      </c>
      <c r="D246" s="10">
        <v>45663</v>
      </c>
      <c r="E246" s="13" t="str">
        <f>+HYPERLINK("http://trademark.i-assist.jp/data/china/image_1918th/81094541.pdf","81094541")</f>
        <v>81094541</v>
      </c>
      <c r="F246" s="9" t="s">
        <v>756</v>
      </c>
      <c r="G246" s="9" t="s">
        <v>757</v>
      </c>
      <c r="H246" s="9" t="s">
        <v>758</v>
      </c>
      <c r="I246" s="10">
        <v>45560</v>
      </c>
    </row>
    <row r="247" spans="1:9" x14ac:dyDescent="0.15">
      <c r="A247" s="9">
        <v>246</v>
      </c>
      <c r="B247" s="9" t="s">
        <v>9</v>
      </c>
      <c r="C247" s="9">
        <v>1918</v>
      </c>
      <c r="D247" s="10">
        <v>45663</v>
      </c>
      <c r="E247" s="13" t="str">
        <f>+HYPERLINK("http://trademark.i-assist.jp/data/china/image_1918th/81096016.pdf","81096016")</f>
        <v>81096016</v>
      </c>
      <c r="F247" s="9" t="s">
        <v>759</v>
      </c>
      <c r="G247" s="12" t="s">
        <v>760</v>
      </c>
      <c r="H247" s="9" t="s">
        <v>761</v>
      </c>
      <c r="I247" s="10">
        <v>45560</v>
      </c>
    </row>
    <row r="248" spans="1:9" x14ac:dyDescent="0.15">
      <c r="A248" s="9">
        <v>247</v>
      </c>
      <c r="B248" s="9" t="s">
        <v>9</v>
      </c>
      <c r="C248" s="9">
        <v>1918</v>
      </c>
      <c r="D248" s="10">
        <v>45663</v>
      </c>
      <c r="E248" s="13" t="str">
        <f>+HYPERLINK("http://trademark.i-assist.jp/data/china/image_1918th/81096605.pdf","81096605")</f>
        <v>81096605</v>
      </c>
      <c r="F248" s="12" t="s">
        <v>762</v>
      </c>
      <c r="G248" s="12" t="s">
        <v>763</v>
      </c>
      <c r="H248" s="9" t="s">
        <v>764</v>
      </c>
      <c r="I248" s="10">
        <v>45560</v>
      </c>
    </row>
    <row r="249" spans="1:9" x14ac:dyDescent="0.15">
      <c r="A249" s="9">
        <v>248</v>
      </c>
      <c r="B249" s="9" t="s">
        <v>9</v>
      </c>
      <c r="C249" s="9">
        <v>1918</v>
      </c>
      <c r="D249" s="10">
        <v>45663</v>
      </c>
      <c r="E249" s="13" t="str">
        <f>+HYPERLINK("http://trademark.i-assist.jp/data/china/image_1918th/81096645.pdf","81096645")</f>
        <v>81096645</v>
      </c>
      <c r="F249" s="12" t="s">
        <v>765</v>
      </c>
      <c r="G249" s="9" t="s">
        <v>49</v>
      </c>
      <c r="H249" s="9" t="s">
        <v>766</v>
      </c>
      <c r="I249" s="10">
        <v>45560</v>
      </c>
    </row>
    <row r="250" spans="1:9" x14ac:dyDescent="0.15">
      <c r="A250" s="9">
        <v>249</v>
      </c>
      <c r="B250" s="9" t="s">
        <v>9</v>
      </c>
      <c r="C250" s="9">
        <v>1918</v>
      </c>
      <c r="D250" s="10">
        <v>45663</v>
      </c>
      <c r="E250" s="13" t="str">
        <f>+HYPERLINK("http://trademark.i-assist.jp/data/china/image_1918th/81097158.pdf","81097158")</f>
        <v>81097158</v>
      </c>
      <c r="F250" s="12" t="s">
        <v>12</v>
      </c>
      <c r="G250" s="9" t="s">
        <v>767</v>
      </c>
      <c r="H250" s="9" t="s">
        <v>768</v>
      </c>
      <c r="I250" s="10">
        <v>45560</v>
      </c>
    </row>
    <row r="251" spans="1:9" x14ac:dyDescent="0.15">
      <c r="A251" s="9">
        <v>250</v>
      </c>
      <c r="B251" s="9" t="s">
        <v>9</v>
      </c>
      <c r="C251" s="9">
        <v>1918</v>
      </c>
      <c r="D251" s="10">
        <v>45663</v>
      </c>
      <c r="E251" s="13" t="str">
        <f>+HYPERLINK("http://trademark.i-assist.jp/data/china/image_1918th/81097879.pdf","81097879")</f>
        <v>81097879</v>
      </c>
      <c r="F251" s="9" t="s">
        <v>769</v>
      </c>
      <c r="G251" s="9" t="s">
        <v>52</v>
      </c>
      <c r="H251" s="12" t="s">
        <v>770</v>
      </c>
      <c r="I251" s="10">
        <v>45560</v>
      </c>
    </row>
    <row r="252" spans="1:9" x14ac:dyDescent="0.15">
      <c r="A252" s="9">
        <v>251</v>
      </c>
      <c r="B252" s="9" t="s">
        <v>9</v>
      </c>
      <c r="C252" s="9">
        <v>1918</v>
      </c>
      <c r="D252" s="10">
        <v>45663</v>
      </c>
      <c r="E252" s="13" t="str">
        <f>+HYPERLINK("http://trademark.i-assist.jp/data/china/image_1918th/81097897.pdf","81097897")</f>
        <v>81097897</v>
      </c>
      <c r="F252" s="9" t="s">
        <v>771</v>
      </c>
      <c r="G252" s="9" t="s">
        <v>772</v>
      </c>
      <c r="H252" s="9" t="s">
        <v>773</v>
      </c>
      <c r="I252" s="10">
        <v>45560</v>
      </c>
    </row>
    <row r="253" spans="1:9" x14ac:dyDescent="0.15">
      <c r="A253" s="9">
        <v>252</v>
      </c>
      <c r="B253" s="9" t="s">
        <v>9</v>
      </c>
      <c r="C253" s="9">
        <v>1918</v>
      </c>
      <c r="D253" s="10">
        <v>45663</v>
      </c>
      <c r="E253" s="13" t="str">
        <f>+HYPERLINK("http://trademark.i-assist.jp/data/china/image_1918th/81099965.pdf","81099965")</f>
        <v>81099965</v>
      </c>
      <c r="F253" s="9" t="s">
        <v>774</v>
      </c>
      <c r="G253" s="9" t="s">
        <v>775</v>
      </c>
      <c r="H253" s="9" t="s">
        <v>776</v>
      </c>
      <c r="I253" s="10">
        <v>45560</v>
      </c>
    </row>
    <row r="254" spans="1:9" x14ac:dyDescent="0.15">
      <c r="A254" s="9">
        <v>253</v>
      </c>
      <c r="B254" s="9" t="s">
        <v>9</v>
      </c>
      <c r="C254" s="9">
        <v>1918</v>
      </c>
      <c r="D254" s="10">
        <v>45663</v>
      </c>
      <c r="E254" s="13" t="str">
        <f>+HYPERLINK("http://trademark.i-assist.jp/data/china/image_1918th/81101148.pdf","81101148")</f>
        <v>81101148</v>
      </c>
      <c r="F254" s="12" t="s">
        <v>777</v>
      </c>
      <c r="G254" s="9" t="s">
        <v>778</v>
      </c>
      <c r="H254" s="9" t="s">
        <v>779</v>
      </c>
      <c r="I254" s="10">
        <v>45560</v>
      </c>
    </row>
    <row r="255" spans="1:9" x14ac:dyDescent="0.15">
      <c r="A255" s="9">
        <v>254</v>
      </c>
      <c r="B255" s="9" t="s">
        <v>9</v>
      </c>
      <c r="C255" s="9">
        <v>1918</v>
      </c>
      <c r="D255" s="10">
        <v>45663</v>
      </c>
      <c r="E255" s="13" t="str">
        <f>+HYPERLINK("http://trademark.i-assist.jp/data/china/image_1918th/81101525.pdf","81101525")</f>
        <v>81101525</v>
      </c>
      <c r="F255" s="12" t="s">
        <v>780</v>
      </c>
      <c r="G255" s="12" t="s">
        <v>781</v>
      </c>
      <c r="H255" s="12" t="s">
        <v>782</v>
      </c>
      <c r="I255" s="10">
        <v>45560</v>
      </c>
    </row>
    <row r="256" spans="1:9" x14ac:dyDescent="0.15">
      <c r="A256" s="9">
        <v>255</v>
      </c>
      <c r="B256" s="9" t="s">
        <v>9</v>
      </c>
      <c r="C256" s="9">
        <v>1918</v>
      </c>
      <c r="D256" s="10">
        <v>45663</v>
      </c>
      <c r="E256" s="13" t="str">
        <f>+HYPERLINK("http://trademark.i-assist.jp/data/china/image_1918th/81102853.pdf","81102853")</f>
        <v>81102853</v>
      </c>
      <c r="F256" s="11" t="s">
        <v>783</v>
      </c>
      <c r="G256" s="12" t="s">
        <v>784</v>
      </c>
      <c r="H256" s="9" t="s">
        <v>785</v>
      </c>
      <c r="I256" s="10">
        <v>45560</v>
      </c>
    </row>
    <row r="257" spans="1:9" x14ac:dyDescent="0.15">
      <c r="A257" s="9">
        <v>256</v>
      </c>
      <c r="B257" s="9" t="s">
        <v>9</v>
      </c>
      <c r="C257" s="9">
        <v>1918</v>
      </c>
      <c r="D257" s="10">
        <v>45663</v>
      </c>
      <c r="E257" s="13" t="str">
        <f>+HYPERLINK("http://trademark.i-assist.jp/data/china/image_1918th/81102945.pdf","81102945")</f>
        <v>81102945</v>
      </c>
      <c r="F257" s="9" t="s">
        <v>786</v>
      </c>
      <c r="G257" s="12" t="s">
        <v>787</v>
      </c>
      <c r="H257" s="9" t="s">
        <v>788</v>
      </c>
      <c r="I257" s="10">
        <v>45560</v>
      </c>
    </row>
    <row r="258" spans="1:9" x14ac:dyDescent="0.15">
      <c r="A258" s="9">
        <v>257</v>
      </c>
      <c r="B258" s="9" t="s">
        <v>9</v>
      </c>
      <c r="C258" s="9">
        <v>1918</v>
      </c>
      <c r="D258" s="10">
        <v>45663</v>
      </c>
      <c r="E258" s="13" t="str">
        <f>+HYPERLINK("http://trademark.i-assist.jp/data/china/image_1918th/81103222.pdf","81103222")</f>
        <v>81103222</v>
      </c>
      <c r="F258" s="9" t="s">
        <v>789</v>
      </c>
      <c r="G258" s="12" t="s">
        <v>790</v>
      </c>
      <c r="H258" s="9" t="s">
        <v>791</v>
      </c>
      <c r="I258" s="10">
        <v>45560</v>
      </c>
    </row>
    <row r="259" spans="1:9" x14ac:dyDescent="0.15">
      <c r="A259" s="9">
        <v>258</v>
      </c>
      <c r="B259" s="9" t="s">
        <v>9</v>
      </c>
      <c r="C259" s="9">
        <v>1918</v>
      </c>
      <c r="D259" s="10">
        <v>45663</v>
      </c>
      <c r="E259" s="13" t="str">
        <f>+HYPERLINK("http://trademark.i-assist.jp/data/china/image_1918th/81105504.pdf","81105504")</f>
        <v>81105504</v>
      </c>
      <c r="F259" s="9" t="s">
        <v>792</v>
      </c>
      <c r="G259" s="9" t="s">
        <v>57</v>
      </c>
      <c r="H259" s="9" t="s">
        <v>793</v>
      </c>
      <c r="I259" s="10">
        <v>45560</v>
      </c>
    </row>
    <row r="260" spans="1:9" x14ac:dyDescent="0.15">
      <c r="A260" s="9">
        <v>259</v>
      </c>
      <c r="B260" s="9" t="s">
        <v>9</v>
      </c>
      <c r="C260" s="9">
        <v>1918</v>
      </c>
      <c r="D260" s="10">
        <v>45663</v>
      </c>
      <c r="E260" s="13" t="str">
        <f>+HYPERLINK("http://trademark.i-assist.jp/data/china/image_1918th/81105586.pdf","81105586")</f>
        <v>81105586</v>
      </c>
      <c r="F260" s="9" t="s">
        <v>794</v>
      </c>
      <c r="G260" s="9" t="s">
        <v>795</v>
      </c>
      <c r="H260" s="9" t="s">
        <v>796</v>
      </c>
      <c r="I260" s="10">
        <v>45560</v>
      </c>
    </row>
    <row r="261" spans="1:9" x14ac:dyDescent="0.15">
      <c r="A261" s="9">
        <v>260</v>
      </c>
      <c r="B261" s="9" t="s">
        <v>9</v>
      </c>
      <c r="C261" s="9">
        <v>1918</v>
      </c>
      <c r="D261" s="10">
        <v>45663</v>
      </c>
      <c r="E261" s="13" t="str">
        <f>+HYPERLINK("http://trademark.i-assist.jp/data/china/image_1918th/81106671.pdf","81106671")</f>
        <v>81106671</v>
      </c>
      <c r="F261" s="9" t="s">
        <v>797</v>
      </c>
      <c r="G261" s="9" t="s">
        <v>798</v>
      </c>
      <c r="H261" s="9" t="s">
        <v>799</v>
      </c>
      <c r="I261" s="10">
        <v>45560</v>
      </c>
    </row>
    <row r="262" spans="1:9" x14ac:dyDescent="0.15">
      <c r="A262" s="9">
        <v>261</v>
      </c>
      <c r="B262" s="9" t="s">
        <v>9</v>
      </c>
      <c r="C262" s="9">
        <v>1918</v>
      </c>
      <c r="D262" s="10">
        <v>45663</v>
      </c>
      <c r="E262" s="13" t="str">
        <f>+HYPERLINK("http://trademark.i-assist.jp/data/china/image_1918th/81107252.pdf","81107252")</f>
        <v>81107252</v>
      </c>
      <c r="F262" s="12" t="s">
        <v>800</v>
      </c>
      <c r="G262" s="12" t="s">
        <v>763</v>
      </c>
      <c r="H262" s="9" t="s">
        <v>801</v>
      </c>
      <c r="I262" s="10">
        <v>45560</v>
      </c>
    </row>
    <row r="263" spans="1:9" x14ac:dyDescent="0.15">
      <c r="A263" s="9">
        <v>262</v>
      </c>
      <c r="B263" s="9" t="s">
        <v>9</v>
      </c>
      <c r="C263" s="9">
        <v>1918</v>
      </c>
      <c r="D263" s="10">
        <v>45663</v>
      </c>
      <c r="E263" s="13" t="str">
        <f>+HYPERLINK("http://trademark.i-assist.jp/data/china/image_1918th/81107394.pdf","81107394")</f>
        <v>81107394</v>
      </c>
      <c r="F263" s="9" t="s">
        <v>802</v>
      </c>
      <c r="G263" s="9" t="s">
        <v>803</v>
      </c>
      <c r="H263" s="9" t="s">
        <v>804</v>
      </c>
      <c r="I263" s="10">
        <v>45560</v>
      </c>
    </row>
    <row r="264" spans="1:9" x14ac:dyDescent="0.15">
      <c r="A264" s="9">
        <v>263</v>
      </c>
      <c r="B264" s="9" t="s">
        <v>9</v>
      </c>
      <c r="C264" s="9">
        <v>1918</v>
      </c>
      <c r="D264" s="10">
        <v>45663</v>
      </c>
      <c r="E264" s="13" t="str">
        <f>+HYPERLINK("http://trademark.i-assist.jp/data/china/image_1918th/81108314.pdf","81108314")</f>
        <v>81108314</v>
      </c>
      <c r="F264" s="12" t="s">
        <v>12</v>
      </c>
      <c r="G264" s="12" t="s">
        <v>805</v>
      </c>
      <c r="H264" s="9" t="s">
        <v>806</v>
      </c>
      <c r="I264" s="10">
        <v>45560</v>
      </c>
    </row>
    <row r="265" spans="1:9" x14ac:dyDescent="0.15">
      <c r="A265" s="9">
        <v>264</v>
      </c>
      <c r="B265" s="9" t="s">
        <v>9</v>
      </c>
      <c r="C265" s="9">
        <v>1918</v>
      </c>
      <c r="D265" s="10">
        <v>45663</v>
      </c>
      <c r="E265" s="13" t="str">
        <f>+HYPERLINK("http://trademark.i-assist.jp/data/china/image_1918th/81108463.pdf","81108463")</f>
        <v>81108463</v>
      </c>
      <c r="F265" s="9" t="s">
        <v>807</v>
      </c>
      <c r="G265" s="9" t="s">
        <v>51</v>
      </c>
      <c r="H265" s="9" t="s">
        <v>808</v>
      </c>
      <c r="I265" s="10">
        <v>45560</v>
      </c>
    </row>
    <row r="266" spans="1:9" x14ac:dyDescent="0.15">
      <c r="A266" s="9">
        <v>265</v>
      </c>
      <c r="B266" s="9" t="s">
        <v>9</v>
      </c>
      <c r="C266" s="9">
        <v>1918</v>
      </c>
      <c r="D266" s="10">
        <v>45663</v>
      </c>
      <c r="E266" s="13" t="str">
        <f>+HYPERLINK("http://trademark.i-assist.jp/data/china/image_1918th/81108755.pdf","81108755")</f>
        <v>81108755</v>
      </c>
      <c r="F266" s="9" t="s">
        <v>809</v>
      </c>
      <c r="G266" s="12" t="s">
        <v>32</v>
      </c>
      <c r="H266" s="9" t="s">
        <v>810</v>
      </c>
      <c r="I266" s="10">
        <v>45560</v>
      </c>
    </row>
    <row r="267" spans="1:9" x14ac:dyDescent="0.15">
      <c r="A267" s="9">
        <v>266</v>
      </c>
      <c r="B267" s="9" t="s">
        <v>9</v>
      </c>
      <c r="C267" s="9">
        <v>1918</v>
      </c>
      <c r="D267" s="10">
        <v>45663</v>
      </c>
      <c r="E267" s="13" t="str">
        <f>+HYPERLINK("http://trademark.i-assist.jp/data/china/image_1918th/81108916.pdf","81108916")</f>
        <v>81108916</v>
      </c>
      <c r="F267" s="12" t="s">
        <v>811</v>
      </c>
      <c r="G267" s="9" t="s">
        <v>778</v>
      </c>
      <c r="H267" s="9" t="s">
        <v>812</v>
      </c>
      <c r="I267" s="10">
        <v>45560</v>
      </c>
    </row>
    <row r="268" spans="1:9" x14ac:dyDescent="0.15">
      <c r="A268" s="9">
        <v>267</v>
      </c>
      <c r="B268" s="9" t="s">
        <v>9</v>
      </c>
      <c r="C268" s="9">
        <v>1918</v>
      </c>
      <c r="D268" s="10">
        <v>45663</v>
      </c>
      <c r="E268" s="13" t="str">
        <f>+HYPERLINK("http://trademark.i-assist.jp/data/china/image_1918th/81109123.pdf","81109123")</f>
        <v>81109123</v>
      </c>
      <c r="F268" s="9" t="s">
        <v>813</v>
      </c>
      <c r="G268" s="12" t="s">
        <v>32</v>
      </c>
      <c r="H268" s="9" t="s">
        <v>814</v>
      </c>
      <c r="I268" s="10">
        <v>45560</v>
      </c>
    </row>
    <row r="269" spans="1:9" x14ac:dyDescent="0.15">
      <c r="A269" s="9">
        <v>268</v>
      </c>
      <c r="B269" s="9" t="s">
        <v>9</v>
      </c>
      <c r="C269" s="9">
        <v>1918</v>
      </c>
      <c r="D269" s="10">
        <v>45663</v>
      </c>
      <c r="E269" s="13" t="str">
        <f>+HYPERLINK("http://trademark.i-assist.jp/data/china/image_1918th/81109331.pdf","81109331")</f>
        <v>81109331</v>
      </c>
      <c r="F269" s="12" t="s">
        <v>815</v>
      </c>
      <c r="G269" s="12" t="s">
        <v>816</v>
      </c>
      <c r="H269" s="9" t="s">
        <v>817</v>
      </c>
      <c r="I269" s="10">
        <v>45560</v>
      </c>
    </row>
    <row r="270" spans="1:9" x14ac:dyDescent="0.15">
      <c r="A270" s="9">
        <v>269</v>
      </c>
      <c r="B270" s="9" t="s">
        <v>9</v>
      </c>
      <c r="C270" s="9">
        <v>1918</v>
      </c>
      <c r="D270" s="10">
        <v>45663</v>
      </c>
      <c r="E270" s="13" t="str">
        <f>+HYPERLINK("http://trademark.i-assist.jp/data/china/image_1918th/81110184.pdf","81110184")</f>
        <v>81110184</v>
      </c>
      <c r="F270" s="9" t="s">
        <v>818</v>
      </c>
      <c r="G270" s="9" t="s">
        <v>19</v>
      </c>
      <c r="H270" s="9" t="s">
        <v>819</v>
      </c>
      <c r="I270" s="10">
        <v>45560</v>
      </c>
    </row>
    <row r="271" spans="1:9" x14ac:dyDescent="0.15">
      <c r="A271" s="9">
        <v>270</v>
      </c>
      <c r="B271" s="9" t="s">
        <v>9</v>
      </c>
      <c r="C271" s="9">
        <v>1918</v>
      </c>
      <c r="D271" s="10">
        <v>45663</v>
      </c>
      <c r="E271" s="13" t="str">
        <f>+HYPERLINK("http://trademark.i-assist.jp/data/china/image_1918th/81112447.pdf","81112447")</f>
        <v>81112447</v>
      </c>
      <c r="F271" s="9" t="s">
        <v>820</v>
      </c>
      <c r="G271" s="12" t="s">
        <v>821</v>
      </c>
      <c r="H271" s="12" t="s">
        <v>822</v>
      </c>
      <c r="I271" s="10">
        <v>45560</v>
      </c>
    </row>
    <row r="272" spans="1:9" x14ac:dyDescent="0.15">
      <c r="A272" s="9">
        <v>271</v>
      </c>
      <c r="B272" s="9" t="s">
        <v>9</v>
      </c>
      <c r="C272" s="9">
        <v>1918</v>
      </c>
      <c r="D272" s="10">
        <v>45663</v>
      </c>
      <c r="E272" s="13" t="str">
        <f>+HYPERLINK("http://trademark.i-assist.jp/data/china/image_1918th/81113520.pdf","81113520")</f>
        <v>81113520</v>
      </c>
      <c r="F272" s="9" t="s">
        <v>823</v>
      </c>
      <c r="G272" s="12" t="s">
        <v>824</v>
      </c>
      <c r="H272" s="9" t="s">
        <v>825</v>
      </c>
      <c r="I272" s="10">
        <v>45560</v>
      </c>
    </row>
    <row r="273" spans="1:9" x14ac:dyDescent="0.15">
      <c r="A273" s="9">
        <v>272</v>
      </c>
      <c r="B273" s="9" t="s">
        <v>9</v>
      </c>
      <c r="C273" s="9">
        <v>1918</v>
      </c>
      <c r="D273" s="10">
        <v>45663</v>
      </c>
      <c r="E273" s="13" t="str">
        <f>+HYPERLINK("http://trademark.i-assist.jp/data/china/image_1918th/81114967.pdf","81114967")</f>
        <v>81114967</v>
      </c>
      <c r="F273" s="9" t="s">
        <v>826</v>
      </c>
      <c r="G273" s="9" t="s">
        <v>827</v>
      </c>
      <c r="H273" s="9" t="s">
        <v>828</v>
      </c>
      <c r="I273" s="10">
        <v>45560</v>
      </c>
    </row>
    <row r="274" spans="1:9" x14ac:dyDescent="0.15">
      <c r="A274" s="9">
        <v>273</v>
      </c>
      <c r="B274" s="9" t="s">
        <v>9</v>
      </c>
      <c r="C274" s="9">
        <v>1918</v>
      </c>
      <c r="D274" s="10">
        <v>45663</v>
      </c>
      <c r="E274" s="13" t="str">
        <f>+HYPERLINK("http://trademark.i-assist.jp/data/china/image_1918th/81115589.pdf","81115589")</f>
        <v>81115589</v>
      </c>
      <c r="F274" s="9" t="s">
        <v>829</v>
      </c>
      <c r="G274" s="9" t="s">
        <v>830</v>
      </c>
      <c r="H274" s="9" t="s">
        <v>831</v>
      </c>
      <c r="I274" s="10">
        <v>45560</v>
      </c>
    </row>
    <row r="275" spans="1:9" x14ac:dyDescent="0.15">
      <c r="A275" s="9">
        <v>274</v>
      </c>
      <c r="B275" s="9" t="s">
        <v>9</v>
      </c>
      <c r="C275" s="9">
        <v>1918</v>
      </c>
      <c r="D275" s="10">
        <v>45663</v>
      </c>
      <c r="E275" s="13" t="str">
        <f>+HYPERLINK("http://trademark.i-assist.jp/data/china/image_1918th/81115627.pdf","81115627")</f>
        <v>81115627</v>
      </c>
      <c r="F275" s="9" t="s">
        <v>832</v>
      </c>
      <c r="G275" s="12" t="s">
        <v>833</v>
      </c>
      <c r="H275" s="9" t="s">
        <v>834</v>
      </c>
      <c r="I275" s="10">
        <v>45560</v>
      </c>
    </row>
    <row r="276" spans="1:9" x14ac:dyDescent="0.15">
      <c r="A276" s="9">
        <v>275</v>
      </c>
      <c r="B276" s="9" t="s">
        <v>9</v>
      </c>
      <c r="C276" s="9">
        <v>1918</v>
      </c>
      <c r="D276" s="10">
        <v>45663</v>
      </c>
      <c r="E276" s="13" t="str">
        <f>+HYPERLINK("http://trademark.i-assist.jp/data/china/image_1918th/81116043.pdf","81116043")</f>
        <v>81116043</v>
      </c>
      <c r="F276" s="9" t="s">
        <v>835</v>
      </c>
      <c r="G276" s="9" t="s">
        <v>836</v>
      </c>
      <c r="H276" s="9" t="s">
        <v>837</v>
      </c>
      <c r="I276" s="10">
        <v>45560</v>
      </c>
    </row>
    <row r="277" spans="1:9" x14ac:dyDescent="0.15">
      <c r="A277" s="9">
        <v>276</v>
      </c>
      <c r="B277" s="9" t="s">
        <v>9</v>
      </c>
      <c r="C277" s="9">
        <v>1918</v>
      </c>
      <c r="D277" s="10">
        <v>45663</v>
      </c>
      <c r="E277" s="13" t="str">
        <f>+HYPERLINK("http://trademark.i-assist.jp/data/china/image_1918th/81116361.pdf","81116361")</f>
        <v>81116361</v>
      </c>
      <c r="F277" s="9" t="s">
        <v>838</v>
      </c>
      <c r="G277" s="9" t="s">
        <v>839</v>
      </c>
      <c r="H277" s="9" t="s">
        <v>840</v>
      </c>
      <c r="I277" s="10">
        <v>45560</v>
      </c>
    </row>
    <row r="278" spans="1:9" x14ac:dyDescent="0.15">
      <c r="A278" s="9">
        <v>277</v>
      </c>
      <c r="B278" s="9" t="s">
        <v>9</v>
      </c>
      <c r="C278" s="9">
        <v>1918</v>
      </c>
      <c r="D278" s="10">
        <v>45663</v>
      </c>
      <c r="E278" s="13" t="str">
        <f>+HYPERLINK("http://trademark.i-assist.jp/data/china/image_1918th/81116730.pdf","81116730")</f>
        <v>81116730</v>
      </c>
      <c r="F278" s="9" t="s">
        <v>841</v>
      </c>
      <c r="G278" s="9" t="s">
        <v>842</v>
      </c>
      <c r="H278" s="12" t="s">
        <v>843</v>
      </c>
      <c r="I278" s="10">
        <v>45560</v>
      </c>
    </row>
    <row r="279" spans="1:9" x14ac:dyDescent="0.15">
      <c r="A279" s="9">
        <v>278</v>
      </c>
      <c r="B279" s="9" t="s">
        <v>9</v>
      </c>
      <c r="C279" s="9">
        <v>1918</v>
      </c>
      <c r="D279" s="10">
        <v>45663</v>
      </c>
      <c r="E279" s="13" t="str">
        <f>+HYPERLINK("http://trademark.i-assist.jp/data/china/image_1918th/81117023.pdf","81117023")</f>
        <v>81117023</v>
      </c>
      <c r="F279" s="12" t="s">
        <v>844</v>
      </c>
      <c r="G279" s="9" t="s">
        <v>845</v>
      </c>
      <c r="H279" s="9" t="s">
        <v>846</v>
      </c>
      <c r="I279" s="10">
        <v>45560</v>
      </c>
    </row>
    <row r="280" spans="1:9" x14ac:dyDescent="0.15">
      <c r="A280" s="9">
        <v>279</v>
      </c>
      <c r="B280" s="9" t="s">
        <v>9</v>
      </c>
      <c r="C280" s="9">
        <v>1918</v>
      </c>
      <c r="D280" s="10">
        <v>45663</v>
      </c>
      <c r="E280" s="13" t="str">
        <f>+HYPERLINK("http://trademark.i-assist.jp/data/china/image_1918th/81117988.pdf","81117988")</f>
        <v>81117988</v>
      </c>
      <c r="F280" s="9" t="s">
        <v>847</v>
      </c>
      <c r="G280" s="12" t="s">
        <v>848</v>
      </c>
      <c r="H280" s="12" t="s">
        <v>849</v>
      </c>
      <c r="I280" s="10">
        <v>45560</v>
      </c>
    </row>
    <row r="281" spans="1:9" x14ac:dyDescent="0.15">
      <c r="A281" s="9">
        <v>280</v>
      </c>
      <c r="B281" s="9" t="s">
        <v>9</v>
      </c>
      <c r="C281" s="9">
        <v>1918</v>
      </c>
      <c r="D281" s="10">
        <v>45663</v>
      </c>
      <c r="E281" s="13" t="str">
        <f>+HYPERLINK("http://trademark.i-assist.jp/data/china/image_1918th/81118455.pdf","81118455")</f>
        <v>81118455</v>
      </c>
      <c r="F281" s="12" t="s">
        <v>850</v>
      </c>
      <c r="G281" s="9" t="s">
        <v>803</v>
      </c>
      <c r="H281" s="9" t="s">
        <v>851</v>
      </c>
      <c r="I281" s="10">
        <v>45560</v>
      </c>
    </row>
    <row r="282" spans="1:9" x14ac:dyDescent="0.15">
      <c r="A282" s="9">
        <v>281</v>
      </c>
      <c r="B282" s="9" t="s">
        <v>9</v>
      </c>
      <c r="C282" s="9">
        <v>1918</v>
      </c>
      <c r="D282" s="10">
        <v>45663</v>
      </c>
      <c r="E282" s="13" t="str">
        <f>+HYPERLINK("http://trademark.i-assist.jp/data/china/image_1918th/81118651.pdf","81118651")</f>
        <v>81118651</v>
      </c>
      <c r="F282" s="9" t="s">
        <v>852</v>
      </c>
      <c r="G282" s="9" t="s">
        <v>853</v>
      </c>
      <c r="H282" s="9" t="s">
        <v>854</v>
      </c>
      <c r="I282" s="10">
        <v>45560</v>
      </c>
    </row>
    <row r="283" spans="1:9" x14ac:dyDescent="0.15">
      <c r="A283" s="9">
        <v>282</v>
      </c>
      <c r="B283" s="9" t="s">
        <v>9</v>
      </c>
      <c r="C283" s="9">
        <v>1918</v>
      </c>
      <c r="D283" s="10">
        <v>45663</v>
      </c>
      <c r="E283" s="13" t="str">
        <f>+HYPERLINK("http://trademark.i-assist.jp/data/china/image_1918th/81119118.pdf","81119118")</f>
        <v>81119118</v>
      </c>
      <c r="F283" s="12" t="s">
        <v>855</v>
      </c>
      <c r="G283" s="9" t="s">
        <v>856</v>
      </c>
      <c r="H283" s="9" t="s">
        <v>857</v>
      </c>
      <c r="I283" s="10">
        <v>45561</v>
      </c>
    </row>
    <row r="284" spans="1:9" x14ac:dyDescent="0.15">
      <c r="A284" s="9">
        <v>283</v>
      </c>
      <c r="B284" s="9" t="s">
        <v>9</v>
      </c>
      <c r="C284" s="9">
        <v>1918</v>
      </c>
      <c r="D284" s="10">
        <v>45663</v>
      </c>
      <c r="E284" s="13" t="str">
        <f>+HYPERLINK("http://trademark.i-assist.jp/data/china/image_1918th/81119443.pdf","81119443")</f>
        <v>81119443</v>
      </c>
      <c r="F284" s="9" t="s">
        <v>858</v>
      </c>
      <c r="G284" s="9" t="s">
        <v>50</v>
      </c>
      <c r="H284" s="9" t="s">
        <v>859</v>
      </c>
      <c r="I284" s="10">
        <v>45561</v>
      </c>
    </row>
    <row r="285" spans="1:9" x14ac:dyDescent="0.15">
      <c r="A285" s="9">
        <v>284</v>
      </c>
      <c r="B285" s="9" t="s">
        <v>9</v>
      </c>
      <c r="C285" s="9">
        <v>1918</v>
      </c>
      <c r="D285" s="10">
        <v>45663</v>
      </c>
      <c r="E285" s="13" t="str">
        <f>+HYPERLINK("http://trademark.i-assist.jp/data/china/image_1918th/81120014.pdf","81120014")</f>
        <v>81120014</v>
      </c>
      <c r="F285" s="9" t="s">
        <v>860</v>
      </c>
      <c r="G285" s="9" t="s">
        <v>861</v>
      </c>
      <c r="H285" s="9" t="s">
        <v>862</v>
      </c>
      <c r="I285" s="10">
        <v>45561</v>
      </c>
    </row>
    <row r="286" spans="1:9" x14ac:dyDescent="0.15">
      <c r="A286" s="9">
        <v>285</v>
      </c>
      <c r="B286" s="9" t="s">
        <v>9</v>
      </c>
      <c r="C286" s="9">
        <v>1918</v>
      </c>
      <c r="D286" s="10">
        <v>45663</v>
      </c>
      <c r="E286" s="13" t="str">
        <f>+HYPERLINK("http://trademark.i-assist.jp/data/china/image_1918th/81120208.pdf","81120208")</f>
        <v>81120208</v>
      </c>
      <c r="F286" s="9" t="s">
        <v>863</v>
      </c>
      <c r="G286" s="12" t="s">
        <v>864</v>
      </c>
      <c r="H286" s="9" t="s">
        <v>865</v>
      </c>
      <c r="I286" s="10">
        <v>45561</v>
      </c>
    </row>
    <row r="287" spans="1:9" x14ac:dyDescent="0.15">
      <c r="A287" s="9">
        <v>286</v>
      </c>
      <c r="B287" s="9" t="s">
        <v>9</v>
      </c>
      <c r="C287" s="9">
        <v>1918</v>
      </c>
      <c r="D287" s="10">
        <v>45663</v>
      </c>
      <c r="E287" s="13" t="str">
        <f>+HYPERLINK("http://trademark.i-assist.jp/data/china/image_1918th/81121491.pdf","81121491")</f>
        <v>81121491</v>
      </c>
      <c r="F287" s="12" t="s">
        <v>866</v>
      </c>
      <c r="G287" s="12" t="s">
        <v>867</v>
      </c>
      <c r="H287" s="9" t="s">
        <v>868</v>
      </c>
      <c r="I287" s="10">
        <v>45561</v>
      </c>
    </row>
    <row r="288" spans="1:9" x14ac:dyDescent="0.15">
      <c r="A288" s="9">
        <v>287</v>
      </c>
      <c r="B288" s="9" t="s">
        <v>9</v>
      </c>
      <c r="C288" s="9">
        <v>1918</v>
      </c>
      <c r="D288" s="10">
        <v>45663</v>
      </c>
      <c r="E288" s="13" t="str">
        <f>+HYPERLINK("http://trademark.i-assist.jp/data/china/image_1918th/81123162.pdf","81123162")</f>
        <v>81123162</v>
      </c>
      <c r="F288" s="9" t="s">
        <v>869</v>
      </c>
      <c r="G288" s="9" t="s">
        <v>870</v>
      </c>
      <c r="H288" s="9" t="s">
        <v>871</v>
      </c>
      <c r="I288" s="10">
        <v>45561</v>
      </c>
    </row>
    <row r="289" spans="1:9" x14ac:dyDescent="0.15">
      <c r="A289" s="9">
        <v>288</v>
      </c>
      <c r="B289" s="9" t="s">
        <v>9</v>
      </c>
      <c r="C289" s="9">
        <v>1918</v>
      </c>
      <c r="D289" s="10">
        <v>45663</v>
      </c>
      <c r="E289" s="13" t="str">
        <f>+HYPERLINK("http://trademark.i-assist.jp/data/china/image_1918th/81123220.pdf","81123220")</f>
        <v>81123220</v>
      </c>
      <c r="F289" s="9" t="s">
        <v>872</v>
      </c>
      <c r="G289" s="12" t="s">
        <v>873</v>
      </c>
      <c r="H289" s="12" t="s">
        <v>874</v>
      </c>
      <c r="I289" s="10">
        <v>45561</v>
      </c>
    </row>
    <row r="290" spans="1:9" x14ac:dyDescent="0.15">
      <c r="A290" s="9">
        <v>289</v>
      </c>
      <c r="B290" s="9" t="s">
        <v>9</v>
      </c>
      <c r="C290" s="9">
        <v>1918</v>
      </c>
      <c r="D290" s="10">
        <v>45663</v>
      </c>
      <c r="E290" s="13" t="str">
        <f>+HYPERLINK("http://trademark.i-assist.jp/data/china/image_1918th/81123723.pdf","81123723")</f>
        <v>81123723</v>
      </c>
      <c r="F290" s="9" t="s">
        <v>875</v>
      </c>
      <c r="G290" s="9" t="s">
        <v>876</v>
      </c>
      <c r="H290" s="9" t="s">
        <v>877</v>
      </c>
      <c r="I290" s="10">
        <v>45561</v>
      </c>
    </row>
    <row r="291" spans="1:9" x14ac:dyDescent="0.15">
      <c r="A291" s="9">
        <v>290</v>
      </c>
      <c r="B291" s="9" t="s">
        <v>9</v>
      </c>
      <c r="C291" s="9">
        <v>1918</v>
      </c>
      <c r="D291" s="10">
        <v>45663</v>
      </c>
      <c r="E291" s="13" t="str">
        <f>+HYPERLINK("http://trademark.i-assist.jp/data/china/image_1918th/81123819.pdf","81123819")</f>
        <v>81123819</v>
      </c>
      <c r="F291" s="9" t="s">
        <v>878</v>
      </c>
      <c r="G291" s="9" t="s">
        <v>861</v>
      </c>
      <c r="H291" s="9" t="s">
        <v>879</v>
      </c>
      <c r="I291" s="10">
        <v>45561</v>
      </c>
    </row>
    <row r="292" spans="1:9" x14ac:dyDescent="0.15">
      <c r="A292" s="9">
        <v>291</v>
      </c>
      <c r="B292" s="9" t="s">
        <v>9</v>
      </c>
      <c r="C292" s="9">
        <v>1918</v>
      </c>
      <c r="D292" s="10">
        <v>45663</v>
      </c>
      <c r="E292" s="13" t="str">
        <f>+HYPERLINK("http://trademark.i-assist.jp/data/china/image_1918th/81123829.pdf","81123829")</f>
        <v>81123829</v>
      </c>
      <c r="F292" s="9" t="s">
        <v>880</v>
      </c>
      <c r="G292" s="9" t="s">
        <v>861</v>
      </c>
      <c r="H292" s="9" t="s">
        <v>881</v>
      </c>
      <c r="I292" s="10">
        <v>45561</v>
      </c>
    </row>
    <row r="293" spans="1:9" x14ac:dyDescent="0.15">
      <c r="A293" s="9">
        <v>292</v>
      </c>
      <c r="B293" s="9" t="s">
        <v>9</v>
      </c>
      <c r="C293" s="9">
        <v>1918</v>
      </c>
      <c r="D293" s="10">
        <v>45663</v>
      </c>
      <c r="E293" s="13" t="str">
        <f>+HYPERLINK("http://trademark.i-assist.jp/data/china/image_1918th/81123958.pdf","81123958")</f>
        <v>81123958</v>
      </c>
      <c r="F293" s="9" t="s">
        <v>882</v>
      </c>
      <c r="G293" s="9" t="s">
        <v>883</v>
      </c>
      <c r="H293" s="9" t="s">
        <v>884</v>
      </c>
      <c r="I293" s="10">
        <v>45561</v>
      </c>
    </row>
    <row r="294" spans="1:9" x14ac:dyDescent="0.15">
      <c r="A294" s="9">
        <v>293</v>
      </c>
      <c r="B294" s="9" t="s">
        <v>9</v>
      </c>
      <c r="C294" s="9">
        <v>1918</v>
      </c>
      <c r="D294" s="10">
        <v>45663</v>
      </c>
      <c r="E294" s="13" t="str">
        <f>+HYPERLINK("http://trademark.i-assist.jp/data/china/image_1918th/81124061.pdf","81124061")</f>
        <v>81124061</v>
      </c>
      <c r="F294" s="9" t="s">
        <v>885</v>
      </c>
      <c r="G294" s="9" t="s">
        <v>886</v>
      </c>
      <c r="H294" s="9" t="s">
        <v>887</v>
      </c>
      <c r="I294" s="10">
        <v>45561</v>
      </c>
    </row>
    <row r="295" spans="1:9" x14ac:dyDescent="0.15">
      <c r="A295" s="9">
        <v>294</v>
      </c>
      <c r="B295" s="9" t="s">
        <v>9</v>
      </c>
      <c r="C295" s="9">
        <v>1918</v>
      </c>
      <c r="D295" s="10">
        <v>45663</v>
      </c>
      <c r="E295" s="13" t="str">
        <f>+HYPERLINK("http://trademark.i-assist.jp/data/china/image_1918th/81124307.pdf","81124307")</f>
        <v>81124307</v>
      </c>
      <c r="F295" s="9" t="s">
        <v>888</v>
      </c>
      <c r="G295" s="9" t="s">
        <v>889</v>
      </c>
      <c r="H295" s="9" t="s">
        <v>890</v>
      </c>
      <c r="I295" s="10">
        <v>45561</v>
      </c>
    </row>
    <row r="296" spans="1:9" x14ac:dyDescent="0.15">
      <c r="A296" s="9">
        <v>295</v>
      </c>
      <c r="B296" s="9" t="s">
        <v>9</v>
      </c>
      <c r="C296" s="9">
        <v>1918</v>
      </c>
      <c r="D296" s="10">
        <v>45663</v>
      </c>
      <c r="E296" s="13" t="str">
        <f>+HYPERLINK("http://trademark.i-assist.jp/data/china/image_1918th/81124356.pdf","81124356")</f>
        <v>81124356</v>
      </c>
      <c r="F296" s="9" t="s">
        <v>891</v>
      </c>
      <c r="G296" s="12" t="s">
        <v>892</v>
      </c>
      <c r="H296" s="9" t="s">
        <v>893</v>
      </c>
      <c r="I296" s="10">
        <v>45561</v>
      </c>
    </row>
    <row r="297" spans="1:9" x14ac:dyDescent="0.15">
      <c r="A297" s="9">
        <v>296</v>
      </c>
      <c r="B297" s="9" t="s">
        <v>9</v>
      </c>
      <c r="C297" s="9">
        <v>1918</v>
      </c>
      <c r="D297" s="10">
        <v>45663</v>
      </c>
      <c r="E297" s="13" t="str">
        <f>+HYPERLINK("http://trademark.i-assist.jp/data/china/image_1918th/81124559.pdf","81124559")</f>
        <v>81124559</v>
      </c>
      <c r="F297" s="12" t="s">
        <v>12</v>
      </c>
      <c r="G297" s="9" t="s">
        <v>894</v>
      </c>
      <c r="H297" s="9" t="s">
        <v>895</v>
      </c>
      <c r="I297" s="10">
        <v>45561</v>
      </c>
    </row>
    <row r="298" spans="1:9" x14ac:dyDescent="0.15">
      <c r="A298" s="9">
        <v>297</v>
      </c>
      <c r="B298" s="9" t="s">
        <v>9</v>
      </c>
      <c r="C298" s="9">
        <v>1918</v>
      </c>
      <c r="D298" s="10">
        <v>45663</v>
      </c>
      <c r="E298" s="13" t="str">
        <f>+HYPERLINK("http://trademark.i-assist.jp/data/china/image_1918th/81124963.pdf","81124963")</f>
        <v>81124963</v>
      </c>
      <c r="F298" s="9" t="s">
        <v>896</v>
      </c>
      <c r="G298" s="9" t="s">
        <v>897</v>
      </c>
      <c r="H298" s="9" t="s">
        <v>898</v>
      </c>
      <c r="I298" s="10">
        <v>45561</v>
      </c>
    </row>
    <row r="299" spans="1:9" x14ac:dyDescent="0.15">
      <c r="A299" s="9">
        <v>298</v>
      </c>
      <c r="B299" s="9" t="s">
        <v>9</v>
      </c>
      <c r="C299" s="9">
        <v>1918</v>
      </c>
      <c r="D299" s="10">
        <v>45663</v>
      </c>
      <c r="E299" s="13" t="str">
        <f>+HYPERLINK("http://trademark.i-assist.jp/data/china/image_1918th/81125852.pdf","81125852")</f>
        <v>81125852</v>
      </c>
      <c r="F299" s="9" t="s">
        <v>899</v>
      </c>
      <c r="G299" s="9" t="s">
        <v>900</v>
      </c>
      <c r="H299" s="9" t="s">
        <v>901</v>
      </c>
      <c r="I299" s="10">
        <v>45561</v>
      </c>
    </row>
    <row r="300" spans="1:9" x14ac:dyDescent="0.15">
      <c r="A300" s="9">
        <v>299</v>
      </c>
      <c r="B300" s="9" t="s">
        <v>9</v>
      </c>
      <c r="C300" s="9">
        <v>1918</v>
      </c>
      <c r="D300" s="10">
        <v>45663</v>
      </c>
      <c r="E300" s="13" t="str">
        <f>+HYPERLINK("http://trademark.i-assist.jp/data/china/image_1918th/81125956.pdf","81125956")</f>
        <v>81125956</v>
      </c>
      <c r="F300" s="9" t="s">
        <v>902</v>
      </c>
      <c r="G300" s="9" t="s">
        <v>903</v>
      </c>
      <c r="H300" s="9" t="s">
        <v>904</v>
      </c>
      <c r="I300" s="10">
        <v>45561</v>
      </c>
    </row>
    <row r="301" spans="1:9" x14ac:dyDescent="0.15">
      <c r="A301" s="9">
        <v>300</v>
      </c>
      <c r="B301" s="9" t="s">
        <v>9</v>
      </c>
      <c r="C301" s="9">
        <v>1918</v>
      </c>
      <c r="D301" s="10">
        <v>45663</v>
      </c>
      <c r="E301" s="13" t="str">
        <f>+HYPERLINK("http://trademark.i-assist.jp/data/china/image_1918th/81126066.pdf","81126066")</f>
        <v>81126066</v>
      </c>
      <c r="F301" s="9" t="s">
        <v>905</v>
      </c>
      <c r="G301" s="12" t="s">
        <v>906</v>
      </c>
      <c r="H301" s="9" t="s">
        <v>907</v>
      </c>
      <c r="I301" s="10">
        <v>45561</v>
      </c>
    </row>
    <row r="302" spans="1:9" x14ac:dyDescent="0.15">
      <c r="A302" s="9">
        <v>301</v>
      </c>
      <c r="B302" s="9" t="s">
        <v>9</v>
      </c>
      <c r="C302" s="9">
        <v>1918</v>
      </c>
      <c r="D302" s="10">
        <v>45663</v>
      </c>
      <c r="E302" s="13" t="str">
        <f>+HYPERLINK("http://trademark.i-assist.jp/data/china/image_1918th/81126149.pdf","81126149")</f>
        <v>81126149</v>
      </c>
      <c r="F302" s="9" t="s">
        <v>908</v>
      </c>
      <c r="G302" s="9" t="s">
        <v>909</v>
      </c>
      <c r="H302" s="9" t="s">
        <v>910</v>
      </c>
      <c r="I302" s="10">
        <v>45561</v>
      </c>
    </row>
    <row r="303" spans="1:9" x14ac:dyDescent="0.15">
      <c r="A303" s="9">
        <v>302</v>
      </c>
      <c r="B303" s="9" t="s">
        <v>9</v>
      </c>
      <c r="C303" s="9">
        <v>1918</v>
      </c>
      <c r="D303" s="10">
        <v>45663</v>
      </c>
      <c r="E303" s="13" t="str">
        <f>+HYPERLINK("http://trademark.i-assist.jp/data/china/image_1918th/81126290.pdf","81126290")</f>
        <v>81126290</v>
      </c>
      <c r="F303" s="9" t="s">
        <v>911</v>
      </c>
      <c r="G303" s="12" t="s">
        <v>912</v>
      </c>
      <c r="H303" s="9" t="s">
        <v>913</v>
      </c>
      <c r="I303" s="10">
        <v>45561</v>
      </c>
    </row>
    <row r="304" spans="1:9" x14ac:dyDescent="0.15">
      <c r="A304" s="9">
        <v>303</v>
      </c>
      <c r="B304" s="9" t="s">
        <v>9</v>
      </c>
      <c r="C304" s="9">
        <v>1918</v>
      </c>
      <c r="D304" s="10">
        <v>45663</v>
      </c>
      <c r="E304" s="13" t="str">
        <f>+HYPERLINK("http://trademark.i-assist.jp/data/china/image_1918th/81126641.pdf","81126641")</f>
        <v>81126641</v>
      </c>
      <c r="F304" s="12" t="s">
        <v>914</v>
      </c>
      <c r="G304" s="9" t="s">
        <v>856</v>
      </c>
      <c r="H304" s="9" t="s">
        <v>915</v>
      </c>
      <c r="I304" s="10">
        <v>45561</v>
      </c>
    </row>
    <row r="305" spans="1:9" x14ac:dyDescent="0.15">
      <c r="A305" s="9">
        <v>304</v>
      </c>
      <c r="B305" s="9" t="s">
        <v>9</v>
      </c>
      <c r="C305" s="9">
        <v>1918</v>
      </c>
      <c r="D305" s="10">
        <v>45663</v>
      </c>
      <c r="E305" s="13" t="str">
        <f>+HYPERLINK("http://trademark.i-assist.jp/data/china/image_1918th/81126942.pdf","81126942")</f>
        <v>81126942</v>
      </c>
      <c r="F305" s="9" t="s">
        <v>858</v>
      </c>
      <c r="G305" s="9" t="s">
        <v>50</v>
      </c>
      <c r="H305" s="9" t="s">
        <v>916</v>
      </c>
      <c r="I305" s="10">
        <v>45561</v>
      </c>
    </row>
    <row r="306" spans="1:9" x14ac:dyDescent="0.15">
      <c r="A306" s="9">
        <v>305</v>
      </c>
      <c r="B306" s="9" t="s">
        <v>9</v>
      </c>
      <c r="C306" s="9">
        <v>1918</v>
      </c>
      <c r="D306" s="10">
        <v>45663</v>
      </c>
      <c r="E306" s="13" t="str">
        <f>+HYPERLINK("http://trademark.i-assist.jp/data/china/image_1918th/81127224.pdf","81127224")</f>
        <v>81127224</v>
      </c>
      <c r="F306" s="9" t="s">
        <v>917</v>
      </c>
      <c r="G306" s="12" t="s">
        <v>918</v>
      </c>
      <c r="H306" s="9" t="s">
        <v>919</v>
      </c>
      <c r="I306" s="10">
        <v>45561</v>
      </c>
    </row>
    <row r="307" spans="1:9" x14ac:dyDescent="0.15">
      <c r="A307" s="9">
        <v>306</v>
      </c>
      <c r="B307" s="9" t="s">
        <v>9</v>
      </c>
      <c r="C307" s="9">
        <v>1918</v>
      </c>
      <c r="D307" s="10">
        <v>45663</v>
      </c>
      <c r="E307" s="13" t="str">
        <f>+HYPERLINK("http://trademark.i-assist.jp/data/china/image_1918th/81127547.pdf","81127547")</f>
        <v>81127547</v>
      </c>
      <c r="F307" s="9" t="s">
        <v>920</v>
      </c>
      <c r="G307" s="9" t="s">
        <v>921</v>
      </c>
      <c r="H307" s="9" t="s">
        <v>922</v>
      </c>
      <c r="I307" s="10">
        <v>45561</v>
      </c>
    </row>
    <row r="308" spans="1:9" x14ac:dyDescent="0.15">
      <c r="A308" s="9">
        <v>307</v>
      </c>
      <c r="B308" s="9" t="s">
        <v>9</v>
      </c>
      <c r="C308" s="9">
        <v>1918</v>
      </c>
      <c r="D308" s="10">
        <v>45663</v>
      </c>
      <c r="E308" s="13" t="str">
        <f>+HYPERLINK("http://trademark.i-assist.jp/data/china/image_1918th/81127660.pdf","81127660")</f>
        <v>81127660</v>
      </c>
      <c r="F308" s="12" t="s">
        <v>923</v>
      </c>
      <c r="G308" s="9" t="s">
        <v>924</v>
      </c>
      <c r="H308" s="9" t="s">
        <v>925</v>
      </c>
      <c r="I308" s="10">
        <v>45561</v>
      </c>
    </row>
    <row r="309" spans="1:9" x14ac:dyDescent="0.15">
      <c r="A309" s="9">
        <v>308</v>
      </c>
      <c r="B309" s="9" t="s">
        <v>9</v>
      </c>
      <c r="C309" s="9">
        <v>1918</v>
      </c>
      <c r="D309" s="10">
        <v>45663</v>
      </c>
      <c r="E309" s="13" t="str">
        <f>+HYPERLINK("http://trademark.i-assist.jp/data/china/image_1918th/81127684.pdf","81127684")</f>
        <v>81127684</v>
      </c>
      <c r="F309" s="9" t="s">
        <v>926</v>
      </c>
      <c r="G309" s="9" t="s">
        <v>886</v>
      </c>
      <c r="H309" s="9" t="s">
        <v>927</v>
      </c>
      <c r="I309" s="10">
        <v>45561</v>
      </c>
    </row>
    <row r="310" spans="1:9" x14ac:dyDescent="0.15">
      <c r="A310" s="9">
        <v>309</v>
      </c>
      <c r="B310" s="9" t="s">
        <v>9</v>
      </c>
      <c r="C310" s="9">
        <v>1918</v>
      </c>
      <c r="D310" s="10">
        <v>45663</v>
      </c>
      <c r="E310" s="13" t="str">
        <f>+HYPERLINK("http://trademark.i-assist.jp/data/china/image_1918th/81128078.pdf","81128078")</f>
        <v>81128078</v>
      </c>
      <c r="F310" s="9" t="s">
        <v>928</v>
      </c>
      <c r="G310" s="9" t="s">
        <v>929</v>
      </c>
      <c r="H310" s="9" t="s">
        <v>930</v>
      </c>
      <c r="I310" s="10">
        <v>45561</v>
      </c>
    </row>
    <row r="311" spans="1:9" x14ac:dyDescent="0.15">
      <c r="A311" s="9">
        <v>310</v>
      </c>
      <c r="B311" s="9" t="s">
        <v>9</v>
      </c>
      <c r="C311" s="9">
        <v>1918</v>
      </c>
      <c r="D311" s="10">
        <v>45663</v>
      </c>
      <c r="E311" s="13" t="str">
        <f>+HYPERLINK("http://trademark.i-assist.jp/data/china/image_1918th/81128862.pdf","81128862")</f>
        <v>81128862</v>
      </c>
      <c r="F311" s="9" t="s">
        <v>931</v>
      </c>
      <c r="G311" s="12" t="s">
        <v>932</v>
      </c>
      <c r="H311" s="9" t="s">
        <v>933</v>
      </c>
      <c r="I311" s="10">
        <v>45561</v>
      </c>
    </row>
    <row r="312" spans="1:9" x14ac:dyDescent="0.15">
      <c r="A312" s="9">
        <v>311</v>
      </c>
      <c r="B312" s="9" t="s">
        <v>9</v>
      </c>
      <c r="C312" s="9">
        <v>1918</v>
      </c>
      <c r="D312" s="10">
        <v>45663</v>
      </c>
      <c r="E312" s="13" t="str">
        <f>+HYPERLINK("http://trademark.i-assist.jp/data/china/image_1918th/81129403.pdf","81129403")</f>
        <v>81129403</v>
      </c>
      <c r="F312" s="9" t="s">
        <v>934</v>
      </c>
      <c r="G312" s="9" t="s">
        <v>935</v>
      </c>
      <c r="H312" s="9" t="s">
        <v>936</v>
      </c>
      <c r="I312" s="10">
        <v>45561</v>
      </c>
    </row>
    <row r="313" spans="1:9" x14ac:dyDescent="0.15">
      <c r="A313" s="9">
        <v>312</v>
      </c>
      <c r="B313" s="9" t="s">
        <v>9</v>
      </c>
      <c r="C313" s="9">
        <v>1918</v>
      </c>
      <c r="D313" s="10">
        <v>45663</v>
      </c>
      <c r="E313" s="13" t="str">
        <f>+HYPERLINK("http://trademark.i-assist.jp/data/china/image_1918th/81129563.pdf","81129563")</f>
        <v>81129563</v>
      </c>
      <c r="F313" s="9" t="s">
        <v>858</v>
      </c>
      <c r="G313" s="9" t="s">
        <v>50</v>
      </c>
      <c r="H313" s="9" t="s">
        <v>937</v>
      </c>
      <c r="I313" s="10">
        <v>45561</v>
      </c>
    </row>
    <row r="314" spans="1:9" x14ac:dyDescent="0.15">
      <c r="A314" s="9">
        <v>313</v>
      </c>
      <c r="B314" s="9" t="s">
        <v>9</v>
      </c>
      <c r="C314" s="9">
        <v>1918</v>
      </c>
      <c r="D314" s="10">
        <v>45663</v>
      </c>
      <c r="E314" s="13" t="str">
        <f>+HYPERLINK("http://trademark.i-assist.jp/data/china/image_1918th/81130350.pdf","81130350")</f>
        <v>81130350</v>
      </c>
      <c r="F314" s="12" t="s">
        <v>938</v>
      </c>
      <c r="G314" s="9" t="s">
        <v>939</v>
      </c>
      <c r="H314" s="9" t="s">
        <v>940</v>
      </c>
      <c r="I314" s="10">
        <v>45561</v>
      </c>
    </row>
    <row r="315" spans="1:9" x14ac:dyDescent="0.15">
      <c r="A315" s="9">
        <v>314</v>
      </c>
      <c r="B315" s="9" t="s">
        <v>9</v>
      </c>
      <c r="C315" s="9">
        <v>1918</v>
      </c>
      <c r="D315" s="10">
        <v>45663</v>
      </c>
      <c r="E315" s="13" t="str">
        <f>+HYPERLINK("http://trademark.i-assist.jp/data/china/image_1918th/81130931.pdf","81130931")</f>
        <v>81130931</v>
      </c>
      <c r="F315" s="9" t="s">
        <v>941</v>
      </c>
      <c r="G315" s="12" t="s">
        <v>942</v>
      </c>
      <c r="H315" s="9" t="s">
        <v>943</v>
      </c>
      <c r="I315" s="10">
        <v>45561</v>
      </c>
    </row>
    <row r="316" spans="1:9" x14ac:dyDescent="0.15">
      <c r="A316" s="9">
        <v>315</v>
      </c>
      <c r="B316" s="9" t="s">
        <v>9</v>
      </c>
      <c r="C316" s="9">
        <v>1918</v>
      </c>
      <c r="D316" s="10">
        <v>45663</v>
      </c>
      <c r="E316" s="13" t="str">
        <f>+HYPERLINK("http://trademark.i-assist.jp/data/china/image_1918th/81131827.pdf","81131827")</f>
        <v>81131827</v>
      </c>
      <c r="F316" s="9" t="s">
        <v>944</v>
      </c>
      <c r="G316" s="12" t="s">
        <v>945</v>
      </c>
      <c r="H316" s="12" t="s">
        <v>946</v>
      </c>
      <c r="I316" s="10">
        <v>45561</v>
      </c>
    </row>
    <row r="317" spans="1:9" x14ac:dyDescent="0.15">
      <c r="A317" s="9">
        <v>316</v>
      </c>
      <c r="B317" s="9" t="s">
        <v>9</v>
      </c>
      <c r="C317" s="9">
        <v>1918</v>
      </c>
      <c r="D317" s="10">
        <v>45663</v>
      </c>
      <c r="E317" s="13" t="str">
        <f>+HYPERLINK("http://trademark.i-assist.jp/data/china/image_1918th/81131841.pdf","81131841")</f>
        <v>81131841</v>
      </c>
      <c r="F317" s="9" t="s">
        <v>947</v>
      </c>
      <c r="G317" s="9" t="s">
        <v>948</v>
      </c>
      <c r="H317" s="9" t="s">
        <v>949</v>
      </c>
      <c r="I317" s="10">
        <v>45561</v>
      </c>
    </row>
    <row r="318" spans="1:9" x14ac:dyDescent="0.15">
      <c r="A318" s="9">
        <v>317</v>
      </c>
      <c r="B318" s="9" t="s">
        <v>9</v>
      </c>
      <c r="C318" s="9">
        <v>1918</v>
      </c>
      <c r="D318" s="10">
        <v>45663</v>
      </c>
      <c r="E318" s="13" t="str">
        <f>+HYPERLINK("http://trademark.i-assist.jp/data/china/image_1918th/81132789.pdf","81132789")</f>
        <v>81132789</v>
      </c>
      <c r="F318" s="9" t="s">
        <v>950</v>
      </c>
      <c r="G318" s="12" t="s">
        <v>951</v>
      </c>
      <c r="H318" s="9" t="s">
        <v>952</v>
      </c>
      <c r="I318" s="10">
        <v>45561</v>
      </c>
    </row>
    <row r="319" spans="1:9" x14ac:dyDescent="0.15">
      <c r="A319" s="9">
        <v>318</v>
      </c>
      <c r="B319" s="9" t="s">
        <v>9</v>
      </c>
      <c r="C319" s="9">
        <v>1918</v>
      </c>
      <c r="D319" s="10">
        <v>45663</v>
      </c>
      <c r="E319" s="13" t="str">
        <f>+HYPERLINK("http://trademark.i-assist.jp/data/china/image_1918th/81133714.pdf","81133714")</f>
        <v>81133714</v>
      </c>
      <c r="F319" s="9" t="s">
        <v>953</v>
      </c>
      <c r="G319" s="12" t="s">
        <v>954</v>
      </c>
      <c r="H319" s="9" t="s">
        <v>955</v>
      </c>
      <c r="I319" s="10">
        <v>45561</v>
      </c>
    </row>
    <row r="320" spans="1:9" x14ac:dyDescent="0.15">
      <c r="A320" s="9">
        <v>319</v>
      </c>
      <c r="B320" s="9" t="s">
        <v>9</v>
      </c>
      <c r="C320" s="9">
        <v>1918</v>
      </c>
      <c r="D320" s="10">
        <v>45663</v>
      </c>
      <c r="E320" s="13" t="str">
        <f>+HYPERLINK("http://trademark.i-assist.jp/data/china/image_1918th/81133826.pdf","81133826")</f>
        <v>81133826</v>
      </c>
      <c r="F320" s="9" t="s">
        <v>956</v>
      </c>
      <c r="G320" s="9" t="s">
        <v>957</v>
      </c>
      <c r="H320" s="9" t="s">
        <v>958</v>
      </c>
      <c r="I320" s="10">
        <v>45561</v>
      </c>
    </row>
    <row r="321" spans="1:9" x14ac:dyDescent="0.15">
      <c r="A321" s="9">
        <v>320</v>
      </c>
      <c r="B321" s="9" t="s">
        <v>9</v>
      </c>
      <c r="C321" s="9">
        <v>1918</v>
      </c>
      <c r="D321" s="10">
        <v>45663</v>
      </c>
      <c r="E321" s="13" t="str">
        <f>+HYPERLINK("http://trademark.i-assist.jp/data/china/image_1918th/81133930.pdf","81133930")</f>
        <v>81133930</v>
      </c>
      <c r="F321" s="9" t="s">
        <v>959</v>
      </c>
      <c r="G321" s="9" t="s">
        <v>960</v>
      </c>
      <c r="H321" s="12" t="s">
        <v>961</v>
      </c>
      <c r="I321" s="10">
        <v>45561</v>
      </c>
    </row>
    <row r="322" spans="1:9" x14ac:dyDescent="0.15">
      <c r="A322" s="9">
        <v>321</v>
      </c>
      <c r="B322" s="9" t="s">
        <v>9</v>
      </c>
      <c r="C322" s="9">
        <v>1918</v>
      </c>
      <c r="D322" s="10">
        <v>45663</v>
      </c>
      <c r="E322" s="13" t="str">
        <f>+HYPERLINK("http://trademark.i-assist.jp/data/china/image_1918th/81134719.pdf","81134719")</f>
        <v>81134719</v>
      </c>
      <c r="F322" s="12" t="s">
        <v>962</v>
      </c>
      <c r="G322" s="9" t="s">
        <v>861</v>
      </c>
      <c r="H322" s="9" t="s">
        <v>963</v>
      </c>
      <c r="I322" s="10">
        <v>45561</v>
      </c>
    </row>
    <row r="323" spans="1:9" x14ac:dyDescent="0.15">
      <c r="A323" s="9">
        <v>322</v>
      </c>
      <c r="B323" s="9" t="s">
        <v>9</v>
      </c>
      <c r="C323" s="9">
        <v>1918</v>
      </c>
      <c r="D323" s="10">
        <v>45663</v>
      </c>
      <c r="E323" s="13" t="str">
        <f>+HYPERLINK("http://trademark.i-assist.jp/data/china/image_1918th/81135057.pdf","81135057")</f>
        <v>81135057</v>
      </c>
      <c r="F323" s="12" t="s">
        <v>964</v>
      </c>
      <c r="G323" s="9" t="s">
        <v>861</v>
      </c>
      <c r="H323" s="9" t="s">
        <v>965</v>
      </c>
      <c r="I323" s="10">
        <v>45561</v>
      </c>
    </row>
    <row r="324" spans="1:9" x14ac:dyDescent="0.15">
      <c r="A324" s="9">
        <v>323</v>
      </c>
      <c r="B324" s="9" t="s">
        <v>9</v>
      </c>
      <c r="C324" s="9">
        <v>1918</v>
      </c>
      <c r="D324" s="10">
        <v>45663</v>
      </c>
      <c r="E324" s="13" t="str">
        <f>+HYPERLINK("http://trademark.i-assist.jp/data/china/image_1918th/81136957.pdf","81136957")</f>
        <v>81136957</v>
      </c>
      <c r="F324" s="9" t="s">
        <v>966</v>
      </c>
      <c r="G324" s="9" t="s">
        <v>861</v>
      </c>
      <c r="H324" s="9" t="s">
        <v>967</v>
      </c>
      <c r="I324" s="10">
        <v>45561</v>
      </c>
    </row>
    <row r="325" spans="1:9" x14ac:dyDescent="0.15">
      <c r="A325" s="9">
        <v>324</v>
      </c>
      <c r="B325" s="9" t="s">
        <v>9</v>
      </c>
      <c r="C325" s="9">
        <v>1918</v>
      </c>
      <c r="D325" s="10">
        <v>45663</v>
      </c>
      <c r="E325" s="13" t="str">
        <f>+HYPERLINK("http://trademark.i-assist.jp/data/china/image_1918th/81137577.pdf","81137577")</f>
        <v>81137577</v>
      </c>
      <c r="F325" s="9" t="s">
        <v>968</v>
      </c>
      <c r="G325" s="12" t="s">
        <v>969</v>
      </c>
      <c r="H325" s="9" t="s">
        <v>970</v>
      </c>
      <c r="I325" s="10">
        <v>45561</v>
      </c>
    </row>
    <row r="326" spans="1:9" x14ac:dyDescent="0.15">
      <c r="A326" s="9">
        <v>325</v>
      </c>
      <c r="B326" s="9" t="s">
        <v>9</v>
      </c>
      <c r="C326" s="9">
        <v>1918</v>
      </c>
      <c r="D326" s="10">
        <v>45663</v>
      </c>
      <c r="E326" s="13" t="str">
        <f>+HYPERLINK("http://trademark.i-assist.jp/data/china/image_1918th/81139050.pdf","81139050")</f>
        <v>81139050</v>
      </c>
      <c r="F326" s="12" t="s">
        <v>971</v>
      </c>
      <c r="G326" s="9" t="s">
        <v>53</v>
      </c>
      <c r="H326" s="9" t="s">
        <v>972</v>
      </c>
      <c r="I326" s="10">
        <v>45561</v>
      </c>
    </row>
    <row r="327" spans="1:9" x14ac:dyDescent="0.15">
      <c r="A327" s="9">
        <v>326</v>
      </c>
      <c r="B327" s="9" t="s">
        <v>9</v>
      </c>
      <c r="C327" s="9">
        <v>1918</v>
      </c>
      <c r="D327" s="10">
        <v>45663</v>
      </c>
      <c r="E327" s="13" t="str">
        <f>+HYPERLINK("http://trademark.i-assist.jp/data/china/image_1918th/81139378.pdf","81139378")</f>
        <v>81139378</v>
      </c>
      <c r="F327" s="12" t="s">
        <v>973</v>
      </c>
      <c r="G327" s="9" t="s">
        <v>861</v>
      </c>
      <c r="H327" s="9" t="s">
        <v>974</v>
      </c>
      <c r="I327" s="10">
        <v>45561</v>
      </c>
    </row>
    <row r="328" spans="1:9" x14ac:dyDescent="0.15">
      <c r="A328" s="9">
        <v>327</v>
      </c>
      <c r="B328" s="9" t="s">
        <v>9</v>
      </c>
      <c r="C328" s="9">
        <v>1918</v>
      </c>
      <c r="D328" s="10">
        <v>45663</v>
      </c>
      <c r="E328" s="13" t="str">
        <f>+HYPERLINK("http://trademark.i-assist.jp/data/china/image_1918th/81139398.pdf","81139398")</f>
        <v>81139398</v>
      </c>
      <c r="F328" s="9" t="s">
        <v>975</v>
      </c>
      <c r="G328" s="9" t="s">
        <v>861</v>
      </c>
      <c r="H328" s="9" t="s">
        <v>976</v>
      </c>
      <c r="I328" s="10">
        <v>45561</v>
      </c>
    </row>
    <row r="329" spans="1:9" x14ac:dyDescent="0.15">
      <c r="A329" s="9">
        <v>328</v>
      </c>
      <c r="B329" s="9" t="s">
        <v>9</v>
      </c>
      <c r="C329" s="9">
        <v>1918</v>
      </c>
      <c r="D329" s="10">
        <v>45663</v>
      </c>
      <c r="E329" s="13" t="str">
        <f>+HYPERLINK("http://trademark.i-assist.jp/data/china/image_1918th/81139409.pdf","81139409")</f>
        <v>81139409</v>
      </c>
      <c r="F329" s="9" t="s">
        <v>977</v>
      </c>
      <c r="G329" s="9" t="s">
        <v>861</v>
      </c>
      <c r="H329" s="9" t="s">
        <v>978</v>
      </c>
      <c r="I329" s="10">
        <v>45561</v>
      </c>
    </row>
    <row r="330" spans="1:9" x14ac:dyDescent="0.15">
      <c r="A330" s="9">
        <v>329</v>
      </c>
      <c r="B330" s="9" t="s">
        <v>9</v>
      </c>
      <c r="C330" s="9">
        <v>1918</v>
      </c>
      <c r="D330" s="10">
        <v>45663</v>
      </c>
      <c r="E330" s="13" t="str">
        <f>+HYPERLINK("http://trademark.i-assist.jp/data/china/image_1918th/81140156.pdf","81140156")</f>
        <v>81140156</v>
      </c>
      <c r="F330" s="12" t="s">
        <v>979</v>
      </c>
      <c r="G330" s="9" t="s">
        <v>856</v>
      </c>
      <c r="H330" s="9" t="s">
        <v>980</v>
      </c>
      <c r="I330" s="10">
        <v>45561</v>
      </c>
    </row>
    <row r="331" spans="1:9" x14ac:dyDescent="0.15">
      <c r="A331" s="9">
        <v>330</v>
      </c>
      <c r="B331" s="9" t="s">
        <v>9</v>
      </c>
      <c r="C331" s="9">
        <v>1918</v>
      </c>
      <c r="D331" s="10">
        <v>45663</v>
      </c>
      <c r="E331" s="13" t="str">
        <f>+HYPERLINK("http://trademark.i-assist.jp/data/china/image_1918th/81140630.pdf","81140630")</f>
        <v>81140630</v>
      </c>
      <c r="F331" s="9" t="s">
        <v>981</v>
      </c>
      <c r="G331" s="9" t="s">
        <v>982</v>
      </c>
      <c r="H331" s="9" t="s">
        <v>983</v>
      </c>
      <c r="I331" s="10">
        <v>45561</v>
      </c>
    </row>
    <row r="332" spans="1:9" x14ac:dyDescent="0.15">
      <c r="A332" s="9">
        <v>331</v>
      </c>
      <c r="B332" s="9" t="s">
        <v>9</v>
      </c>
      <c r="C332" s="9">
        <v>1918</v>
      </c>
      <c r="D332" s="10">
        <v>45663</v>
      </c>
      <c r="E332" s="13" t="str">
        <f>+HYPERLINK("http://trademark.i-assist.jp/data/china/image_1918th/81141225.pdf","81141225")</f>
        <v>81141225</v>
      </c>
      <c r="F332" s="9" t="s">
        <v>984</v>
      </c>
      <c r="G332" s="12" t="s">
        <v>65</v>
      </c>
      <c r="H332" s="9" t="s">
        <v>985</v>
      </c>
      <c r="I332" s="10">
        <v>45561</v>
      </c>
    </row>
    <row r="333" spans="1:9" x14ac:dyDescent="0.15">
      <c r="A333" s="9">
        <v>332</v>
      </c>
      <c r="B333" s="9" t="s">
        <v>9</v>
      </c>
      <c r="C333" s="9">
        <v>1918</v>
      </c>
      <c r="D333" s="10">
        <v>45663</v>
      </c>
      <c r="E333" s="13" t="str">
        <f>+HYPERLINK("http://trademark.i-assist.jp/data/china/image_1918th/81141267.pdf","81141267")</f>
        <v>81141267</v>
      </c>
      <c r="F333" s="9" t="s">
        <v>986</v>
      </c>
      <c r="G333" s="9" t="s">
        <v>987</v>
      </c>
      <c r="H333" s="9" t="s">
        <v>988</v>
      </c>
      <c r="I333" s="10">
        <v>45561</v>
      </c>
    </row>
    <row r="334" spans="1:9" x14ac:dyDescent="0.15">
      <c r="A334" s="9">
        <v>333</v>
      </c>
      <c r="B334" s="9" t="s">
        <v>9</v>
      </c>
      <c r="C334" s="9">
        <v>1918</v>
      </c>
      <c r="D334" s="10">
        <v>45663</v>
      </c>
      <c r="E334" s="13" t="str">
        <f>+HYPERLINK("http://trademark.i-assist.jp/data/china/image_1918th/81141760.pdf","81141760")</f>
        <v>81141760</v>
      </c>
      <c r="F334" s="12" t="s">
        <v>12</v>
      </c>
      <c r="G334" s="9" t="s">
        <v>989</v>
      </c>
      <c r="H334" s="9" t="s">
        <v>990</v>
      </c>
      <c r="I334" s="10">
        <v>45561</v>
      </c>
    </row>
    <row r="335" spans="1:9" x14ac:dyDescent="0.15">
      <c r="A335" s="9">
        <v>334</v>
      </c>
      <c r="B335" s="9" t="s">
        <v>9</v>
      </c>
      <c r="C335" s="9">
        <v>1918</v>
      </c>
      <c r="D335" s="10">
        <v>45663</v>
      </c>
      <c r="E335" s="13" t="str">
        <f>+HYPERLINK("http://trademark.i-assist.jp/data/china/image_1918th/81141783.pdf","81141783")</f>
        <v>81141783</v>
      </c>
      <c r="F335" s="9" t="s">
        <v>991</v>
      </c>
      <c r="G335" s="9" t="s">
        <v>992</v>
      </c>
      <c r="H335" s="9" t="s">
        <v>993</v>
      </c>
      <c r="I335" s="10">
        <v>45561</v>
      </c>
    </row>
    <row r="336" spans="1:9" x14ac:dyDescent="0.15">
      <c r="A336" s="9">
        <v>335</v>
      </c>
      <c r="B336" s="9" t="s">
        <v>9</v>
      </c>
      <c r="C336" s="9">
        <v>1918</v>
      </c>
      <c r="D336" s="10">
        <v>45663</v>
      </c>
      <c r="E336" s="13" t="str">
        <f>+HYPERLINK("http://trademark.i-assist.jp/data/china/image_1918th/81142416.pdf","81142416")</f>
        <v>81142416</v>
      </c>
      <c r="F336" s="9" t="s">
        <v>994</v>
      </c>
      <c r="G336" s="9" t="s">
        <v>995</v>
      </c>
      <c r="H336" s="12" t="s">
        <v>996</v>
      </c>
      <c r="I336" s="10">
        <v>45561</v>
      </c>
    </row>
    <row r="337" spans="1:9" x14ac:dyDescent="0.15">
      <c r="A337" s="9">
        <v>336</v>
      </c>
      <c r="B337" s="9" t="s">
        <v>9</v>
      </c>
      <c r="C337" s="9">
        <v>1918</v>
      </c>
      <c r="D337" s="10">
        <v>45663</v>
      </c>
      <c r="E337" s="13" t="str">
        <f>+HYPERLINK("http://trademark.i-assist.jp/data/china/image_1918th/81142839.pdf","81142839")</f>
        <v>81142839</v>
      </c>
      <c r="F337" s="9" t="s">
        <v>858</v>
      </c>
      <c r="G337" s="9" t="s">
        <v>50</v>
      </c>
      <c r="H337" s="9" t="s">
        <v>997</v>
      </c>
      <c r="I337" s="10">
        <v>45561</v>
      </c>
    </row>
    <row r="338" spans="1:9" x14ac:dyDescent="0.15">
      <c r="A338" s="9">
        <v>337</v>
      </c>
      <c r="B338" s="9" t="s">
        <v>9</v>
      </c>
      <c r="C338" s="9">
        <v>1918</v>
      </c>
      <c r="D338" s="10">
        <v>45663</v>
      </c>
      <c r="E338" s="13" t="str">
        <f>+HYPERLINK("http://trademark.i-assist.jp/data/china/image_1918th/81143721.pdf","81143721")</f>
        <v>81143721</v>
      </c>
      <c r="F338" s="9" t="s">
        <v>998</v>
      </c>
      <c r="G338" s="12" t="s">
        <v>999</v>
      </c>
      <c r="H338" s="9" t="s">
        <v>1000</v>
      </c>
      <c r="I338" s="10">
        <v>45562</v>
      </c>
    </row>
    <row r="339" spans="1:9" x14ac:dyDescent="0.15">
      <c r="A339" s="9">
        <v>338</v>
      </c>
      <c r="B339" s="9" t="s">
        <v>9</v>
      </c>
      <c r="C339" s="9">
        <v>1918</v>
      </c>
      <c r="D339" s="10">
        <v>45663</v>
      </c>
      <c r="E339" s="13" t="str">
        <f>+HYPERLINK("http://trademark.i-assist.jp/data/china/image_1918th/81144568.pdf","81144568")</f>
        <v>81144568</v>
      </c>
      <c r="F339" s="9" t="s">
        <v>1001</v>
      </c>
      <c r="G339" s="9" t="s">
        <v>1002</v>
      </c>
      <c r="H339" s="12" t="s">
        <v>1003</v>
      </c>
      <c r="I339" s="10">
        <v>45562</v>
      </c>
    </row>
    <row r="340" spans="1:9" x14ac:dyDescent="0.15">
      <c r="A340" s="9">
        <v>339</v>
      </c>
      <c r="B340" s="9" t="s">
        <v>9</v>
      </c>
      <c r="C340" s="9">
        <v>1918</v>
      </c>
      <c r="D340" s="10">
        <v>45663</v>
      </c>
      <c r="E340" s="13" t="str">
        <f>+HYPERLINK("http://trademark.i-assist.jp/data/china/image_1918th/81144733.pdf","81144733")</f>
        <v>81144733</v>
      </c>
      <c r="F340" s="9" t="s">
        <v>1004</v>
      </c>
      <c r="G340" s="9" t="s">
        <v>1005</v>
      </c>
      <c r="H340" s="9" t="s">
        <v>1006</v>
      </c>
      <c r="I340" s="10">
        <v>45562</v>
      </c>
    </row>
    <row r="341" spans="1:9" x14ac:dyDescent="0.15">
      <c r="A341" s="9">
        <v>340</v>
      </c>
      <c r="B341" s="9" t="s">
        <v>9</v>
      </c>
      <c r="C341" s="9">
        <v>1918</v>
      </c>
      <c r="D341" s="10">
        <v>45663</v>
      </c>
      <c r="E341" s="13" t="str">
        <f>+HYPERLINK("http://trademark.i-assist.jp/data/china/image_1918th/81145160.pdf","81145160")</f>
        <v>81145160</v>
      </c>
      <c r="F341" s="9" t="s">
        <v>1007</v>
      </c>
      <c r="G341" s="9" t="s">
        <v>1008</v>
      </c>
      <c r="H341" s="9" t="s">
        <v>1009</v>
      </c>
      <c r="I341" s="10">
        <v>45562</v>
      </c>
    </row>
    <row r="342" spans="1:9" x14ac:dyDescent="0.15">
      <c r="A342" s="9">
        <v>341</v>
      </c>
      <c r="B342" s="9" t="s">
        <v>9</v>
      </c>
      <c r="C342" s="9">
        <v>1918</v>
      </c>
      <c r="D342" s="10">
        <v>45663</v>
      </c>
      <c r="E342" s="13" t="str">
        <f>+HYPERLINK("http://trademark.i-assist.jp/data/china/image_1918th/81145224.pdf","81145224")</f>
        <v>81145224</v>
      </c>
      <c r="F342" s="9" t="s">
        <v>1010</v>
      </c>
      <c r="G342" s="9" t="s">
        <v>1011</v>
      </c>
      <c r="H342" s="9" t="s">
        <v>1012</v>
      </c>
      <c r="I342" s="10">
        <v>45562</v>
      </c>
    </row>
    <row r="343" spans="1:9" x14ac:dyDescent="0.15">
      <c r="A343" s="9">
        <v>342</v>
      </c>
      <c r="B343" s="9" t="s">
        <v>9</v>
      </c>
      <c r="C343" s="9">
        <v>1918</v>
      </c>
      <c r="D343" s="10">
        <v>45663</v>
      </c>
      <c r="E343" s="13" t="str">
        <f>+HYPERLINK("http://trademark.i-assist.jp/data/china/image_1918th/81145285.pdf","81145285")</f>
        <v>81145285</v>
      </c>
      <c r="F343" s="12" t="s">
        <v>1013</v>
      </c>
      <c r="G343" s="12" t="s">
        <v>1014</v>
      </c>
      <c r="H343" s="12" t="s">
        <v>1015</v>
      </c>
      <c r="I343" s="10">
        <v>45562</v>
      </c>
    </row>
    <row r="344" spans="1:9" x14ac:dyDescent="0.15">
      <c r="A344" s="9">
        <v>343</v>
      </c>
      <c r="B344" s="9" t="s">
        <v>9</v>
      </c>
      <c r="C344" s="9">
        <v>1918</v>
      </c>
      <c r="D344" s="10">
        <v>45663</v>
      </c>
      <c r="E344" s="13" t="str">
        <f>+HYPERLINK("http://trademark.i-assist.jp/data/china/image_1918th/81146053.pdf","81146053")</f>
        <v>81146053</v>
      </c>
      <c r="F344" s="9" t="s">
        <v>1016</v>
      </c>
      <c r="G344" s="9" t="s">
        <v>51</v>
      </c>
      <c r="H344" s="9" t="s">
        <v>1017</v>
      </c>
      <c r="I344" s="10">
        <v>45562</v>
      </c>
    </row>
    <row r="345" spans="1:9" x14ac:dyDescent="0.15">
      <c r="A345" s="9">
        <v>344</v>
      </c>
      <c r="B345" s="9" t="s">
        <v>9</v>
      </c>
      <c r="C345" s="9">
        <v>1918</v>
      </c>
      <c r="D345" s="10">
        <v>45663</v>
      </c>
      <c r="E345" s="13" t="str">
        <f>+HYPERLINK("http://trademark.i-assist.jp/data/china/image_1918th/81146262.pdf","81146262")</f>
        <v>81146262</v>
      </c>
      <c r="F345" s="9" t="s">
        <v>1018</v>
      </c>
      <c r="G345" s="9" t="s">
        <v>1019</v>
      </c>
      <c r="H345" s="9" t="s">
        <v>1020</v>
      </c>
      <c r="I345" s="10">
        <v>45562</v>
      </c>
    </row>
    <row r="346" spans="1:9" x14ac:dyDescent="0.15">
      <c r="A346" s="9">
        <v>345</v>
      </c>
      <c r="B346" s="9" t="s">
        <v>9</v>
      </c>
      <c r="C346" s="9">
        <v>1918</v>
      </c>
      <c r="D346" s="10">
        <v>45663</v>
      </c>
      <c r="E346" s="13" t="str">
        <f>+HYPERLINK("http://trademark.i-assist.jp/data/china/image_1918th/81147436.pdf","81147436")</f>
        <v>81147436</v>
      </c>
      <c r="F346" s="9" t="s">
        <v>1021</v>
      </c>
      <c r="G346" s="9" t="s">
        <v>1022</v>
      </c>
      <c r="H346" s="9" t="s">
        <v>1023</v>
      </c>
      <c r="I346" s="10">
        <v>45562</v>
      </c>
    </row>
    <row r="347" spans="1:9" x14ac:dyDescent="0.15">
      <c r="A347" s="9">
        <v>346</v>
      </c>
      <c r="B347" s="9" t="s">
        <v>9</v>
      </c>
      <c r="C347" s="9">
        <v>1918</v>
      </c>
      <c r="D347" s="10">
        <v>45663</v>
      </c>
      <c r="E347" s="13" t="str">
        <f>+HYPERLINK("http://trademark.i-assist.jp/data/china/image_1918th/81147853.pdf","81147853")</f>
        <v>81147853</v>
      </c>
      <c r="F347" s="9" t="s">
        <v>1024</v>
      </c>
      <c r="G347" s="9" t="s">
        <v>1025</v>
      </c>
      <c r="H347" s="9" t="s">
        <v>1026</v>
      </c>
      <c r="I347" s="10">
        <v>45562</v>
      </c>
    </row>
    <row r="348" spans="1:9" x14ac:dyDescent="0.15">
      <c r="A348" s="9">
        <v>347</v>
      </c>
      <c r="B348" s="9" t="s">
        <v>9</v>
      </c>
      <c r="C348" s="9">
        <v>1918</v>
      </c>
      <c r="D348" s="10">
        <v>45663</v>
      </c>
      <c r="E348" s="13" t="str">
        <f>+HYPERLINK("http://trademark.i-assist.jp/data/china/image_1918th/81148947.pdf","81148947")</f>
        <v>81148947</v>
      </c>
      <c r="F348" s="9" t="s">
        <v>1027</v>
      </c>
      <c r="G348" s="9" t="s">
        <v>1028</v>
      </c>
      <c r="H348" s="9" t="s">
        <v>1029</v>
      </c>
      <c r="I348" s="10">
        <v>45562</v>
      </c>
    </row>
    <row r="349" spans="1:9" x14ac:dyDescent="0.15">
      <c r="A349" s="9">
        <v>348</v>
      </c>
      <c r="B349" s="9" t="s">
        <v>9</v>
      </c>
      <c r="C349" s="9">
        <v>1918</v>
      </c>
      <c r="D349" s="10">
        <v>45663</v>
      </c>
      <c r="E349" s="13" t="str">
        <f>+HYPERLINK("http://trademark.i-assist.jp/data/china/image_1918th/81149552.pdf","81149552")</f>
        <v>81149552</v>
      </c>
      <c r="F349" s="9" t="s">
        <v>1030</v>
      </c>
      <c r="G349" s="9" t="s">
        <v>1031</v>
      </c>
      <c r="H349" s="9" t="s">
        <v>1032</v>
      </c>
      <c r="I349" s="10">
        <v>45562</v>
      </c>
    </row>
    <row r="350" spans="1:9" x14ac:dyDescent="0.15">
      <c r="A350" s="9">
        <v>349</v>
      </c>
      <c r="B350" s="9" t="s">
        <v>9</v>
      </c>
      <c r="C350" s="9">
        <v>1918</v>
      </c>
      <c r="D350" s="10">
        <v>45663</v>
      </c>
      <c r="E350" s="13" t="str">
        <f>+HYPERLINK("http://trademark.i-assist.jp/data/china/image_1918th/81149617.pdf","81149617")</f>
        <v>81149617</v>
      </c>
      <c r="F350" s="9" t="s">
        <v>1033</v>
      </c>
      <c r="G350" s="12" t="s">
        <v>1034</v>
      </c>
      <c r="H350" s="9" t="s">
        <v>1035</v>
      </c>
      <c r="I350" s="10">
        <v>45562</v>
      </c>
    </row>
    <row r="351" spans="1:9" x14ac:dyDescent="0.15">
      <c r="A351" s="9">
        <v>350</v>
      </c>
      <c r="B351" s="9" t="s">
        <v>9</v>
      </c>
      <c r="C351" s="9">
        <v>1918</v>
      </c>
      <c r="D351" s="10">
        <v>45663</v>
      </c>
      <c r="E351" s="13" t="str">
        <f>+HYPERLINK("http://trademark.i-assist.jp/data/china/image_1918th/81149814.pdf","81149814")</f>
        <v>81149814</v>
      </c>
      <c r="F351" s="9" t="s">
        <v>1036</v>
      </c>
      <c r="G351" s="9" t="s">
        <v>1005</v>
      </c>
      <c r="H351" s="9" t="s">
        <v>1037</v>
      </c>
      <c r="I351" s="10">
        <v>45562</v>
      </c>
    </row>
    <row r="352" spans="1:9" x14ac:dyDescent="0.15">
      <c r="A352" s="9">
        <v>351</v>
      </c>
      <c r="B352" s="9" t="s">
        <v>9</v>
      </c>
      <c r="C352" s="9">
        <v>1918</v>
      </c>
      <c r="D352" s="10">
        <v>45663</v>
      </c>
      <c r="E352" s="13" t="str">
        <f>+HYPERLINK("http://trademark.i-assist.jp/data/china/image_1918th/81150568.pdf","81150568")</f>
        <v>81150568</v>
      </c>
      <c r="F352" s="9" t="s">
        <v>1038</v>
      </c>
      <c r="G352" s="12" t="s">
        <v>1039</v>
      </c>
      <c r="H352" s="9" t="s">
        <v>1040</v>
      </c>
      <c r="I352" s="10">
        <v>45562</v>
      </c>
    </row>
    <row r="353" spans="1:9" x14ac:dyDescent="0.15">
      <c r="A353" s="9">
        <v>352</v>
      </c>
      <c r="B353" s="9" t="s">
        <v>9</v>
      </c>
      <c r="C353" s="9">
        <v>1918</v>
      </c>
      <c r="D353" s="10">
        <v>45663</v>
      </c>
      <c r="E353" s="13" t="str">
        <f>+HYPERLINK("http://trademark.i-assist.jp/data/china/image_1918th/81150571.pdf","81150571")</f>
        <v>81150571</v>
      </c>
      <c r="F353" s="12" t="s">
        <v>1041</v>
      </c>
      <c r="G353" s="9" t="s">
        <v>1042</v>
      </c>
      <c r="H353" s="9" t="s">
        <v>1043</v>
      </c>
      <c r="I353" s="10">
        <v>45562</v>
      </c>
    </row>
    <row r="354" spans="1:9" x14ac:dyDescent="0.15">
      <c r="A354" s="9">
        <v>353</v>
      </c>
      <c r="B354" s="9" t="s">
        <v>9</v>
      </c>
      <c r="C354" s="9">
        <v>1918</v>
      </c>
      <c r="D354" s="10">
        <v>45663</v>
      </c>
      <c r="E354" s="13" t="str">
        <f>+HYPERLINK("http://trademark.i-assist.jp/data/china/image_1918th/81150627.pdf","81150627")</f>
        <v>81150627</v>
      </c>
      <c r="F354" s="9" t="s">
        <v>1044</v>
      </c>
      <c r="G354" s="12" t="s">
        <v>1045</v>
      </c>
      <c r="H354" s="12" t="s">
        <v>1046</v>
      </c>
      <c r="I354" s="10">
        <v>45562</v>
      </c>
    </row>
    <row r="355" spans="1:9" x14ac:dyDescent="0.15">
      <c r="A355" s="9">
        <v>354</v>
      </c>
      <c r="B355" s="9" t="s">
        <v>9</v>
      </c>
      <c r="C355" s="9">
        <v>1918</v>
      </c>
      <c r="D355" s="10">
        <v>45663</v>
      </c>
      <c r="E355" s="13" t="str">
        <f>+HYPERLINK("http://trademark.i-assist.jp/data/china/image_1918th/81151399.pdf","81151399")</f>
        <v>81151399</v>
      </c>
      <c r="F355" s="9" t="s">
        <v>1047</v>
      </c>
      <c r="G355" s="9" t="s">
        <v>1048</v>
      </c>
      <c r="H355" s="9" t="s">
        <v>1049</v>
      </c>
      <c r="I355" s="10">
        <v>45562</v>
      </c>
    </row>
    <row r="356" spans="1:9" x14ac:dyDescent="0.15">
      <c r="A356" s="9">
        <v>355</v>
      </c>
      <c r="B356" s="9" t="s">
        <v>9</v>
      </c>
      <c r="C356" s="9">
        <v>1918</v>
      </c>
      <c r="D356" s="10">
        <v>45663</v>
      </c>
      <c r="E356" s="13" t="str">
        <f>+HYPERLINK("http://trademark.i-assist.jp/data/china/image_1918th/81151942.pdf","81151942")</f>
        <v>81151942</v>
      </c>
      <c r="F356" s="9" t="s">
        <v>1050</v>
      </c>
      <c r="G356" s="9" t="s">
        <v>1051</v>
      </c>
      <c r="H356" s="9" t="s">
        <v>1052</v>
      </c>
      <c r="I356" s="10">
        <v>45562</v>
      </c>
    </row>
    <row r="357" spans="1:9" x14ac:dyDescent="0.15">
      <c r="A357" s="9">
        <v>356</v>
      </c>
      <c r="B357" s="9" t="s">
        <v>9</v>
      </c>
      <c r="C357" s="9">
        <v>1918</v>
      </c>
      <c r="D357" s="10">
        <v>45663</v>
      </c>
      <c r="E357" s="13" t="str">
        <f>+HYPERLINK("http://trademark.i-assist.jp/data/china/image_1918th/81152002.pdf","81152002")</f>
        <v>81152002</v>
      </c>
      <c r="F357" s="9" t="s">
        <v>1053</v>
      </c>
      <c r="G357" s="9" t="s">
        <v>1054</v>
      </c>
      <c r="H357" s="9" t="s">
        <v>1055</v>
      </c>
      <c r="I357" s="10">
        <v>45562</v>
      </c>
    </row>
    <row r="358" spans="1:9" x14ac:dyDescent="0.15">
      <c r="A358" s="9">
        <v>357</v>
      </c>
      <c r="B358" s="9" t="s">
        <v>9</v>
      </c>
      <c r="C358" s="9">
        <v>1918</v>
      </c>
      <c r="D358" s="10">
        <v>45663</v>
      </c>
      <c r="E358" s="13" t="str">
        <f>+HYPERLINK("http://trademark.i-assist.jp/data/china/image_1918th/81152288.pdf","81152288")</f>
        <v>81152288</v>
      </c>
      <c r="F358" s="9" t="s">
        <v>1056</v>
      </c>
      <c r="G358" s="9" t="s">
        <v>1057</v>
      </c>
      <c r="H358" s="9" t="s">
        <v>1058</v>
      </c>
      <c r="I358" s="10">
        <v>45562</v>
      </c>
    </row>
    <row r="359" spans="1:9" x14ac:dyDescent="0.15">
      <c r="A359" s="9">
        <v>358</v>
      </c>
      <c r="B359" s="9" t="s">
        <v>9</v>
      </c>
      <c r="C359" s="9">
        <v>1918</v>
      </c>
      <c r="D359" s="10">
        <v>45663</v>
      </c>
      <c r="E359" s="13" t="str">
        <f>+HYPERLINK("http://trademark.i-assist.jp/data/china/image_1918th/81152456.pdf","81152456")</f>
        <v>81152456</v>
      </c>
      <c r="F359" s="9" t="s">
        <v>1059</v>
      </c>
      <c r="G359" s="12" t="s">
        <v>1060</v>
      </c>
      <c r="H359" s="9" t="s">
        <v>1061</v>
      </c>
      <c r="I359" s="10">
        <v>45562</v>
      </c>
    </row>
    <row r="360" spans="1:9" x14ac:dyDescent="0.15">
      <c r="A360" s="9">
        <v>359</v>
      </c>
      <c r="B360" s="9" t="s">
        <v>9</v>
      </c>
      <c r="C360" s="9">
        <v>1918</v>
      </c>
      <c r="D360" s="10">
        <v>45663</v>
      </c>
      <c r="E360" s="13" t="str">
        <f>+HYPERLINK("http://trademark.i-assist.jp/data/china/image_1918th/81153336.pdf","81153336")</f>
        <v>81153336</v>
      </c>
      <c r="F360" s="9" t="s">
        <v>1062</v>
      </c>
      <c r="G360" s="9" t="s">
        <v>1063</v>
      </c>
      <c r="H360" s="12" t="s">
        <v>1064</v>
      </c>
      <c r="I360" s="10">
        <v>45562</v>
      </c>
    </row>
    <row r="361" spans="1:9" x14ac:dyDescent="0.15">
      <c r="A361" s="9">
        <v>360</v>
      </c>
      <c r="B361" s="9" t="s">
        <v>9</v>
      </c>
      <c r="C361" s="9">
        <v>1918</v>
      </c>
      <c r="D361" s="10">
        <v>45663</v>
      </c>
      <c r="E361" s="13" t="str">
        <f>+HYPERLINK("http://trademark.i-assist.jp/data/china/image_1918th/81155474.pdf","81155474")</f>
        <v>81155474</v>
      </c>
      <c r="F361" s="12" t="s">
        <v>1065</v>
      </c>
      <c r="G361" s="9" t="s">
        <v>1066</v>
      </c>
      <c r="H361" s="9" t="s">
        <v>1067</v>
      </c>
      <c r="I361" s="10">
        <v>45562</v>
      </c>
    </row>
    <row r="362" spans="1:9" x14ac:dyDescent="0.15">
      <c r="A362" s="9">
        <v>361</v>
      </c>
      <c r="B362" s="9" t="s">
        <v>9</v>
      </c>
      <c r="C362" s="9">
        <v>1918</v>
      </c>
      <c r="D362" s="10">
        <v>45663</v>
      </c>
      <c r="E362" s="13" t="str">
        <f>+HYPERLINK("http://trademark.i-assist.jp/data/china/image_1918th/81156196.pdf","81156196")</f>
        <v>81156196</v>
      </c>
      <c r="F362" s="9" t="s">
        <v>1068</v>
      </c>
      <c r="G362" s="9" t="s">
        <v>56</v>
      </c>
      <c r="H362" s="9" t="s">
        <v>1069</v>
      </c>
      <c r="I362" s="10">
        <v>45562</v>
      </c>
    </row>
    <row r="363" spans="1:9" x14ac:dyDescent="0.15">
      <c r="A363" s="9">
        <v>362</v>
      </c>
      <c r="B363" s="9" t="s">
        <v>9</v>
      </c>
      <c r="C363" s="9">
        <v>1918</v>
      </c>
      <c r="D363" s="10">
        <v>45663</v>
      </c>
      <c r="E363" s="13" t="str">
        <f>+HYPERLINK("http://trademark.i-assist.jp/data/china/image_1918th/81156199.pdf","81156199")</f>
        <v>81156199</v>
      </c>
      <c r="F363" s="9" t="s">
        <v>1070</v>
      </c>
      <c r="G363" s="11" t="s">
        <v>1071</v>
      </c>
      <c r="H363" s="9" t="s">
        <v>1072</v>
      </c>
      <c r="I363" s="10">
        <v>45562</v>
      </c>
    </row>
    <row r="364" spans="1:9" x14ac:dyDescent="0.15">
      <c r="A364" s="9">
        <v>363</v>
      </c>
      <c r="B364" s="9" t="s">
        <v>9</v>
      </c>
      <c r="C364" s="9">
        <v>1918</v>
      </c>
      <c r="D364" s="10">
        <v>45663</v>
      </c>
      <c r="E364" s="13" t="str">
        <f>+HYPERLINK("http://trademark.i-assist.jp/data/china/image_1918th/81156352.pdf","81156352")</f>
        <v>81156352</v>
      </c>
      <c r="F364" s="12" t="s">
        <v>1073</v>
      </c>
      <c r="G364" s="9" t="s">
        <v>1074</v>
      </c>
      <c r="H364" s="12" t="s">
        <v>1075</v>
      </c>
      <c r="I364" s="10">
        <v>45562</v>
      </c>
    </row>
    <row r="365" spans="1:9" x14ac:dyDescent="0.15">
      <c r="A365" s="9">
        <v>364</v>
      </c>
      <c r="B365" s="9" t="s">
        <v>9</v>
      </c>
      <c r="C365" s="9">
        <v>1918</v>
      </c>
      <c r="D365" s="10">
        <v>45663</v>
      </c>
      <c r="E365" s="13" t="str">
        <f>+HYPERLINK("http://trademark.i-assist.jp/data/china/image_1918th/81156474.pdf","81156474")</f>
        <v>81156474</v>
      </c>
      <c r="F365" s="9" t="s">
        <v>1076</v>
      </c>
      <c r="G365" s="9" t="s">
        <v>1077</v>
      </c>
      <c r="H365" s="9" t="s">
        <v>1078</v>
      </c>
      <c r="I365" s="10">
        <v>45562</v>
      </c>
    </row>
    <row r="366" spans="1:9" x14ac:dyDescent="0.15">
      <c r="A366" s="9">
        <v>365</v>
      </c>
      <c r="B366" s="9" t="s">
        <v>9</v>
      </c>
      <c r="C366" s="9">
        <v>1918</v>
      </c>
      <c r="D366" s="10">
        <v>45663</v>
      </c>
      <c r="E366" s="13" t="str">
        <f>+HYPERLINK("http://trademark.i-assist.jp/data/china/image_1918th/81156620.pdf","81156620")</f>
        <v>81156620</v>
      </c>
      <c r="F366" s="12" t="s">
        <v>12</v>
      </c>
      <c r="G366" s="9" t="s">
        <v>1079</v>
      </c>
      <c r="H366" s="9" t="s">
        <v>1080</v>
      </c>
      <c r="I366" s="10">
        <v>45562</v>
      </c>
    </row>
    <row r="367" spans="1:9" x14ac:dyDescent="0.15">
      <c r="A367" s="9">
        <v>366</v>
      </c>
      <c r="B367" s="9" t="s">
        <v>9</v>
      </c>
      <c r="C367" s="9">
        <v>1918</v>
      </c>
      <c r="D367" s="10">
        <v>45663</v>
      </c>
      <c r="E367" s="13" t="str">
        <f>+HYPERLINK("http://trademark.i-assist.jp/data/china/image_1918th/81156882.pdf","81156882")</f>
        <v>81156882</v>
      </c>
      <c r="F367" s="9" t="s">
        <v>1081</v>
      </c>
      <c r="G367" s="9" t="s">
        <v>1082</v>
      </c>
      <c r="H367" s="9" t="s">
        <v>1083</v>
      </c>
      <c r="I367" s="10">
        <v>45562</v>
      </c>
    </row>
    <row r="368" spans="1:9" x14ac:dyDescent="0.15">
      <c r="A368" s="9">
        <v>367</v>
      </c>
      <c r="B368" s="9" t="s">
        <v>9</v>
      </c>
      <c r="C368" s="9">
        <v>1918</v>
      </c>
      <c r="D368" s="10">
        <v>45663</v>
      </c>
      <c r="E368" s="13" t="str">
        <f>+HYPERLINK("http://trademark.i-assist.jp/data/china/image_1918th/81157548.pdf","81157548")</f>
        <v>81157548</v>
      </c>
      <c r="F368" s="9" t="s">
        <v>1084</v>
      </c>
      <c r="G368" s="12" t="s">
        <v>1085</v>
      </c>
      <c r="H368" s="9" t="s">
        <v>1086</v>
      </c>
      <c r="I368" s="10">
        <v>45562</v>
      </c>
    </row>
    <row r="369" spans="1:9" x14ac:dyDescent="0.15">
      <c r="A369" s="9">
        <v>368</v>
      </c>
      <c r="B369" s="9" t="s">
        <v>9</v>
      </c>
      <c r="C369" s="9">
        <v>1918</v>
      </c>
      <c r="D369" s="10">
        <v>45663</v>
      </c>
      <c r="E369" s="13" t="str">
        <f>+HYPERLINK("http://trademark.i-assist.jp/data/china/image_1918th/81157679.pdf","81157679")</f>
        <v>81157679</v>
      </c>
      <c r="F369" s="9" t="s">
        <v>1087</v>
      </c>
      <c r="G369" s="9" t="s">
        <v>1002</v>
      </c>
      <c r="H369" s="9" t="s">
        <v>1088</v>
      </c>
      <c r="I369" s="10">
        <v>45562</v>
      </c>
    </row>
    <row r="370" spans="1:9" x14ac:dyDescent="0.15">
      <c r="A370" s="9">
        <v>369</v>
      </c>
      <c r="B370" s="9" t="s">
        <v>9</v>
      </c>
      <c r="C370" s="9">
        <v>1918</v>
      </c>
      <c r="D370" s="10">
        <v>45663</v>
      </c>
      <c r="E370" s="13" t="str">
        <f>+HYPERLINK("http://trademark.i-assist.jp/data/china/image_1918th/81158021.pdf","81158021")</f>
        <v>81158021</v>
      </c>
      <c r="F370" s="12" t="s">
        <v>1089</v>
      </c>
      <c r="G370" s="12" t="s">
        <v>1090</v>
      </c>
      <c r="H370" s="12" t="s">
        <v>1091</v>
      </c>
      <c r="I370" s="10">
        <v>45562</v>
      </c>
    </row>
    <row r="371" spans="1:9" x14ac:dyDescent="0.15">
      <c r="A371" s="9">
        <v>370</v>
      </c>
      <c r="B371" s="9" t="s">
        <v>9</v>
      </c>
      <c r="C371" s="9">
        <v>1918</v>
      </c>
      <c r="D371" s="10">
        <v>45663</v>
      </c>
      <c r="E371" s="13" t="str">
        <f>+HYPERLINK("http://trademark.i-assist.jp/data/china/image_1918th/81158194.pdf","81158194")</f>
        <v>81158194</v>
      </c>
      <c r="F371" s="9" t="s">
        <v>1092</v>
      </c>
      <c r="G371" s="9" t="s">
        <v>1093</v>
      </c>
      <c r="H371" s="9" t="s">
        <v>1094</v>
      </c>
      <c r="I371" s="10">
        <v>45562</v>
      </c>
    </row>
    <row r="372" spans="1:9" x14ac:dyDescent="0.15">
      <c r="A372" s="9">
        <v>371</v>
      </c>
      <c r="B372" s="9" t="s">
        <v>9</v>
      </c>
      <c r="C372" s="9">
        <v>1918</v>
      </c>
      <c r="D372" s="10">
        <v>45663</v>
      </c>
      <c r="E372" s="13" t="str">
        <f>+HYPERLINK("http://trademark.i-assist.jp/data/china/image_1918th/81158437.pdf","81158437")</f>
        <v>81158437</v>
      </c>
      <c r="F372" s="9" t="s">
        <v>1095</v>
      </c>
      <c r="G372" s="9" t="s">
        <v>54</v>
      </c>
      <c r="H372" s="9" t="s">
        <v>1096</v>
      </c>
      <c r="I372" s="10">
        <v>45562</v>
      </c>
    </row>
    <row r="373" spans="1:9" x14ac:dyDescent="0.15">
      <c r="A373" s="9">
        <v>372</v>
      </c>
      <c r="B373" s="9" t="s">
        <v>9</v>
      </c>
      <c r="C373" s="9">
        <v>1918</v>
      </c>
      <c r="D373" s="10">
        <v>45663</v>
      </c>
      <c r="E373" s="13" t="str">
        <f>+HYPERLINK("http://trademark.i-assist.jp/data/china/image_1918th/81158732.pdf","81158732")</f>
        <v>81158732</v>
      </c>
      <c r="F373" s="9" t="s">
        <v>1097</v>
      </c>
      <c r="G373" s="9" t="s">
        <v>1098</v>
      </c>
      <c r="H373" s="9" t="s">
        <v>1099</v>
      </c>
      <c r="I373" s="10">
        <v>45562</v>
      </c>
    </row>
    <row r="374" spans="1:9" x14ac:dyDescent="0.15">
      <c r="A374" s="9">
        <v>373</v>
      </c>
      <c r="B374" s="9" t="s">
        <v>9</v>
      </c>
      <c r="C374" s="9">
        <v>1918</v>
      </c>
      <c r="D374" s="10">
        <v>45663</v>
      </c>
      <c r="E374" s="13" t="str">
        <f>+HYPERLINK("http://trademark.i-assist.jp/data/china/image_1918th/81159320.pdf","81159320")</f>
        <v>81159320</v>
      </c>
      <c r="F374" s="9" t="s">
        <v>1100</v>
      </c>
      <c r="G374" s="9" t="s">
        <v>57</v>
      </c>
      <c r="H374" s="9" t="s">
        <v>1101</v>
      </c>
      <c r="I374" s="10">
        <v>45562</v>
      </c>
    </row>
    <row r="375" spans="1:9" x14ac:dyDescent="0.15">
      <c r="A375" s="9">
        <v>374</v>
      </c>
      <c r="B375" s="9" t="s">
        <v>9</v>
      </c>
      <c r="C375" s="9">
        <v>1918</v>
      </c>
      <c r="D375" s="10">
        <v>45663</v>
      </c>
      <c r="E375" s="13" t="str">
        <f>+HYPERLINK("http://trademark.i-assist.jp/data/china/image_1918th/81159345.pdf","81159345")</f>
        <v>81159345</v>
      </c>
      <c r="F375" s="11" t="s">
        <v>1102</v>
      </c>
      <c r="G375" s="9" t="s">
        <v>1103</v>
      </c>
      <c r="H375" s="9" t="s">
        <v>1104</v>
      </c>
      <c r="I375" s="10">
        <v>45562</v>
      </c>
    </row>
    <row r="376" spans="1:9" x14ac:dyDescent="0.15">
      <c r="A376" s="9">
        <v>375</v>
      </c>
      <c r="B376" s="9" t="s">
        <v>9</v>
      </c>
      <c r="C376" s="9">
        <v>1918</v>
      </c>
      <c r="D376" s="10">
        <v>45663</v>
      </c>
      <c r="E376" s="13" t="str">
        <f>+HYPERLINK("http://trademark.i-assist.jp/data/china/image_1918th/81159804.pdf","81159804")</f>
        <v>81159804</v>
      </c>
      <c r="F376" s="12" t="s">
        <v>1105</v>
      </c>
      <c r="G376" s="9" t="s">
        <v>856</v>
      </c>
      <c r="H376" s="9" t="s">
        <v>1106</v>
      </c>
      <c r="I376" s="10">
        <v>45562</v>
      </c>
    </row>
    <row r="377" spans="1:9" x14ac:dyDescent="0.15">
      <c r="A377" s="9">
        <v>376</v>
      </c>
      <c r="B377" s="9" t="s">
        <v>9</v>
      </c>
      <c r="C377" s="9">
        <v>1918</v>
      </c>
      <c r="D377" s="10">
        <v>45663</v>
      </c>
      <c r="E377" s="13" t="str">
        <f>+HYPERLINK("http://trademark.i-assist.jp/data/china/image_1918th/81159840.pdf","81159840")</f>
        <v>81159840</v>
      </c>
      <c r="F377" s="9" t="s">
        <v>1107</v>
      </c>
      <c r="G377" s="9" t="s">
        <v>1025</v>
      </c>
      <c r="H377" s="9" t="s">
        <v>1108</v>
      </c>
      <c r="I377" s="10">
        <v>45562</v>
      </c>
    </row>
    <row r="378" spans="1:9" x14ac:dyDescent="0.15">
      <c r="A378" s="9">
        <v>377</v>
      </c>
      <c r="B378" s="9" t="s">
        <v>9</v>
      </c>
      <c r="C378" s="9">
        <v>1918</v>
      </c>
      <c r="D378" s="10">
        <v>45663</v>
      </c>
      <c r="E378" s="13" t="str">
        <f>+HYPERLINK("http://trademark.i-assist.jp/data/china/image_1918th/81159964.pdf","81159964")</f>
        <v>81159964</v>
      </c>
      <c r="F378" s="9" t="s">
        <v>1109</v>
      </c>
      <c r="G378" s="9" t="s">
        <v>1110</v>
      </c>
      <c r="H378" s="9" t="s">
        <v>1111</v>
      </c>
      <c r="I378" s="10">
        <v>45562</v>
      </c>
    </row>
    <row r="379" spans="1:9" x14ac:dyDescent="0.15">
      <c r="A379" s="9">
        <v>378</v>
      </c>
      <c r="B379" s="9" t="s">
        <v>9</v>
      </c>
      <c r="C379" s="9">
        <v>1918</v>
      </c>
      <c r="D379" s="10">
        <v>45663</v>
      </c>
      <c r="E379" s="13" t="str">
        <f>+HYPERLINK("http://trademark.i-assist.jp/data/china/image_1918th/81160436.pdf","81160436")</f>
        <v>81160436</v>
      </c>
      <c r="F379" s="12" t="s">
        <v>1112</v>
      </c>
      <c r="G379" s="9" t="s">
        <v>1113</v>
      </c>
      <c r="H379" s="9" t="s">
        <v>1114</v>
      </c>
      <c r="I379" s="10">
        <v>45562</v>
      </c>
    </row>
    <row r="380" spans="1:9" x14ac:dyDescent="0.15">
      <c r="A380" s="9">
        <v>379</v>
      </c>
      <c r="B380" s="9" t="s">
        <v>9</v>
      </c>
      <c r="C380" s="9">
        <v>1918</v>
      </c>
      <c r="D380" s="10">
        <v>45663</v>
      </c>
      <c r="E380" s="13" t="str">
        <f>+HYPERLINK("http://trademark.i-assist.jp/data/china/image_1918th/81160471.pdf","81160471")</f>
        <v>81160471</v>
      </c>
      <c r="F380" s="12" t="s">
        <v>1115</v>
      </c>
      <c r="G380" s="12" t="s">
        <v>1116</v>
      </c>
      <c r="H380" s="12" t="s">
        <v>1117</v>
      </c>
      <c r="I380" s="10">
        <v>45562</v>
      </c>
    </row>
    <row r="381" spans="1:9" x14ac:dyDescent="0.15">
      <c r="A381" s="9">
        <v>380</v>
      </c>
      <c r="B381" s="9" t="s">
        <v>9</v>
      </c>
      <c r="C381" s="9">
        <v>1918</v>
      </c>
      <c r="D381" s="10">
        <v>45663</v>
      </c>
      <c r="E381" s="13" t="str">
        <f>+HYPERLINK("http://trademark.i-assist.jp/data/china/image_1918th/81160899.pdf","81160899")</f>
        <v>81160899</v>
      </c>
      <c r="F381" s="9" t="s">
        <v>1118</v>
      </c>
      <c r="G381" s="9" t="s">
        <v>1119</v>
      </c>
      <c r="H381" s="9" t="s">
        <v>1120</v>
      </c>
      <c r="I381" s="10">
        <v>45562</v>
      </c>
    </row>
    <row r="382" spans="1:9" x14ac:dyDescent="0.15">
      <c r="A382" s="9">
        <v>381</v>
      </c>
      <c r="B382" s="9" t="s">
        <v>9</v>
      </c>
      <c r="C382" s="9">
        <v>1918</v>
      </c>
      <c r="D382" s="10">
        <v>45663</v>
      </c>
      <c r="E382" s="13" t="str">
        <f>+HYPERLINK("http://trademark.i-assist.jp/data/china/image_1918th/81161157.pdf","81161157")</f>
        <v>81161157</v>
      </c>
      <c r="F382" s="9" t="s">
        <v>1121</v>
      </c>
      <c r="G382" s="9" t="s">
        <v>1122</v>
      </c>
      <c r="H382" s="9" t="s">
        <v>1123</v>
      </c>
      <c r="I382" s="10">
        <v>45562</v>
      </c>
    </row>
    <row r="383" spans="1:9" x14ac:dyDescent="0.15">
      <c r="A383" s="9">
        <v>382</v>
      </c>
      <c r="B383" s="9" t="s">
        <v>9</v>
      </c>
      <c r="C383" s="9">
        <v>1918</v>
      </c>
      <c r="D383" s="10">
        <v>45663</v>
      </c>
      <c r="E383" s="13" t="str">
        <f>+HYPERLINK("http://trademark.i-assist.jp/data/china/image_1918th/81161325.pdf","81161325")</f>
        <v>81161325</v>
      </c>
      <c r="F383" s="9" t="s">
        <v>1124</v>
      </c>
      <c r="G383" s="9" t="s">
        <v>1019</v>
      </c>
      <c r="H383" s="9" t="s">
        <v>1125</v>
      </c>
      <c r="I383" s="10">
        <v>45562</v>
      </c>
    </row>
    <row r="384" spans="1:9" x14ac:dyDescent="0.15">
      <c r="A384" s="9">
        <v>383</v>
      </c>
      <c r="B384" s="9" t="s">
        <v>9</v>
      </c>
      <c r="C384" s="9">
        <v>1918</v>
      </c>
      <c r="D384" s="10">
        <v>45663</v>
      </c>
      <c r="E384" s="13" t="str">
        <f>+HYPERLINK("http://trademark.i-assist.jp/data/china/image_1918th/81161651.pdf","81161651")</f>
        <v>81161651</v>
      </c>
      <c r="F384" s="9" t="s">
        <v>1126</v>
      </c>
      <c r="G384" s="9" t="s">
        <v>54</v>
      </c>
      <c r="H384" s="9" t="s">
        <v>1127</v>
      </c>
      <c r="I384" s="10">
        <v>45562</v>
      </c>
    </row>
    <row r="385" spans="1:9" x14ac:dyDescent="0.15">
      <c r="A385" s="9">
        <v>384</v>
      </c>
      <c r="B385" s="9" t="s">
        <v>9</v>
      </c>
      <c r="C385" s="9">
        <v>1918</v>
      </c>
      <c r="D385" s="10">
        <v>45663</v>
      </c>
      <c r="E385" s="13" t="str">
        <f>+HYPERLINK("http://trademark.i-assist.jp/data/china/image_1918th/81161750.pdf","81161750")</f>
        <v>81161750</v>
      </c>
      <c r="F385" s="9" t="s">
        <v>1128</v>
      </c>
      <c r="G385" s="9" t="s">
        <v>1129</v>
      </c>
      <c r="H385" s="9" t="s">
        <v>1130</v>
      </c>
      <c r="I385" s="10">
        <v>45562</v>
      </c>
    </row>
    <row r="386" spans="1:9" x14ac:dyDescent="0.15">
      <c r="A386" s="9">
        <v>385</v>
      </c>
      <c r="B386" s="9" t="s">
        <v>9</v>
      </c>
      <c r="C386" s="9">
        <v>1918</v>
      </c>
      <c r="D386" s="10">
        <v>45663</v>
      </c>
      <c r="E386" s="13" t="str">
        <f>+HYPERLINK("http://trademark.i-assist.jp/data/china/image_1918th/81161904.pdf","81161904")</f>
        <v>81161904</v>
      </c>
      <c r="F386" s="12" t="s">
        <v>1131</v>
      </c>
      <c r="G386" s="9" t="s">
        <v>1048</v>
      </c>
      <c r="H386" s="9" t="s">
        <v>1132</v>
      </c>
      <c r="I386" s="10">
        <v>45562</v>
      </c>
    </row>
    <row r="387" spans="1:9" x14ac:dyDescent="0.15">
      <c r="A387" s="9">
        <v>386</v>
      </c>
      <c r="B387" s="9" t="s">
        <v>9</v>
      </c>
      <c r="C387" s="9">
        <v>1918</v>
      </c>
      <c r="D387" s="10">
        <v>45663</v>
      </c>
      <c r="E387" s="13" t="str">
        <f>+HYPERLINK("http://trademark.i-assist.jp/data/china/image_1918th/81162280.pdf","81162280")</f>
        <v>81162280</v>
      </c>
      <c r="F387" s="11" t="s">
        <v>1133</v>
      </c>
      <c r="G387" s="9" t="s">
        <v>1134</v>
      </c>
      <c r="H387" s="9" t="s">
        <v>1135</v>
      </c>
      <c r="I387" s="10">
        <v>45562</v>
      </c>
    </row>
    <row r="388" spans="1:9" x14ac:dyDescent="0.15">
      <c r="A388" s="9">
        <v>387</v>
      </c>
      <c r="B388" s="9" t="s">
        <v>9</v>
      </c>
      <c r="C388" s="9">
        <v>1918</v>
      </c>
      <c r="D388" s="10">
        <v>45663</v>
      </c>
      <c r="E388" s="13" t="str">
        <f>+HYPERLINK("http://trademark.i-assist.jp/data/china/image_1918th/81162333.pdf","81162333")</f>
        <v>81162333</v>
      </c>
      <c r="F388" s="9" t="s">
        <v>1136</v>
      </c>
      <c r="G388" s="9" t="s">
        <v>1137</v>
      </c>
      <c r="H388" s="9" t="s">
        <v>1138</v>
      </c>
      <c r="I388" s="10">
        <v>45562</v>
      </c>
    </row>
    <row r="389" spans="1:9" x14ac:dyDescent="0.15">
      <c r="A389" s="9">
        <v>388</v>
      </c>
      <c r="B389" s="9" t="s">
        <v>9</v>
      </c>
      <c r="C389" s="9">
        <v>1918</v>
      </c>
      <c r="D389" s="10">
        <v>45663</v>
      </c>
      <c r="E389" s="13" t="str">
        <f>+HYPERLINK("http://trademark.i-assist.jp/data/china/image_1918th/81162794.pdf","81162794")</f>
        <v>81162794</v>
      </c>
      <c r="F389" s="9" t="s">
        <v>1139</v>
      </c>
      <c r="G389" s="9" t="s">
        <v>1140</v>
      </c>
      <c r="H389" s="9" t="s">
        <v>1141</v>
      </c>
      <c r="I389" s="10">
        <v>45562</v>
      </c>
    </row>
    <row r="390" spans="1:9" x14ac:dyDescent="0.15">
      <c r="A390" s="9">
        <v>389</v>
      </c>
      <c r="B390" s="9" t="s">
        <v>9</v>
      </c>
      <c r="C390" s="9">
        <v>1918</v>
      </c>
      <c r="D390" s="10">
        <v>45663</v>
      </c>
      <c r="E390" s="13" t="str">
        <f>+HYPERLINK("http://trademark.i-assist.jp/data/china/image_1918th/81162879.pdf","81162879")</f>
        <v>81162879</v>
      </c>
      <c r="F390" s="9" t="s">
        <v>1142</v>
      </c>
      <c r="G390" s="9" t="s">
        <v>1143</v>
      </c>
      <c r="H390" s="9" t="s">
        <v>1144</v>
      </c>
      <c r="I390" s="10">
        <v>45562</v>
      </c>
    </row>
    <row r="391" spans="1:9" x14ac:dyDescent="0.15">
      <c r="A391" s="9">
        <v>390</v>
      </c>
      <c r="B391" s="9" t="s">
        <v>9</v>
      </c>
      <c r="C391" s="9">
        <v>1918</v>
      </c>
      <c r="D391" s="10">
        <v>45663</v>
      </c>
      <c r="E391" s="13" t="str">
        <f>+HYPERLINK("http://trademark.i-assist.jp/data/china/image_1918th/81163163.pdf","81163163")</f>
        <v>81163163</v>
      </c>
      <c r="F391" s="9" t="s">
        <v>1145</v>
      </c>
      <c r="G391" s="12" t="s">
        <v>1146</v>
      </c>
      <c r="H391" s="9" t="s">
        <v>1147</v>
      </c>
      <c r="I391" s="10">
        <v>45562</v>
      </c>
    </row>
    <row r="392" spans="1:9" x14ac:dyDescent="0.15">
      <c r="A392" s="9">
        <v>391</v>
      </c>
      <c r="B392" s="9" t="s">
        <v>9</v>
      </c>
      <c r="C392" s="9">
        <v>1918</v>
      </c>
      <c r="D392" s="10">
        <v>45663</v>
      </c>
      <c r="E392" s="13" t="str">
        <f>+HYPERLINK("http://trademark.i-assist.jp/data/china/image_1918th/81163498.pdf","81163498")</f>
        <v>81163498</v>
      </c>
      <c r="F392" s="12" t="s">
        <v>1148</v>
      </c>
      <c r="G392" s="9" t="s">
        <v>1149</v>
      </c>
      <c r="H392" s="9" t="s">
        <v>1150</v>
      </c>
      <c r="I392" s="10">
        <v>45563</v>
      </c>
    </row>
    <row r="393" spans="1:9" x14ac:dyDescent="0.15">
      <c r="A393" s="9">
        <v>392</v>
      </c>
      <c r="B393" s="9" t="s">
        <v>9</v>
      </c>
      <c r="C393" s="9">
        <v>1918</v>
      </c>
      <c r="D393" s="10">
        <v>45663</v>
      </c>
      <c r="E393" s="13" t="str">
        <f>+HYPERLINK("http://trademark.i-assist.jp/data/china/image_1918th/81164837.pdf","81164837")</f>
        <v>81164837</v>
      </c>
      <c r="F393" s="9" t="s">
        <v>1151</v>
      </c>
      <c r="G393" s="9" t="s">
        <v>1152</v>
      </c>
      <c r="H393" s="9" t="s">
        <v>1153</v>
      </c>
      <c r="I393" s="10">
        <v>45563</v>
      </c>
    </row>
    <row r="394" spans="1:9" x14ac:dyDescent="0.15">
      <c r="A394" s="9">
        <v>393</v>
      </c>
      <c r="B394" s="9" t="s">
        <v>9</v>
      </c>
      <c r="C394" s="9">
        <v>1918</v>
      </c>
      <c r="D394" s="10">
        <v>45663</v>
      </c>
      <c r="E394" s="13" t="str">
        <f>+HYPERLINK("http://trademark.i-assist.jp/data/china/image_1918th/81165140.pdf","81165140")</f>
        <v>81165140</v>
      </c>
      <c r="F394" s="9" t="s">
        <v>1154</v>
      </c>
      <c r="G394" s="12" t="s">
        <v>1155</v>
      </c>
      <c r="H394" s="9" t="s">
        <v>1156</v>
      </c>
      <c r="I394" s="10">
        <v>45563</v>
      </c>
    </row>
    <row r="395" spans="1:9" x14ac:dyDescent="0.15">
      <c r="A395" s="9">
        <v>394</v>
      </c>
      <c r="B395" s="9" t="s">
        <v>9</v>
      </c>
      <c r="C395" s="9">
        <v>1918</v>
      </c>
      <c r="D395" s="10">
        <v>45663</v>
      </c>
      <c r="E395" s="13" t="str">
        <f>+HYPERLINK("http://trademark.i-assist.jp/data/china/image_1918th/81165230.pdf","81165230")</f>
        <v>81165230</v>
      </c>
      <c r="F395" s="12" t="s">
        <v>1157</v>
      </c>
      <c r="G395" s="9" t="s">
        <v>1158</v>
      </c>
      <c r="H395" s="9" t="s">
        <v>1159</v>
      </c>
      <c r="I395" s="10">
        <v>45563</v>
      </c>
    </row>
    <row r="396" spans="1:9" x14ac:dyDescent="0.15">
      <c r="A396" s="9">
        <v>395</v>
      </c>
      <c r="B396" s="9" t="s">
        <v>9</v>
      </c>
      <c r="C396" s="9">
        <v>1918</v>
      </c>
      <c r="D396" s="10">
        <v>45663</v>
      </c>
      <c r="E396" s="13" t="str">
        <f>+HYPERLINK("http://trademark.i-assist.jp/data/china/image_1918th/81165769.pdf","81165769")</f>
        <v>81165769</v>
      </c>
      <c r="F396" s="12" t="s">
        <v>1160</v>
      </c>
      <c r="G396" s="9" t="s">
        <v>1161</v>
      </c>
      <c r="H396" s="9" t="s">
        <v>1162</v>
      </c>
      <c r="I396" s="10">
        <v>45563</v>
      </c>
    </row>
    <row r="397" spans="1:9" x14ac:dyDescent="0.15">
      <c r="A397" s="9">
        <v>396</v>
      </c>
      <c r="B397" s="9" t="s">
        <v>9</v>
      </c>
      <c r="C397" s="9">
        <v>1918</v>
      </c>
      <c r="D397" s="10">
        <v>45663</v>
      </c>
      <c r="E397" s="13" t="str">
        <f>+HYPERLINK("http://trademark.i-assist.jp/data/china/image_1918th/81166822.pdf","81166822")</f>
        <v>81166822</v>
      </c>
      <c r="F397" s="12" t="s">
        <v>1163</v>
      </c>
      <c r="G397" s="9" t="s">
        <v>1164</v>
      </c>
      <c r="H397" s="9" t="s">
        <v>1165</v>
      </c>
      <c r="I397" s="10">
        <v>45563</v>
      </c>
    </row>
    <row r="398" spans="1:9" x14ac:dyDescent="0.15">
      <c r="A398" s="9">
        <v>397</v>
      </c>
      <c r="B398" s="9" t="s">
        <v>9</v>
      </c>
      <c r="C398" s="9">
        <v>1918</v>
      </c>
      <c r="D398" s="10">
        <v>45663</v>
      </c>
      <c r="E398" s="13" t="str">
        <f>+HYPERLINK("http://trademark.i-assist.jp/data/china/image_1918th/81167566.pdf","81167566")</f>
        <v>81167566</v>
      </c>
      <c r="F398" s="9" t="s">
        <v>1166</v>
      </c>
      <c r="G398" s="12" t="s">
        <v>1167</v>
      </c>
      <c r="H398" s="12" t="s">
        <v>1168</v>
      </c>
      <c r="I398" s="10">
        <v>45563</v>
      </c>
    </row>
    <row r="399" spans="1:9" x14ac:dyDescent="0.15">
      <c r="A399" s="9">
        <v>398</v>
      </c>
      <c r="B399" s="9" t="s">
        <v>9</v>
      </c>
      <c r="C399" s="9">
        <v>1918</v>
      </c>
      <c r="D399" s="10">
        <v>45663</v>
      </c>
      <c r="E399" s="13" t="str">
        <f>+HYPERLINK("http://trademark.i-assist.jp/data/china/image_1918th/81167815.pdf","81167815")</f>
        <v>81167815</v>
      </c>
      <c r="F399" s="9" t="s">
        <v>1169</v>
      </c>
      <c r="G399" s="9" t="s">
        <v>1170</v>
      </c>
      <c r="H399" s="9" t="s">
        <v>1171</v>
      </c>
      <c r="I399" s="10">
        <v>45563</v>
      </c>
    </row>
    <row r="400" spans="1:9" x14ac:dyDescent="0.15">
      <c r="A400" s="9">
        <v>399</v>
      </c>
      <c r="B400" s="9" t="s">
        <v>9</v>
      </c>
      <c r="C400" s="9">
        <v>1918</v>
      </c>
      <c r="D400" s="10">
        <v>45663</v>
      </c>
      <c r="E400" s="13" t="str">
        <f>+HYPERLINK("http://trademark.i-assist.jp/data/china/image_1918th/81168328.pdf","81168328")</f>
        <v>81168328</v>
      </c>
      <c r="F400" s="9" t="s">
        <v>1172</v>
      </c>
      <c r="G400" s="9" t="s">
        <v>1173</v>
      </c>
      <c r="H400" s="9" t="s">
        <v>1174</v>
      </c>
      <c r="I400" s="10">
        <v>45563</v>
      </c>
    </row>
    <row r="401" spans="1:9" x14ac:dyDescent="0.15">
      <c r="A401" s="9">
        <v>400</v>
      </c>
      <c r="B401" s="9" t="s">
        <v>9</v>
      </c>
      <c r="C401" s="9">
        <v>1918</v>
      </c>
      <c r="D401" s="10">
        <v>45663</v>
      </c>
      <c r="E401" s="13" t="str">
        <f>+HYPERLINK("http://trademark.i-assist.jp/data/china/image_1918th/81169337.pdf","81169337")</f>
        <v>81169337</v>
      </c>
      <c r="F401" s="9" t="s">
        <v>1175</v>
      </c>
      <c r="G401" s="9" t="s">
        <v>1170</v>
      </c>
      <c r="H401" s="9" t="s">
        <v>1176</v>
      </c>
      <c r="I401" s="10">
        <v>45563</v>
      </c>
    </row>
    <row r="402" spans="1:9" x14ac:dyDescent="0.15">
      <c r="A402" s="9">
        <v>401</v>
      </c>
      <c r="B402" s="9" t="s">
        <v>9</v>
      </c>
      <c r="C402" s="9">
        <v>1918</v>
      </c>
      <c r="D402" s="10">
        <v>45663</v>
      </c>
      <c r="E402" s="13" t="str">
        <f>+HYPERLINK("http://trademark.i-assist.jp/data/china/image_1918th/81169456.pdf","81169456")</f>
        <v>81169456</v>
      </c>
      <c r="F402" s="9" t="s">
        <v>1177</v>
      </c>
      <c r="G402" s="12" t="s">
        <v>1178</v>
      </c>
      <c r="H402" s="9" t="s">
        <v>1179</v>
      </c>
      <c r="I402" s="10">
        <v>45563</v>
      </c>
    </row>
    <row r="403" spans="1:9" x14ac:dyDescent="0.15">
      <c r="A403" s="9">
        <v>402</v>
      </c>
      <c r="B403" s="9" t="s">
        <v>9</v>
      </c>
      <c r="C403" s="9">
        <v>1918</v>
      </c>
      <c r="D403" s="10">
        <v>45663</v>
      </c>
      <c r="E403" s="13" t="str">
        <f>+HYPERLINK("http://trademark.i-assist.jp/data/china/image_1918th/81169821.pdf","81169821")</f>
        <v>81169821</v>
      </c>
      <c r="F403" s="12" t="s">
        <v>1180</v>
      </c>
      <c r="G403" s="12" t="s">
        <v>1181</v>
      </c>
      <c r="H403" s="9" t="s">
        <v>1182</v>
      </c>
      <c r="I403" s="10">
        <v>45563</v>
      </c>
    </row>
    <row r="404" spans="1:9" x14ac:dyDescent="0.15">
      <c r="A404" s="9">
        <v>403</v>
      </c>
      <c r="B404" s="9" t="s">
        <v>9</v>
      </c>
      <c r="C404" s="9">
        <v>1918</v>
      </c>
      <c r="D404" s="10">
        <v>45663</v>
      </c>
      <c r="E404" s="13" t="str">
        <f>+HYPERLINK("http://trademark.i-assist.jp/data/china/image_1918th/81169981.pdf","81169981")</f>
        <v>81169981</v>
      </c>
      <c r="F404" s="9" t="s">
        <v>1183</v>
      </c>
      <c r="G404" s="12" t="s">
        <v>48</v>
      </c>
      <c r="H404" s="9" t="s">
        <v>1184</v>
      </c>
      <c r="I404" s="10">
        <v>45563</v>
      </c>
    </row>
    <row r="405" spans="1:9" x14ac:dyDescent="0.15">
      <c r="A405" s="9">
        <v>404</v>
      </c>
      <c r="B405" s="9" t="s">
        <v>9</v>
      </c>
      <c r="C405" s="9">
        <v>1918</v>
      </c>
      <c r="D405" s="10">
        <v>45663</v>
      </c>
      <c r="E405" s="13" t="str">
        <f>+HYPERLINK("http://trademark.i-assist.jp/data/china/image_1918th/81170435.pdf","81170435")</f>
        <v>81170435</v>
      </c>
      <c r="F405" s="9" t="s">
        <v>1185</v>
      </c>
      <c r="G405" s="12" t="s">
        <v>1186</v>
      </c>
      <c r="H405" s="9" t="s">
        <v>1187</v>
      </c>
      <c r="I405" s="10">
        <v>45563</v>
      </c>
    </row>
    <row r="406" spans="1:9" x14ac:dyDescent="0.15">
      <c r="A406" s="9">
        <v>405</v>
      </c>
      <c r="B406" s="9" t="s">
        <v>9</v>
      </c>
      <c r="C406" s="9">
        <v>1918</v>
      </c>
      <c r="D406" s="10">
        <v>45663</v>
      </c>
      <c r="E406" s="13" t="str">
        <f>+HYPERLINK("http://trademark.i-assist.jp/data/china/image_1918th/81171269.pdf","81171269")</f>
        <v>81171269</v>
      </c>
      <c r="F406" s="12" t="s">
        <v>1188</v>
      </c>
      <c r="G406" s="12" t="s">
        <v>1189</v>
      </c>
      <c r="H406" s="12" t="s">
        <v>1190</v>
      </c>
      <c r="I406" s="10">
        <v>45563</v>
      </c>
    </row>
    <row r="407" spans="1:9" x14ac:dyDescent="0.15">
      <c r="A407" s="9">
        <v>406</v>
      </c>
      <c r="B407" s="9" t="s">
        <v>9</v>
      </c>
      <c r="C407" s="9">
        <v>1918</v>
      </c>
      <c r="D407" s="10">
        <v>45663</v>
      </c>
      <c r="E407" s="13" t="str">
        <f>+HYPERLINK("http://trademark.i-assist.jp/data/china/image_1918th/81172027.pdf","81172027")</f>
        <v>81172027</v>
      </c>
      <c r="F407" s="9" t="s">
        <v>1191</v>
      </c>
      <c r="G407" s="9" t="s">
        <v>1192</v>
      </c>
      <c r="H407" s="9" t="s">
        <v>1193</v>
      </c>
      <c r="I407" s="10">
        <v>45563</v>
      </c>
    </row>
    <row r="408" spans="1:9" x14ac:dyDescent="0.15">
      <c r="A408" s="9">
        <v>407</v>
      </c>
      <c r="B408" s="9" t="s">
        <v>9</v>
      </c>
      <c r="C408" s="9">
        <v>1918</v>
      </c>
      <c r="D408" s="10">
        <v>45663</v>
      </c>
      <c r="E408" s="13" t="str">
        <f>+HYPERLINK("http://trademark.i-assist.jp/data/china/image_1918th/81172218.pdf","81172218")</f>
        <v>81172218</v>
      </c>
      <c r="F408" s="9" t="s">
        <v>1194</v>
      </c>
      <c r="G408" s="9" t="s">
        <v>1195</v>
      </c>
      <c r="H408" s="9" t="s">
        <v>1196</v>
      </c>
      <c r="I408" s="10">
        <v>45563</v>
      </c>
    </row>
    <row r="409" spans="1:9" x14ac:dyDescent="0.15">
      <c r="A409" s="9">
        <v>408</v>
      </c>
      <c r="B409" s="9" t="s">
        <v>9</v>
      </c>
      <c r="C409" s="9">
        <v>1918</v>
      </c>
      <c r="D409" s="10">
        <v>45663</v>
      </c>
      <c r="E409" s="13" t="str">
        <f>+HYPERLINK("http://trademark.i-assist.jp/data/china/image_1918th/81172363.pdf","81172363")</f>
        <v>81172363</v>
      </c>
      <c r="F409" s="9" t="s">
        <v>1197</v>
      </c>
      <c r="G409" s="9" t="s">
        <v>1170</v>
      </c>
      <c r="H409" s="9" t="s">
        <v>1198</v>
      </c>
      <c r="I409" s="10">
        <v>45563</v>
      </c>
    </row>
    <row r="410" spans="1:9" x14ac:dyDescent="0.15">
      <c r="A410" s="9">
        <v>409</v>
      </c>
      <c r="B410" s="9" t="s">
        <v>9</v>
      </c>
      <c r="C410" s="9">
        <v>1918</v>
      </c>
      <c r="D410" s="10">
        <v>45663</v>
      </c>
      <c r="E410" s="13" t="str">
        <f>+HYPERLINK("http://trademark.i-assist.jp/data/china/image_1918th/81172364.pdf","81172364")</f>
        <v>81172364</v>
      </c>
      <c r="F410" s="9" t="s">
        <v>1199</v>
      </c>
      <c r="G410" s="9" t="s">
        <v>1170</v>
      </c>
      <c r="H410" s="9" t="s">
        <v>1200</v>
      </c>
      <c r="I410" s="10">
        <v>45563</v>
      </c>
    </row>
    <row r="411" spans="1:9" x14ac:dyDescent="0.15">
      <c r="A411" s="9">
        <v>410</v>
      </c>
      <c r="B411" s="9" t="s">
        <v>9</v>
      </c>
      <c r="C411" s="9">
        <v>1918</v>
      </c>
      <c r="D411" s="10">
        <v>45663</v>
      </c>
      <c r="E411" s="13" t="str">
        <f>+HYPERLINK("http://trademark.i-assist.jp/data/china/image_1918th/81173973.pdf","81173973")</f>
        <v>81173973</v>
      </c>
      <c r="F411" s="12" t="s">
        <v>1201</v>
      </c>
      <c r="G411" s="9" t="s">
        <v>1202</v>
      </c>
      <c r="H411" s="12" t="s">
        <v>1203</v>
      </c>
      <c r="I411" s="10">
        <v>45564</v>
      </c>
    </row>
    <row r="412" spans="1:9" x14ac:dyDescent="0.15">
      <c r="A412" s="9">
        <v>411</v>
      </c>
      <c r="B412" s="9" t="s">
        <v>9</v>
      </c>
      <c r="C412" s="9">
        <v>1918</v>
      </c>
      <c r="D412" s="10">
        <v>45663</v>
      </c>
      <c r="E412" s="13" t="str">
        <f>+HYPERLINK("http://trademark.i-assist.jp/data/china/image_1918th/81174893.pdf","81174893")</f>
        <v>81174893</v>
      </c>
      <c r="F412" s="9" t="s">
        <v>1204</v>
      </c>
      <c r="G412" s="9" t="s">
        <v>58</v>
      </c>
      <c r="H412" s="12" t="s">
        <v>1205</v>
      </c>
      <c r="I412" s="10">
        <v>45564</v>
      </c>
    </row>
    <row r="413" spans="1:9" x14ac:dyDescent="0.15">
      <c r="A413" s="9">
        <v>412</v>
      </c>
      <c r="B413" s="9" t="s">
        <v>9</v>
      </c>
      <c r="C413" s="9">
        <v>1918</v>
      </c>
      <c r="D413" s="10">
        <v>45663</v>
      </c>
      <c r="E413" s="13" t="str">
        <f>+HYPERLINK("http://trademark.i-assist.jp/data/china/image_1918th/81174946.pdf","81174946")</f>
        <v>81174946</v>
      </c>
      <c r="F413" s="9" t="s">
        <v>1206</v>
      </c>
      <c r="G413" s="9" t="s">
        <v>1207</v>
      </c>
      <c r="H413" s="9" t="s">
        <v>1208</v>
      </c>
      <c r="I413" s="10">
        <v>45564</v>
      </c>
    </row>
    <row r="414" spans="1:9" x14ac:dyDescent="0.15">
      <c r="A414" s="9">
        <v>413</v>
      </c>
      <c r="B414" s="9" t="s">
        <v>9</v>
      </c>
      <c r="C414" s="9">
        <v>1918</v>
      </c>
      <c r="D414" s="10">
        <v>45663</v>
      </c>
      <c r="E414" s="13" t="str">
        <f>+HYPERLINK("http://trademark.i-assist.jp/data/china/image_1918th/81175399.pdf","81175399")</f>
        <v>81175399</v>
      </c>
      <c r="F414" s="12" t="s">
        <v>1209</v>
      </c>
      <c r="G414" s="9" t="s">
        <v>1210</v>
      </c>
      <c r="H414" s="9" t="s">
        <v>1211</v>
      </c>
      <c r="I414" s="10">
        <v>45564</v>
      </c>
    </row>
    <row r="415" spans="1:9" x14ac:dyDescent="0.15">
      <c r="A415" s="9">
        <v>414</v>
      </c>
      <c r="B415" s="9" t="s">
        <v>9</v>
      </c>
      <c r="C415" s="9">
        <v>1918</v>
      </c>
      <c r="D415" s="10">
        <v>45663</v>
      </c>
      <c r="E415" s="13" t="str">
        <f>+HYPERLINK("http://trademark.i-assist.jp/data/china/image_1918th/81175403.pdf","81175403")</f>
        <v>81175403</v>
      </c>
      <c r="F415" s="12" t="s">
        <v>1212</v>
      </c>
      <c r="G415" s="12" t="s">
        <v>867</v>
      </c>
      <c r="H415" s="12" t="s">
        <v>1213</v>
      </c>
      <c r="I415" s="10">
        <v>45564</v>
      </c>
    </row>
    <row r="416" spans="1:9" x14ac:dyDescent="0.15">
      <c r="A416" s="9">
        <v>415</v>
      </c>
      <c r="B416" s="9" t="s">
        <v>9</v>
      </c>
      <c r="C416" s="9">
        <v>1918</v>
      </c>
      <c r="D416" s="10">
        <v>45663</v>
      </c>
      <c r="E416" s="13" t="str">
        <f>+HYPERLINK("http://trademark.i-assist.jp/data/china/image_1918th/81176204.pdf","81176204")</f>
        <v>81176204</v>
      </c>
      <c r="F416" s="12" t="s">
        <v>1214</v>
      </c>
      <c r="G416" s="9" t="s">
        <v>1215</v>
      </c>
      <c r="H416" s="9" t="s">
        <v>1216</v>
      </c>
      <c r="I416" s="10">
        <v>45564</v>
      </c>
    </row>
    <row r="417" spans="1:9" x14ac:dyDescent="0.15">
      <c r="A417" s="9">
        <v>416</v>
      </c>
      <c r="B417" s="9" t="s">
        <v>9</v>
      </c>
      <c r="C417" s="9">
        <v>1918</v>
      </c>
      <c r="D417" s="10">
        <v>45663</v>
      </c>
      <c r="E417" s="13" t="str">
        <f>+HYPERLINK("http://trademark.i-assist.jp/data/china/image_1918th/81176287.pdf","81176287")</f>
        <v>81176287</v>
      </c>
      <c r="F417" s="9" t="s">
        <v>1217</v>
      </c>
      <c r="G417" s="12" t="s">
        <v>1218</v>
      </c>
      <c r="H417" s="9" t="s">
        <v>1219</v>
      </c>
      <c r="I417" s="10">
        <v>45564</v>
      </c>
    </row>
    <row r="418" spans="1:9" x14ac:dyDescent="0.15">
      <c r="A418" s="9">
        <v>417</v>
      </c>
      <c r="B418" s="9" t="s">
        <v>9</v>
      </c>
      <c r="C418" s="9">
        <v>1918</v>
      </c>
      <c r="D418" s="10">
        <v>45663</v>
      </c>
      <c r="E418" s="13" t="str">
        <f>+HYPERLINK("http://trademark.i-assist.jp/data/china/image_1918th/81176749.pdf","81176749")</f>
        <v>81176749</v>
      </c>
      <c r="F418" s="9" t="s">
        <v>1220</v>
      </c>
      <c r="G418" s="9" t="s">
        <v>1221</v>
      </c>
      <c r="H418" s="9" t="s">
        <v>1222</v>
      </c>
      <c r="I418" s="10">
        <v>45564</v>
      </c>
    </row>
    <row r="419" spans="1:9" x14ac:dyDescent="0.15">
      <c r="A419" s="9">
        <v>418</v>
      </c>
      <c r="B419" s="9" t="s">
        <v>9</v>
      </c>
      <c r="C419" s="9">
        <v>1918</v>
      </c>
      <c r="D419" s="10">
        <v>45663</v>
      </c>
      <c r="E419" s="13" t="str">
        <f>+HYPERLINK("http://trademark.i-assist.jp/data/china/image_1918th/81176856.pdf","81176856")</f>
        <v>81176856</v>
      </c>
      <c r="F419" s="9" t="s">
        <v>1223</v>
      </c>
      <c r="G419" s="12" t="s">
        <v>1224</v>
      </c>
      <c r="H419" s="9" t="s">
        <v>1225</v>
      </c>
      <c r="I419" s="10">
        <v>45564</v>
      </c>
    </row>
    <row r="420" spans="1:9" x14ac:dyDescent="0.15">
      <c r="A420" s="9">
        <v>419</v>
      </c>
      <c r="B420" s="9" t="s">
        <v>9</v>
      </c>
      <c r="C420" s="9">
        <v>1918</v>
      </c>
      <c r="D420" s="10">
        <v>45663</v>
      </c>
      <c r="E420" s="13" t="str">
        <f>+HYPERLINK("http://trademark.i-assist.jp/data/china/image_1918th/81177599.pdf","81177599")</f>
        <v>81177599</v>
      </c>
      <c r="F420" s="9" t="s">
        <v>1226</v>
      </c>
      <c r="G420" s="9" t="s">
        <v>1227</v>
      </c>
      <c r="H420" s="12" t="s">
        <v>1228</v>
      </c>
      <c r="I420" s="10">
        <v>45564</v>
      </c>
    </row>
    <row r="421" spans="1:9" x14ac:dyDescent="0.15">
      <c r="A421" s="9">
        <v>420</v>
      </c>
      <c r="B421" s="9" t="s">
        <v>9</v>
      </c>
      <c r="C421" s="9">
        <v>1918</v>
      </c>
      <c r="D421" s="10">
        <v>45663</v>
      </c>
      <c r="E421" s="13" t="str">
        <f>+HYPERLINK("http://trademark.i-assist.jp/data/china/image_1918th/81177818.pdf","81177818")</f>
        <v>81177818</v>
      </c>
      <c r="F421" s="9" t="s">
        <v>1229</v>
      </c>
      <c r="G421" s="9" t="s">
        <v>1230</v>
      </c>
      <c r="H421" s="9" t="s">
        <v>1231</v>
      </c>
      <c r="I421" s="10">
        <v>45564</v>
      </c>
    </row>
    <row r="422" spans="1:9" x14ac:dyDescent="0.15">
      <c r="A422" s="9">
        <v>421</v>
      </c>
      <c r="B422" s="9" t="s">
        <v>9</v>
      </c>
      <c r="C422" s="9">
        <v>1918</v>
      </c>
      <c r="D422" s="10">
        <v>45663</v>
      </c>
      <c r="E422" s="13" t="str">
        <f>+HYPERLINK("http://trademark.i-assist.jp/data/china/image_1918th/81177985.pdf","81177985")</f>
        <v>81177985</v>
      </c>
      <c r="F422" s="9" t="s">
        <v>1232</v>
      </c>
      <c r="G422" s="9" t="s">
        <v>1233</v>
      </c>
      <c r="H422" s="9" t="s">
        <v>1234</v>
      </c>
      <c r="I422" s="10">
        <v>45564</v>
      </c>
    </row>
    <row r="423" spans="1:9" x14ac:dyDescent="0.15">
      <c r="A423" s="9">
        <v>422</v>
      </c>
      <c r="B423" s="9" t="s">
        <v>9</v>
      </c>
      <c r="C423" s="9">
        <v>1918</v>
      </c>
      <c r="D423" s="10">
        <v>45663</v>
      </c>
      <c r="E423" s="13" t="str">
        <f>+HYPERLINK("http://trademark.i-assist.jp/data/china/image_1918th/81178020.pdf","81178020")</f>
        <v>81178020</v>
      </c>
      <c r="F423" s="9" t="s">
        <v>1235</v>
      </c>
      <c r="G423" s="12" t="s">
        <v>1236</v>
      </c>
      <c r="H423" s="9" t="s">
        <v>1237</v>
      </c>
      <c r="I423" s="10">
        <v>45564</v>
      </c>
    </row>
    <row r="424" spans="1:9" x14ac:dyDescent="0.15">
      <c r="A424" s="9">
        <v>423</v>
      </c>
      <c r="B424" s="9" t="s">
        <v>9</v>
      </c>
      <c r="C424" s="9">
        <v>1918</v>
      </c>
      <c r="D424" s="10">
        <v>45663</v>
      </c>
      <c r="E424" s="13" t="str">
        <f>+HYPERLINK("http://trademark.i-assist.jp/data/china/image_1918th/81178145.pdf","81178145")</f>
        <v>81178145</v>
      </c>
      <c r="F424" s="12" t="s">
        <v>1238</v>
      </c>
      <c r="G424" s="9" t="s">
        <v>1239</v>
      </c>
      <c r="H424" s="9" t="s">
        <v>1240</v>
      </c>
      <c r="I424" s="10">
        <v>45564</v>
      </c>
    </row>
    <row r="425" spans="1:9" x14ac:dyDescent="0.15">
      <c r="A425" s="9">
        <v>424</v>
      </c>
      <c r="B425" s="9" t="s">
        <v>9</v>
      </c>
      <c r="C425" s="9">
        <v>1918</v>
      </c>
      <c r="D425" s="10">
        <v>45663</v>
      </c>
      <c r="E425" s="13" t="str">
        <f>+HYPERLINK("http://trademark.i-assist.jp/data/china/image_1918th/81178313.pdf","81178313")</f>
        <v>81178313</v>
      </c>
      <c r="F425" s="9" t="s">
        <v>1241</v>
      </c>
      <c r="G425" s="9" t="s">
        <v>1242</v>
      </c>
      <c r="H425" s="9" t="s">
        <v>1243</v>
      </c>
      <c r="I425" s="10">
        <v>45564</v>
      </c>
    </row>
    <row r="426" spans="1:9" x14ac:dyDescent="0.15">
      <c r="A426" s="9">
        <v>425</v>
      </c>
      <c r="B426" s="9" t="s">
        <v>9</v>
      </c>
      <c r="C426" s="9">
        <v>1918</v>
      </c>
      <c r="D426" s="10">
        <v>45663</v>
      </c>
      <c r="E426" s="13" t="str">
        <f>+HYPERLINK("http://trademark.i-assist.jp/data/china/image_1918th/81178799.pdf","81178799")</f>
        <v>81178799</v>
      </c>
      <c r="F426" s="9" t="s">
        <v>1244</v>
      </c>
      <c r="G426" s="12" t="s">
        <v>1245</v>
      </c>
      <c r="H426" s="9" t="s">
        <v>1246</v>
      </c>
      <c r="I426" s="10">
        <v>45564</v>
      </c>
    </row>
    <row r="427" spans="1:9" x14ac:dyDescent="0.15">
      <c r="A427" s="9">
        <v>426</v>
      </c>
      <c r="B427" s="9" t="s">
        <v>9</v>
      </c>
      <c r="C427" s="9">
        <v>1918</v>
      </c>
      <c r="D427" s="10">
        <v>45663</v>
      </c>
      <c r="E427" s="13" t="str">
        <f>+HYPERLINK("http://trademark.i-assist.jp/data/china/image_1918th/81178884.pdf","81178884")</f>
        <v>81178884</v>
      </c>
      <c r="F427" s="12" t="s">
        <v>1247</v>
      </c>
      <c r="G427" s="9" t="s">
        <v>1248</v>
      </c>
      <c r="H427" s="9" t="s">
        <v>1249</v>
      </c>
      <c r="I427" s="10">
        <v>45564</v>
      </c>
    </row>
    <row r="428" spans="1:9" x14ac:dyDescent="0.15">
      <c r="A428" s="9">
        <v>427</v>
      </c>
      <c r="B428" s="9" t="s">
        <v>9</v>
      </c>
      <c r="C428" s="9">
        <v>1918</v>
      </c>
      <c r="D428" s="10">
        <v>45663</v>
      </c>
      <c r="E428" s="13" t="str">
        <f>+HYPERLINK("http://trademark.i-assist.jp/data/china/image_1918th/81179088.pdf","81179088")</f>
        <v>81179088</v>
      </c>
      <c r="F428" s="9" t="s">
        <v>1250</v>
      </c>
      <c r="G428" s="12" t="s">
        <v>1251</v>
      </c>
      <c r="H428" s="9" t="s">
        <v>1252</v>
      </c>
      <c r="I428" s="10">
        <v>45564</v>
      </c>
    </row>
    <row r="429" spans="1:9" x14ac:dyDescent="0.15">
      <c r="A429" s="9">
        <v>428</v>
      </c>
      <c r="B429" s="9" t="s">
        <v>9</v>
      </c>
      <c r="C429" s="9">
        <v>1918</v>
      </c>
      <c r="D429" s="10">
        <v>45663</v>
      </c>
      <c r="E429" s="13" t="str">
        <f>+HYPERLINK("http://trademark.i-assist.jp/data/china/image_1918th/81180250.pdf","81180250")</f>
        <v>81180250</v>
      </c>
      <c r="F429" s="9" t="s">
        <v>1253</v>
      </c>
      <c r="G429" s="12" t="s">
        <v>14</v>
      </c>
      <c r="H429" s="9" t="s">
        <v>1254</v>
      </c>
      <c r="I429" s="10">
        <v>45564</v>
      </c>
    </row>
    <row r="430" spans="1:9" x14ac:dyDescent="0.15">
      <c r="A430" s="9">
        <v>429</v>
      </c>
      <c r="B430" s="9" t="s">
        <v>9</v>
      </c>
      <c r="C430" s="9">
        <v>1918</v>
      </c>
      <c r="D430" s="10">
        <v>45663</v>
      </c>
      <c r="E430" s="13" t="str">
        <f>+HYPERLINK("http://trademark.i-assist.jp/data/china/image_1918th/81180372.pdf","81180372")</f>
        <v>81180372</v>
      </c>
      <c r="F430" s="9" t="s">
        <v>1255</v>
      </c>
      <c r="G430" s="12" t="s">
        <v>1256</v>
      </c>
      <c r="H430" s="9" t="s">
        <v>1257</v>
      </c>
      <c r="I430" s="10">
        <v>45564</v>
      </c>
    </row>
    <row r="431" spans="1:9" x14ac:dyDescent="0.15">
      <c r="A431" s="9">
        <v>430</v>
      </c>
      <c r="B431" s="9" t="s">
        <v>9</v>
      </c>
      <c r="C431" s="9">
        <v>1918</v>
      </c>
      <c r="D431" s="10">
        <v>45663</v>
      </c>
      <c r="E431" s="13" t="str">
        <f>+HYPERLINK("http://trademark.i-assist.jp/data/china/image_1918th/81180619.pdf","81180619")</f>
        <v>81180619</v>
      </c>
      <c r="F431" s="9" t="s">
        <v>1258</v>
      </c>
      <c r="G431" s="12" t="s">
        <v>1259</v>
      </c>
      <c r="H431" s="9" t="s">
        <v>1260</v>
      </c>
      <c r="I431" s="10">
        <v>45564</v>
      </c>
    </row>
    <row r="432" spans="1:9" x14ac:dyDescent="0.15">
      <c r="A432" s="9">
        <v>431</v>
      </c>
      <c r="B432" s="9" t="s">
        <v>9</v>
      </c>
      <c r="C432" s="9">
        <v>1918</v>
      </c>
      <c r="D432" s="10">
        <v>45663</v>
      </c>
      <c r="E432" s="13" t="str">
        <f>+HYPERLINK("http://trademark.i-assist.jp/data/china/image_1918th/81181152.pdf","81181152")</f>
        <v>81181152</v>
      </c>
      <c r="F432" s="9" t="s">
        <v>1261</v>
      </c>
      <c r="G432" s="9" t="s">
        <v>1262</v>
      </c>
      <c r="H432" s="12" t="s">
        <v>1263</v>
      </c>
      <c r="I432" s="10">
        <v>45564</v>
      </c>
    </row>
    <row r="433" spans="1:9" x14ac:dyDescent="0.15">
      <c r="A433" s="9">
        <v>432</v>
      </c>
      <c r="B433" s="9" t="s">
        <v>9</v>
      </c>
      <c r="C433" s="9">
        <v>1918</v>
      </c>
      <c r="D433" s="10">
        <v>45663</v>
      </c>
      <c r="E433" s="13" t="str">
        <f>+HYPERLINK("http://trademark.i-assist.jp/data/china/image_1918th/81181289.pdf","81181289")</f>
        <v>81181289</v>
      </c>
      <c r="F433" s="9" t="s">
        <v>1264</v>
      </c>
      <c r="G433" s="9" t="s">
        <v>1265</v>
      </c>
      <c r="H433" s="9" t="s">
        <v>1266</v>
      </c>
      <c r="I433" s="10">
        <v>45564</v>
      </c>
    </row>
    <row r="434" spans="1:9" x14ac:dyDescent="0.15">
      <c r="A434" s="9">
        <v>433</v>
      </c>
      <c r="B434" s="9" t="s">
        <v>9</v>
      </c>
      <c r="C434" s="9">
        <v>1918</v>
      </c>
      <c r="D434" s="10">
        <v>45663</v>
      </c>
      <c r="E434" s="13" t="str">
        <f>+HYPERLINK("http://trademark.i-assist.jp/data/china/image_1918th/81181768.pdf","81181768")</f>
        <v>81181768</v>
      </c>
      <c r="F434" s="12" t="s">
        <v>1267</v>
      </c>
      <c r="G434" s="12" t="s">
        <v>33</v>
      </c>
      <c r="H434" s="9" t="s">
        <v>1268</v>
      </c>
      <c r="I434" s="10">
        <v>45564</v>
      </c>
    </row>
    <row r="435" spans="1:9" x14ac:dyDescent="0.15">
      <c r="A435" s="9">
        <v>434</v>
      </c>
      <c r="B435" s="9" t="s">
        <v>9</v>
      </c>
      <c r="C435" s="9">
        <v>1918</v>
      </c>
      <c r="D435" s="10">
        <v>45663</v>
      </c>
      <c r="E435" s="13" t="str">
        <f>+HYPERLINK("http://trademark.i-assist.jp/data/china/image_1918th/81181849.pdf","81181849")</f>
        <v>81181849</v>
      </c>
      <c r="F435" s="9" t="s">
        <v>1269</v>
      </c>
      <c r="G435" s="9" t="s">
        <v>59</v>
      </c>
      <c r="H435" s="9" t="s">
        <v>1270</v>
      </c>
      <c r="I435" s="10">
        <v>45564</v>
      </c>
    </row>
    <row r="436" spans="1:9" x14ac:dyDescent="0.15">
      <c r="A436" s="9">
        <v>435</v>
      </c>
      <c r="B436" s="9" t="s">
        <v>9</v>
      </c>
      <c r="C436" s="9">
        <v>1918</v>
      </c>
      <c r="D436" s="10">
        <v>45663</v>
      </c>
      <c r="E436" s="13" t="str">
        <f>+HYPERLINK("http://trademark.i-assist.jp/data/china/image_1918th/81182029.pdf","81182029")</f>
        <v>81182029</v>
      </c>
      <c r="F436" s="9" t="s">
        <v>1271</v>
      </c>
      <c r="G436" s="9" t="s">
        <v>1272</v>
      </c>
      <c r="H436" s="9" t="s">
        <v>1273</v>
      </c>
      <c r="I436" s="10">
        <v>45564</v>
      </c>
    </row>
    <row r="437" spans="1:9" x14ac:dyDescent="0.15">
      <c r="A437" s="9">
        <v>436</v>
      </c>
      <c r="B437" s="9" t="s">
        <v>9</v>
      </c>
      <c r="C437" s="9">
        <v>1918</v>
      </c>
      <c r="D437" s="10">
        <v>45663</v>
      </c>
      <c r="E437" s="13" t="str">
        <f>+HYPERLINK("http://trademark.i-assist.jp/data/china/image_1918th/81182143.pdf","81182143")</f>
        <v>81182143</v>
      </c>
      <c r="F437" s="9" t="s">
        <v>1274</v>
      </c>
      <c r="G437" s="9" t="s">
        <v>1275</v>
      </c>
      <c r="H437" s="9" t="s">
        <v>1276</v>
      </c>
      <c r="I437" s="10">
        <v>45564</v>
      </c>
    </row>
    <row r="438" spans="1:9" x14ac:dyDescent="0.15">
      <c r="A438" s="9">
        <v>437</v>
      </c>
      <c r="B438" s="9" t="s">
        <v>9</v>
      </c>
      <c r="C438" s="9">
        <v>1918</v>
      </c>
      <c r="D438" s="10">
        <v>45663</v>
      </c>
      <c r="E438" s="13" t="str">
        <f>+HYPERLINK("http://trademark.i-assist.jp/data/china/image_1918th/81182639.pdf","81182639")</f>
        <v>81182639</v>
      </c>
      <c r="F438" s="9" t="s">
        <v>1277</v>
      </c>
      <c r="G438" s="9" t="s">
        <v>1278</v>
      </c>
      <c r="H438" s="9" t="s">
        <v>1279</v>
      </c>
      <c r="I438" s="10">
        <v>45564</v>
      </c>
    </row>
    <row r="439" spans="1:9" x14ac:dyDescent="0.15">
      <c r="A439" s="9">
        <v>438</v>
      </c>
      <c r="B439" s="9" t="s">
        <v>9</v>
      </c>
      <c r="C439" s="9">
        <v>1918</v>
      </c>
      <c r="D439" s="10">
        <v>45663</v>
      </c>
      <c r="E439" s="13" t="str">
        <f>+HYPERLINK("http://trademark.i-assist.jp/data/china/image_1918th/81182769.pdf","81182769")</f>
        <v>81182769</v>
      </c>
      <c r="F439" s="9" t="s">
        <v>1280</v>
      </c>
      <c r="G439" s="9" t="s">
        <v>1281</v>
      </c>
      <c r="H439" s="12" t="s">
        <v>1282</v>
      </c>
      <c r="I439" s="10">
        <v>45564</v>
      </c>
    </row>
    <row r="440" spans="1:9" x14ac:dyDescent="0.15">
      <c r="A440" s="9">
        <v>439</v>
      </c>
      <c r="B440" s="9" t="s">
        <v>9</v>
      </c>
      <c r="C440" s="9">
        <v>1918</v>
      </c>
      <c r="D440" s="10">
        <v>45663</v>
      </c>
      <c r="E440" s="13" t="str">
        <f>+HYPERLINK("http://trademark.i-assist.jp/data/china/image_1918th/81182863.pdf","81182863")</f>
        <v>81182863</v>
      </c>
      <c r="F440" s="12" t="s">
        <v>1283</v>
      </c>
      <c r="G440" s="9" t="s">
        <v>1284</v>
      </c>
      <c r="H440" s="9" t="s">
        <v>1285</v>
      </c>
      <c r="I440" s="10">
        <v>45564</v>
      </c>
    </row>
    <row r="441" spans="1:9" x14ac:dyDescent="0.15">
      <c r="A441" s="9">
        <v>440</v>
      </c>
      <c r="B441" s="9" t="s">
        <v>9</v>
      </c>
      <c r="C441" s="9">
        <v>1918</v>
      </c>
      <c r="D441" s="10">
        <v>45663</v>
      </c>
      <c r="E441" s="13" t="str">
        <f>+HYPERLINK("http://trademark.i-assist.jp/data/china/image_1918th/81183138.pdf","81183138")</f>
        <v>81183138</v>
      </c>
      <c r="F441" s="9" t="s">
        <v>1286</v>
      </c>
      <c r="G441" s="9" t="s">
        <v>58</v>
      </c>
      <c r="H441" s="9" t="s">
        <v>1287</v>
      </c>
      <c r="I441" s="10">
        <v>45564</v>
      </c>
    </row>
    <row r="442" spans="1:9" x14ac:dyDescent="0.15">
      <c r="A442" s="9">
        <v>441</v>
      </c>
      <c r="B442" s="9" t="s">
        <v>9</v>
      </c>
      <c r="C442" s="9">
        <v>1918</v>
      </c>
      <c r="D442" s="10">
        <v>45663</v>
      </c>
      <c r="E442" s="13" t="str">
        <f>+HYPERLINK("http://trademark.i-assist.jp/data/china/image_1918th/81183369.pdf","81183369")</f>
        <v>81183369</v>
      </c>
      <c r="F442" s="9" t="s">
        <v>1288</v>
      </c>
      <c r="G442" s="9" t="s">
        <v>1275</v>
      </c>
      <c r="H442" s="9" t="s">
        <v>1289</v>
      </c>
      <c r="I442" s="10">
        <v>45564</v>
      </c>
    </row>
    <row r="443" spans="1:9" x14ac:dyDescent="0.15">
      <c r="A443" s="9">
        <v>442</v>
      </c>
      <c r="B443" s="9" t="s">
        <v>9</v>
      </c>
      <c r="C443" s="9">
        <v>1918</v>
      </c>
      <c r="D443" s="10">
        <v>45663</v>
      </c>
      <c r="E443" s="13" t="str">
        <f>+HYPERLINK("http://trademark.i-assist.jp/data/china/image_1918th/81183671.pdf","81183671")</f>
        <v>81183671</v>
      </c>
      <c r="F443" s="9" t="s">
        <v>1290</v>
      </c>
      <c r="G443" s="12" t="s">
        <v>14</v>
      </c>
      <c r="H443" s="9" t="s">
        <v>1291</v>
      </c>
      <c r="I443" s="10">
        <v>45564</v>
      </c>
    </row>
    <row r="444" spans="1:9" x14ac:dyDescent="0.15">
      <c r="A444" s="9">
        <v>443</v>
      </c>
      <c r="B444" s="9" t="s">
        <v>9</v>
      </c>
      <c r="C444" s="9">
        <v>1918</v>
      </c>
      <c r="D444" s="10">
        <v>45663</v>
      </c>
      <c r="E444" s="13" t="str">
        <f>+HYPERLINK("http://trademark.i-assist.jp/data/china/image_1918th/81183679.pdf","81183679")</f>
        <v>81183679</v>
      </c>
      <c r="F444" s="9" t="s">
        <v>1292</v>
      </c>
      <c r="G444" s="12" t="s">
        <v>14</v>
      </c>
      <c r="H444" s="9" t="s">
        <v>1293</v>
      </c>
      <c r="I444" s="10">
        <v>45564</v>
      </c>
    </row>
    <row r="445" spans="1:9" x14ac:dyDescent="0.15">
      <c r="A445" s="9">
        <v>444</v>
      </c>
      <c r="B445" s="9" t="s">
        <v>9</v>
      </c>
      <c r="C445" s="9">
        <v>1918</v>
      </c>
      <c r="D445" s="10">
        <v>45663</v>
      </c>
      <c r="E445" s="13" t="str">
        <f>+HYPERLINK("http://trademark.i-assist.jp/data/china/image_1918th/81183695.pdf","81183695")</f>
        <v>81183695</v>
      </c>
      <c r="F445" s="9" t="s">
        <v>1294</v>
      </c>
      <c r="G445" s="12" t="s">
        <v>14</v>
      </c>
      <c r="H445" s="9" t="s">
        <v>1295</v>
      </c>
      <c r="I445" s="10">
        <v>45564</v>
      </c>
    </row>
    <row r="446" spans="1:9" x14ac:dyDescent="0.15">
      <c r="A446" s="9">
        <v>445</v>
      </c>
      <c r="B446" s="9" t="s">
        <v>9</v>
      </c>
      <c r="C446" s="9">
        <v>1918</v>
      </c>
      <c r="D446" s="10">
        <v>45663</v>
      </c>
      <c r="E446" s="13" t="str">
        <f>+HYPERLINK("http://trademark.i-assist.jp/data/china/image_1918th/81183776.pdf","81183776")</f>
        <v>81183776</v>
      </c>
      <c r="F446" s="9" t="s">
        <v>1296</v>
      </c>
      <c r="G446" s="9" t="s">
        <v>1297</v>
      </c>
      <c r="H446" s="9" t="s">
        <v>1298</v>
      </c>
      <c r="I446" s="10">
        <v>45564</v>
      </c>
    </row>
    <row r="447" spans="1:9" x14ac:dyDescent="0.15">
      <c r="A447" s="9">
        <v>446</v>
      </c>
      <c r="B447" s="9" t="s">
        <v>9</v>
      </c>
      <c r="C447" s="9">
        <v>1918</v>
      </c>
      <c r="D447" s="10">
        <v>45663</v>
      </c>
      <c r="E447" s="13" t="str">
        <f>+HYPERLINK("http://trademark.i-assist.jp/data/china/image_1918th/81183976.pdf","81183976")</f>
        <v>81183976</v>
      </c>
      <c r="F447" s="9" t="s">
        <v>1299</v>
      </c>
      <c r="G447" s="9" t="s">
        <v>1300</v>
      </c>
      <c r="H447" s="9" t="s">
        <v>1301</v>
      </c>
      <c r="I447" s="10">
        <v>45564</v>
      </c>
    </row>
    <row r="448" spans="1:9" x14ac:dyDescent="0.15">
      <c r="A448" s="9">
        <v>447</v>
      </c>
      <c r="B448" s="9" t="s">
        <v>9</v>
      </c>
      <c r="C448" s="9">
        <v>1918</v>
      </c>
      <c r="D448" s="10">
        <v>45663</v>
      </c>
      <c r="E448" s="13" t="str">
        <f>+HYPERLINK("http://trademark.i-assist.jp/data/china/image_1918th/81185861.pdf","81185861")</f>
        <v>81185861</v>
      </c>
      <c r="F448" s="12" t="s">
        <v>1302</v>
      </c>
      <c r="G448" s="12" t="s">
        <v>1303</v>
      </c>
      <c r="H448" s="9" t="s">
        <v>1304</v>
      </c>
      <c r="I448" s="10">
        <v>45564</v>
      </c>
    </row>
    <row r="449" spans="1:9" x14ac:dyDescent="0.15">
      <c r="A449" s="9">
        <v>448</v>
      </c>
      <c r="B449" s="9" t="s">
        <v>9</v>
      </c>
      <c r="C449" s="9">
        <v>1918</v>
      </c>
      <c r="D449" s="10">
        <v>45663</v>
      </c>
      <c r="E449" s="13" t="str">
        <f>+HYPERLINK("http://trademark.i-assist.jp/data/china/image_1918th/81185892.pdf","81185892")</f>
        <v>81185892</v>
      </c>
      <c r="F449" s="12" t="s">
        <v>1305</v>
      </c>
      <c r="G449" s="12" t="s">
        <v>1306</v>
      </c>
      <c r="H449" s="9" t="s">
        <v>1307</v>
      </c>
      <c r="I449" s="10">
        <v>45564</v>
      </c>
    </row>
    <row r="450" spans="1:9" x14ac:dyDescent="0.15">
      <c r="A450" s="9">
        <v>449</v>
      </c>
      <c r="B450" s="9" t="s">
        <v>9</v>
      </c>
      <c r="C450" s="9">
        <v>1918</v>
      </c>
      <c r="D450" s="10">
        <v>45663</v>
      </c>
      <c r="E450" s="13" t="str">
        <f>+HYPERLINK("http://trademark.i-assist.jp/data/china/image_1918th/81186105.pdf","81186105")</f>
        <v>81186105</v>
      </c>
      <c r="F450" s="12" t="s">
        <v>12</v>
      </c>
      <c r="G450" s="12" t="s">
        <v>1308</v>
      </c>
      <c r="H450" s="9" t="s">
        <v>1309</v>
      </c>
      <c r="I450" s="10">
        <v>45564</v>
      </c>
    </row>
    <row r="451" spans="1:9" x14ac:dyDescent="0.15">
      <c r="A451" s="9">
        <v>450</v>
      </c>
      <c r="B451" s="9" t="s">
        <v>9</v>
      </c>
      <c r="C451" s="9">
        <v>1918</v>
      </c>
      <c r="D451" s="10">
        <v>45663</v>
      </c>
      <c r="E451" s="13" t="str">
        <f>+HYPERLINK("http://trademark.i-assist.jp/data/china/image_1918th/81186378.pdf","81186378")</f>
        <v>81186378</v>
      </c>
      <c r="F451" s="9" t="s">
        <v>1310</v>
      </c>
      <c r="G451" s="9" t="s">
        <v>1275</v>
      </c>
      <c r="H451" s="9" t="s">
        <v>1311</v>
      </c>
      <c r="I451" s="10">
        <v>45564</v>
      </c>
    </row>
    <row r="452" spans="1:9" x14ac:dyDescent="0.15">
      <c r="A452" s="9">
        <v>451</v>
      </c>
      <c r="B452" s="9" t="s">
        <v>9</v>
      </c>
      <c r="C452" s="9">
        <v>1918</v>
      </c>
      <c r="D452" s="10">
        <v>45663</v>
      </c>
      <c r="E452" s="13" t="str">
        <f>+HYPERLINK("http://trademark.i-assist.jp/data/china/image_1918th/81186549.pdf","81186549")</f>
        <v>81186549</v>
      </c>
      <c r="F452" s="12" t="s">
        <v>12</v>
      </c>
      <c r="G452" s="9" t="s">
        <v>1221</v>
      </c>
      <c r="H452" s="9" t="s">
        <v>1312</v>
      </c>
      <c r="I452" s="10">
        <v>45564</v>
      </c>
    </row>
    <row r="453" spans="1:9" x14ac:dyDescent="0.15">
      <c r="A453" s="9">
        <v>452</v>
      </c>
      <c r="B453" s="9" t="s">
        <v>9</v>
      </c>
      <c r="C453" s="9">
        <v>1918</v>
      </c>
      <c r="D453" s="10">
        <v>45663</v>
      </c>
      <c r="E453" s="13" t="str">
        <f>+HYPERLINK("http://trademark.i-assist.jp/data/china/image_1918th/81186726.pdf","81186726")</f>
        <v>81186726</v>
      </c>
      <c r="F453" s="12" t="s">
        <v>1313</v>
      </c>
      <c r="G453" s="9" t="s">
        <v>1202</v>
      </c>
      <c r="H453" s="9" t="s">
        <v>1314</v>
      </c>
      <c r="I453" s="10">
        <v>45564</v>
      </c>
    </row>
    <row r="454" spans="1:9" x14ac:dyDescent="0.15">
      <c r="A454" s="9">
        <v>453</v>
      </c>
      <c r="B454" s="9" t="s">
        <v>9</v>
      </c>
      <c r="C454" s="9">
        <v>1918</v>
      </c>
      <c r="D454" s="10">
        <v>45663</v>
      </c>
      <c r="E454" s="13" t="str">
        <f>+HYPERLINK("http://trademark.i-assist.jp/data/china/image_1918th/81187084.pdf","81187084")</f>
        <v>81187084</v>
      </c>
      <c r="F454" s="9" t="s">
        <v>1315</v>
      </c>
      <c r="G454" s="9" t="s">
        <v>1316</v>
      </c>
      <c r="H454" s="9" t="s">
        <v>1317</v>
      </c>
      <c r="I454" s="10">
        <v>45564</v>
      </c>
    </row>
    <row r="455" spans="1:9" x14ac:dyDescent="0.15">
      <c r="A455" s="9">
        <v>454</v>
      </c>
      <c r="B455" s="9" t="s">
        <v>9</v>
      </c>
      <c r="C455" s="9">
        <v>1918</v>
      </c>
      <c r="D455" s="10">
        <v>45663</v>
      </c>
      <c r="E455" s="13" t="str">
        <f>+HYPERLINK("http://trademark.i-assist.jp/data/china/image_1918th/81187297.pdf","81187297")</f>
        <v>81187297</v>
      </c>
      <c r="F455" s="12" t="s">
        <v>1318</v>
      </c>
      <c r="G455" s="9" t="s">
        <v>1319</v>
      </c>
      <c r="H455" s="9" t="s">
        <v>1320</v>
      </c>
      <c r="I455" s="10">
        <v>45564</v>
      </c>
    </row>
    <row r="456" spans="1:9" x14ac:dyDescent="0.15">
      <c r="A456" s="9">
        <v>455</v>
      </c>
      <c r="B456" s="9" t="s">
        <v>9</v>
      </c>
      <c r="C456" s="9">
        <v>1918</v>
      </c>
      <c r="D456" s="10">
        <v>45663</v>
      </c>
      <c r="E456" s="13" t="str">
        <f>+HYPERLINK("http://trademark.i-assist.jp/data/china/image_1918th/81189058.pdf","81189058")</f>
        <v>81189058</v>
      </c>
      <c r="F456" s="12" t="s">
        <v>1321</v>
      </c>
      <c r="G456" s="9" t="s">
        <v>1322</v>
      </c>
      <c r="H456" s="9" t="s">
        <v>1323</v>
      </c>
      <c r="I456" s="10">
        <v>45564</v>
      </c>
    </row>
    <row r="457" spans="1:9" x14ac:dyDescent="0.15">
      <c r="A457" s="9">
        <v>456</v>
      </c>
      <c r="B457" s="9" t="s">
        <v>9</v>
      </c>
      <c r="C457" s="9">
        <v>1918</v>
      </c>
      <c r="D457" s="10">
        <v>45663</v>
      </c>
      <c r="E457" s="13" t="str">
        <f>+HYPERLINK("http://trademark.i-assist.jp/data/china/image_1918th/81189704.pdf","81189704")</f>
        <v>81189704</v>
      </c>
      <c r="F457" s="12" t="s">
        <v>12</v>
      </c>
      <c r="G457" s="12" t="s">
        <v>1324</v>
      </c>
      <c r="H457" s="9" t="s">
        <v>1325</v>
      </c>
      <c r="I457" s="10">
        <v>45564</v>
      </c>
    </row>
    <row r="458" spans="1:9" x14ac:dyDescent="0.15">
      <c r="A458" s="9">
        <v>457</v>
      </c>
      <c r="B458" s="9" t="s">
        <v>9</v>
      </c>
      <c r="C458" s="9">
        <v>1918</v>
      </c>
      <c r="D458" s="10">
        <v>45663</v>
      </c>
      <c r="E458" s="13" t="str">
        <f>+HYPERLINK("http://trademark.i-assist.jp/data/china/image_1918th/81189740.pdf","81189740")</f>
        <v>81189740</v>
      </c>
      <c r="F458" s="9" t="s">
        <v>1326</v>
      </c>
      <c r="G458" s="12" t="s">
        <v>14</v>
      </c>
      <c r="H458" s="9" t="s">
        <v>1327</v>
      </c>
      <c r="I458" s="10">
        <v>45564</v>
      </c>
    </row>
    <row r="459" spans="1:9" x14ac:dyDescent="0.15">
      <c r="A459" s="9">
        <v>458</v>
      </c>
      <c r="B459" s="9" t="s">
        <v>9</v>
      </c>
      <c r="C459" s="9">
        <v>1918</v>
      </c>
      <c r="D459" s="10">
        <v>45663</v>
      </c>
      <c r="E459" s="13" t="str">
        <f>+HYPERLINK("http://trademark.i-assist.jp/data/china/image_1918th/81189878.pdf","81189878")</f>
        <v>81189878</v>
      </c>
      <c r="F459" s="9" t="s">
        <v>1328</v>
      </c>
      <c r="G459" s="12" t="s">
        <v>1329</v>
      </c>
      <c r="H459" s="9" t="s">
        <v>1330</v>
      </c>
      <c r="I459" s="10">
        <v>45564</v>
      </c>
    </row>
    <row r="460" spans="1:9" x14ac:dyDescent="0.15">
      <c r="A460" s="9">
        <v>459</v>
      </c>
      <c r="B460" s="9" t="s">
        <v>9</v>
      </c>
      <c r="C460" s="9">
        <v>1918</v>
      </c>
      <c r="D460" s="10">
        <v>45663</v>
      </c>
      <c r="E460" s="13" t="str">
        <f>+HYPERLINK("http://trademark.i-assist.jp/data/china/image_1918th/81190016.pdf","81190016")</f>
        <v>81190016</v>
      </c>
      <c r="F460" s="9" t="s">
        <v>1331</v>
      </c>
      <c r="G460" s="9" t="s">
        <v>1275</v>
      </c>
      <c r="H460" s="9" t="s">
        <v>1332</v>
      </c>
      <c r="I460" s="10">
        <v>45564</v>
      </c>
    </row>
    <row r="461" spans="1:9" x14ac:dyDescent="0.15">
      <c r="A461" s="9">
        <v>460</v>
      </c>
      <c r="B461" s="9" t="s">
        <v>9</v>
      </c>
      <c r="C461" s="9">
        <v>1918</v>
      </c>
      <c r="D461" s="10">
        <v>45663</v>
      </c>
      <c r="E461" s="13" t="str">
        <f>+HYPERLINK("http://trademark.i-assist.jp/data/china/image_1918th/81190680.pdf","81190680")</f>
        <v>81190680</v>
      </c>
      <c r="F461" s="9" t="s">
        <v>1333</v>
      </c>
      <c r="G461" s="9" t="s">
        <v>1334</v>
      </c>
      <c r="H461" s="9" t="s">
        <v>1335</v>
      </c>
      <c r="I461" s="10">
        <v>45564</v>
      </c>
    </row>
    <row r="462" spans="1:9" x14ac:dyDescent="0.15">
      <c r="A462" s="9">
        <v>461</v>
      </c>
      <c r="B462" s="9" t="s">
        <v>9</v>
      </c>
      <c r="C462" s="9">
        <v>1918</v>
      </c>
      <c r="D462" s="10">
        <v>45663</v>
      </c>
      <c r="E462" s="13" t="str">
        <f>+HYPERLINK("http://trademark.i-assist.jp/data/china/image_1918th/81190801.pdf","81190801")</f>
        <v>81190801</v>
      </c>
      <c r="F462" s="9" t="s">
        <v>1336</v>
      </c>
      <c r="G462" s="9" t="s">
        <v>1275</v>
      </c>
      <c r="H462" s="9" t="s">
        <v>1337</v>
      </c>
      <c r="I462" s="10">
        <v>45564</v>
      </c>
    </row>
    <row r="463" spans="1:9" x14ac:dyDescent="0.15">
      <c r="A463" s="9">
        <v>462</v>
      </c>
      <c r="B463" s="9" t="s">
        <v>9</v>
      </c>
      <c r="C463" s="9">
        <v>1918</v>
      </c>
      <c r="D463" s="10">
        <v>45663</v>
      </c>
      <c r="E463" s="13" t="str">
        <f>+HYPERLINK("http://trademark.i-assist.jp/data/china/image_1918th/81190882.pdf","81190882")</f>
        <v>81190882</v>
      </c>
      <c r="F463" s="9" t="s">
        <v>1338</v>
      </c>
      <c r="G463" s="9" t="s">
        <v>1339</v>
      </c>
      <c r="H463" s="9" t="s">
        <v>1340</v>
      </c>
      <c r="I463" s="10">
        <v>45564</v>
      </c>
    </row>
    <row r="464" spans="1:9" x14ac:dyDescent="0.15">
      <c r="A464" s="9">
        <v>463</v>
      </c>
      <c r="B464" s="9" t="s">
        <v>9</v>
      </c>
      <c r="C464" s="9">
        <v>1918</v>
      </c>
      <c r="D464" s="10">
        <v>45663</v>
      </c>
      <c r="E464" s="13" t="str">
        <f>+HYPERLINK("http://trademark.i-assist.jp/data/china/image_1918th/81190891.pdf","81190891")</f>
        <v>81190891</v>
      </c>
      <c r="F464" s="9" t="s">
        <v>1341</v>
      </c>
      <c r="G464" s="12" t="s">
        <v>1342</v>
      </c>
      <c r="H464" s="9" t="s">
        <v>1343</v>
      </c>
      <c r="I464" s="10">
        <v>45564</v>
      </c>
    </row>
    <row r="465" spans="1:9" x14ac:dyDescent="0.15">
      <c r="A465" s="9">
        <v>464</v>
      </c>
      <c r="B465" s="9" t="s">
        <v>9</v>
      </c>
      <c r="C465" s="9">
        <v>1918</v>
      </c>
      <c r="D465" s="10">
        <v>45663</v>
      </c>
      <c r="E465" s="13" t="str">
        <f>+HYPERLINK("http://trademark.i-assist.jp/data/china/image_1918th/81190974.pdf","81190974")</f>
        <v>81190974</v>
      </c>
      <c r="F465" s="9" t="s">
        <v>1344</v>
      </c>
      <c r="G465" s="9" t="s">
        <v>1345</v>
      </c>
      <c r="H465" s="9" t="s">
        <v>1346</v>
      </c>
      <c r="I465" s="10">
        <v>45564</v>
      </c>
    </row>
    <row r="466" spans="1:9" x14ac:dyDescent="0.15">
      <c r="A466" s="9">
        <v>465</v>
      </c>
      <c r="B466" s="9" t="s">
        <v>9</v>
      </c>
      <c r="C466" s="9">
        <v>1918</v>
      </c>
      <c r="D466" s="10">
        <v>45663</v>
      </c>
      <c r="E466" s="13" t="str">
        <f>+HYPERLINK("http://trademark.i-assist.jp/data/china/image_1918th/81191026.pdf","81191026")</f>
        <v>81191026</v>
      </c>
      <c r="F466" s="9" t="s">
        <v>1347</v>
      </c>
      <c r="G466" s="12" t="s">
        <v>24</v>
      </c>
      <c r="H466" s="9" t="s">
        <v>1348</v>
      </c>
      <c r="I466" s="10">
        <v>45564</v>
      </c>
    </row>
    <row r="467" spans="1:9" x14ac:dyDescent="0.15">
      <c r="A467" s="9">
        <v>466</v>
      </c>
      <c r="B467" s="9" t="s">
        <v>9</v>
      </c>
      <c r="C467" s="9">
        <v>1918</v>
      </c>
      <c r="D467" s="10">
        <v>45663</v>
      </c>
      <c r="E467" s="13" t="str">
        <f>+HYPERLINK("http://trademark.i-assist.jp/data/china/image_1918th/81191064.pdf","81191064")</f>
        <v>81191064</v>
      </c>
      <c r="F467" s="9" t="s">
        <v>1349</v>
      </c>
      <c r="G467" s="9" t="s">
        <v>1350</v>
      </c>
      <c r="H467" s="9" t="s">
        <v>1351</v>
      </c>
      <c r="I467" s="10">
        <v>45564</v>
      </c>
    </row>
    <row r="468" spans="1:9" x14ac:dyDescent="0.15">
      <c r="A468" s="9">
        <v>467</v>
      </c>
      <c r="B468" s="9" t="s">
        <v>9</v>
      </c>
      <c r="C468" s="9">
        <v>1918</v>
      </c>
      <c r="D468" s="10">
        <v>45663</v>
      </c>
      <c r="E468" s="13" t="str">
        <f>+HYPERLINK("http://trademark.i-assist.jp/data/china/image_1918th/81191497.pdf","81191497")</f>
        <v>81191497</v>
      </c>
      <c r="F468" s="9" t="s">
        <v>1352</v>
      </c>
      <c r="G468" s="12" t="s">
        <v>1353</v>
      </c>
      <c r="H468" s="9" t="s">
        <v>1354</v>
      </c>
      <c r="I468" s="10">
        <v>45564</v>
      </c>
    </row>
    <row r="469" spans="1:9" x14ac:dyDescent="0.15">
      <c r="A469" s="9">
        <v>468</v>
      </c>
      <c r="B469" s="9" t="s">
        <v>9</v>
      </c>
      <c r="C469" s="9">
        <v>1918</v>
      </c>
      <c r="D469" s="10">
        <v>45663</v>
      </c>
      <c r="E469" s="13" t="str">
        <f>+HYPERLINK("http://trademark.i-assist.jp/data/china/image_1918th/81191576.pdf","81191576")</f>
        <v>81191576</v>
      </c>
      <c r="F469" s="9" t="s">
        <v>1355</v>
      </c>
      <c r="G469" s="9" t="s">
        <v>1356</v>
      </c>
      <c r="H469" s="9" t="s">
        <v>1357</v>
      </c>
      <c r="I469" s="10">
        <v>45564</v>
      </c>
    </row>
    <row r="470" spans="1:9" x14ac:dyDescent="0.15">
      <c r="A470" s="9">
        <v>469</v>
      </c>
      <c r="B470" s="9" t="s">
        <v>9</v>
      </c>
      <c r="C470" s="9">
        <v>1918</v>
      </c>
      <c r="D470" s="10">
        <v>45663</v>
      </c>
      <c r="E470" s="13" t="str">
        <f>+HYPERLINK("http://trademark.i-assist.jp/data/china/image_1918th/81191761.pdf","81191761")</f>
        <v>81191761</v>
      </c>
      <c r="F470" s="9" t="s">
        <v>1358</v>
      </c>
      <c r="G470" s="9" t="s">
        <v>1143</v>
      </c>
      <c r="H470" s="9" t="s">
        <v>1359</v>
      </c>
      <c r="I470" s="10">
        <v>45564</v>
      </c>
    </row>
    <row r="471" spans="1:9" x14ac:dyDescent="0.15">
      <c r="A471" s="9">
        <v>470</v>
      </c>
      <c r="B471" s="9" t="s">
        <v>9</v>
      </c>
      <c r="C471" s="9">
        <v>1918</v>
      </c>
      <c r="D471" s="10">
        <v>45663</v>
      </c>
      <c r="E471" s="13" t="str">
        <f>+HYPERLINK("http://trademark.i-assist.jp/data/china/image_1918th/81191930.pdf","81191930")</f>
        <v>81191930</v>
      </c>
      <c r="F471" s="9" t="s">
        <v>1360</v>
      </c>
      <c r="G471" s="9" t="s">
        <v>1361</v>
      </c>
      <c r="H471" s="12" t="s">
        <v>1362</v>
      </c>
      <c r="I471" s="10">
        <v>45564</v>
      </c>
    </row>
    <row r="472" spans="1:9" x14ac:dyDescent="0.15">
      <c r="A472" s="9">
        <v>471</v>
      </c>
      <c r="B472" s="9" t="s">
        <v>9</v>
      </c>
      <c r="C472" s="9">
        <v>1918</v>
      </c>
      <c r="D472" s="10">
        <v>45663</v>
      </c>
      <c r="E472" s="13" t="str">
        <f>+HYPERLINK("http://trademark.i-assist.jp/data/china/image_1918th/81192035.pdf","81192035")</f>
        <v>81192035</v>
      </c>
      <c r="F472" s="9" t="s">
        <v>1363</v>
      </c>
      <c r="G472" s="12" t="s">
        <v>1329</v>
      </c>
      <c r="H472" s="9" t="s">
        <v>1364</v>
      </c>
      <c r="I472" s="10">
        <v>45564</v>
      </c>
    </row>
    <row r="473" spans="1:9" x14ac:dyDescent="0.15">
      <c r="A473" s="9">
        <v>472</v>
      </c>
      <c r="B473" s="9" t="s">
        <v>9</v>
      </c>
      <c r="C473" s="9">
        <v>1918</v>
      </c>
      <c r="D473" s="10">
        <v>45663</v>
      </c>
      <c r="E473" s="13" t="str">
        <f>+HYPERLINK("http://trademark.i-assist.jp/data/china/image_1918th/81192187.pdf","81192187")</f>
        <v>81192187</v>
      </c>
      <c r="F473" s="12" t="s">
        <v>1365</v>
      </c>
      <c r="G473" s="12" t="s">
        <v>1366</v>
      </c>
      <c r="H473" s="12" t="s">
        <v>1367</v>
      </c>
      <c r="I473" s="10">
        <v>45564</v>
      </c>
    </row>
    <row r="474" spans="1:9" x14ac:dyDescent="0.15">
      <c r="A474" s="9">
        <v>473</v>
      </c>
      <c r="B474" s="9" t="s">
        <v>9</v>
      </c>
      <c r="C474" s="9">
        <v>1918</v>
      </c>
      <c r="D474" s="10">
        <v>45663</v>
      </c>
      <c r="E474" s="13" t="str">
        <f>+HYPERLINK("http://trademark.i-assist.jp/data/china/image_1918th/81193862.pdf","81193862")</f>
        <v>81193862</v>
      </c>
      <c r="F474" s="9" t="s">
        <v>1368</v>
      </c>
      <c r="G474" s="12" t="s">
        <v>1369</v>
      </c>
      <c r="H474" s="9" t="s">
        <v>1370</v>
      </c>
      <c r="I474" s="10">
        <v>45564</v>
      </c>
    </row>
    <row r="475" spans="1:9" x14ac:dyDescent="0.15">
      <c r="A475" s="9">
        <v>474</v>
      </c>
      <c r="B475" s="9" t="s">
        <v>9</v>
      </c>
      <c r="C475" s="9">
        <v>1918</v>
      </c>
      <c r="D475" s="10">
        <v>45663</v>
      </c>
      <c r="E475" s="13" t="str">
        <f>+HYPERLINK("http://trademark.i-assist.jp/data/china/image_1918th/81194030.pdf","81194030")</f>
        <v>81194030</v>
      </c>
      <c r="F475" s="12" t="s">
        <v>12</v>
      </c>
      <c r="G475" s="12" t="s">
        <v>1371</v>
      </c>
      <c r="H475" s="9" t="s">
        <v>1372</v>
      </c>
      <c r="I475" s="10">
        <v>45564</v>
      </c>
    </row>
    <row r="476" spans="1:9" x14ac:dyDescent="0.15">
      <c r="A476" s="9">
        <v>475</v>
      </c>
      <c r="B476" s="9" t="s">
        <v>9</v>
      </c>
      <c r="C476" s="9">
        <v>1918</v>
      </c>
      <c r="D476" s="10">
        <v>45663</v>
      </c>
      <c r="E476" s="13" t="str">
        <f>+HYPERLINK("http://trademark.i-assist.jp/data/china/image_1918th/81194099.pdf","81194099")</f>
        <v>81194099</v>
      </c>
      <c r="F476" s="12" t="s">
        <v>1373</v>
      </c>
      <c r="G476" s="12" t="s">
        <v>1259</v>
      </c>
      <c r="H476" s="9" t="s">
        <v>1374</v>
      </c>
      <c r="I476" s="10">
        <v>45564</v>
      </c>
    </row>
    <row r="477" spans="1:9" x14ac:dyDescent="0.15">
      <c r="A477" s="9">
        <v>476</v>
      </c>
      <c r="B477" s="9" t="s">
        <v>9</v>
      </c>
      <c r="C477" s="9">
        <v>1918</v>
      </c>
      <c r="D477" s="10">
        <v>45663</v>
      </c>
      <c r="E477" s="13" t="str">
        <f>+HYPERLINK("http://trademark.i-assist.jp/data/china/image_1918th/81194295.pdf","81194295")</f>
        <v>81194295</v>
      </c>
      <c r="F477" s="9" t="s">
        <v>1375</v>
      </c>
      <c r="G477" s="9" t="s">
        <v>544</v>
      </c>
      <c r="H477" s="9" t="s">
        <v>1376</v>
      </c>
      <c r="I477" s="10">
        <v>45564</v>
      </c>
    </row>
    <row r="478" spans="1:9" x14ac:dyDescent="0.15">
      <c r="A478" s="9">
        <v>477</v>
      </c>
      <c r="B478" s="9" t="s">
        <v>9</v>
      </c>
      <c r="C478" s="9">
        <v>1918</v>
      </c>
      <c r="D478" s="10">
        <v>45663</v>
      </c>
      <c r="E478" s="13" t="str">
        <f>+HYPERLINK("http://trademark.i-assist.jp/data/china/image_1918th/81194306.pdf","81194306")</f>
        <v>81194306</v>
      </c>
      <c r="F478" s="9" t="s">
        <v>1377</v>
      </c>
      <c r="G478" s="12" t="s">
        <v>1342</v>
      </c>
      <c r="H478" s="9" t="s">
        <v>1378</v>
      </c>
      <c r="I478" s="10">
        <v>45564</v>
      </c>
    </row>
    <row r="479" spans="1:9" x14ac:dyDescent="0.15">
      <c r="A479" s="9">
        <v>478</v>
      </c>
      <c r="B479" s="9" t="s">
        <v>9</v>
      </c>
      <c r="C479" s="9">
        <v>1918</v>
      </c>
      <c r="D479" s="10">
        <v>45663</v>
      </c>
      <c r="E479" s="13" t="str">
        <f>+HYPERLINK("http://trademark.i-assist.jp/data/china/image_1918th/81194862.pdf","81194862")</f>
        <v>81194862</v>
      </c>
      <c r="F479" s="9" t="s">
        <v>1379</v>
      </c>
      <c r="G479" s="9" t="s">
        <v>1380</v>
      </c>
      <c r="H479" s="9" t="s">
        <v>1381</v>
      </c>
      <c r="I479" s="10">
        <v>45564</v>
      </c>
    </row>
    <row r="480" spans="1:9" x14ac:dyDescent="0.15">
      <c r="A480" s="9">
        <v>479</v>
      </c>
      <c r="B480" s="9" t="s">
        <v>9</v>
      </c>
      <c r="C480" s="9">
        <v>1918</v>
      </c>
      <c r="D480" s="10">
        <v>45663</v>
      </c>
      <c r="E480" s="13" t="str">
        <f>+HYPERLINK("http://trademark.i-assist.jp/data/china/image_1918th/81195269.pdf","81195269")</f>
        <v>81195269</v>
      </c>
      <c r="F480" s="9" t="s">
        <v>1382</v>
      </c>
      <c r="G480" s="9" t="s">
        <v>1383</v>
      </c>
      <c r="H480" s="9" t="s">
        <v>1384</v>
      </c>
      <c r="I480" s="10">
        <v>45564</v>
      </c>
    </row>
    <row r="481" spans="1:9" x14ac:dyDescent="0.15">
      <c r="A481" s="9">
        <v>480</v>
      </c>
      <c r="B481" s="9" t="s">
        <v>9</v>
      </c>
      <c r="C481" s="9">
        <v>1918</v>
      </c>
      <c r="D481" s="10">
        <v>45663</v>
      </c>
      <c r="E481" s="13" t="str">
        <f>+HYPERLINK("http://trademark.i-assist.jp/data/china/image_1918th/81195390.pdf","81195390")</f>
        <v>81195390</v>
      </c>
      <c r="F481" s="12" t="s">
        <v>1385</v>
      </c>
      <c r="G481" s="9" t="s">
        <v>1386</v>
      </c>
      <c r="H481" s="9" t="s">
        <v>1387</v>
      </c>
      <c r="I481" s="10">
        <v>45564</v>
      </c>
    </row>
    <row r="482" spans="1:9" x14ac:dyDescent="0.15">
      <c r="A482" s="9">
        <v>481</v>
      </c>
      <c r="B482" s="9" t="s">
        <v>9</v>
      </c>
      <c r="C482" s="9">
        <v>1918</v>
      </c>
      <c r="D482" s="10">
        <v>45663</v>
      </c>
      <c r="E482" s="13" t="str">
        <f>+HYPERLINK("http://trademark.i-assist.jp/data/china/image_1918th/81195742.pdf","81195742")</f>
        <v>81195742</v>
      </c>
      <c r="F482" s="9" t="s">
        <v>1388</v>
      </c>
      <c r="G482" s="12" t="s">
        <v>1236</v>
      </c>
      <c r="H482" s="9" t="s">
        <v>1389</v>
      </c>
      <c r="I482" s="10">
        <v>45564</v>
      </c>
    </row>
    <row r="483" spans="1:9" x14ac:dyDescent="0.15">
      <c r="A483" s="9">
        <v>482</v>
      </c>
      <c r="B483" s="9" t="s">
        <v>9</v>
      </c>
      <c r="C483" s="9">
        <v>1918</v>
      </c>
      <c r="D483" s="10">
        <v>45663</v>
      </c>
      <c r="E483" s="13" t="str">
        <f>+HYPERLINK("http://trademark.i-assist.jp/data/china/image_1918th/81195754.pdf","81195754")</f>
        <v>81195754</v>
      </c>
      <c r="F483" s="9" t="s">
        <v>1390</v>
      </c>
      <c r="G483" s="9" t="s">
        <v>1275</v>
      </c>
      <c r="H483" s="9" t="s">
        <v>1391</v>
      </c>
      <c r="I483" s="10">
        <v>45564</v>
      </c>
    </row>
    <row r="484" spans="1:9" x14ac:dyDescent="0.15">
      <c r="A484" s="9">
        <v>483</v>
      </c>
      <c r="B484" s="9" t="s">
        <v>9</v>
      </c>
      <c r="C484" s="9">
        <v>1918</v>
      </c>
      <c r="D484" s="10">
        <v>45663</v>
      </c>
      <c r="E484" s="13" t="str">
        <f>+HYPERLINK("http://trademark.i-assist.jp/data/china/image_1918th/81195887.pdf","81195887")</f>
        <v>81195887</v>
      </c>
      <c r="F484" s="9" t="s">
        <v>1392</v>
      </c>
      <c r="G484" s="9" t="s">
        <v>1393</v>
      </c>
      <c r="H484" s="9" t="s">
        <v>1394</v>
      </c>
      <c r="I484" s="10">
        <v>45564</v>
      </c>
    </row>
    <row r="485" spans="1:9" x14ac:dyDescent="0.15">
      <c r="A485" s="9">
        <v>484</v>
      </c>
      <c r="B485" s="9" t="s">
        <v>9</v>
      </c>
      <c r="C485" s="9">
        <v>1918</v>
      </c>
      <c r="D485" s="10">
        <v>45663</v>
      </c>
      <c r="E485" s="13" t="str">
        <f>+HYPERLINK("http://trademark.i-assist.jp/data/china/image_1918th/81196101.pdf","81196101")</f>
        <v>81196101</v>
      </c>
      <c r="F485" s="12" t="s">
        <v>1395</v>
      </c>
      <c r="G485" s="9" t="s">
        <v>1396</v>
      </c>
      <c r="H485" s="12" t="s">
        <v>1397</v>
      </c>
      <c r="I485" s="10">
        <v>45564</v>
      </c>
    </row>
    <row r="486" spans="1:9" x14ac:dyDescent="0.15">
      <c r="A486" s="9">
        <v>485</v>
      </c>
      <c r="B486" s="9" t="s">
        <v>9</v>
      </c>
      <c r="C486" s="9">
        <v>1918</v>
      </c>
      <c r="D486" s="10">
        <v>45663</v>
      </c>
      <c r="E486" s="13" t="str">
        <f>+HYPERLINK("http://trademark.i-assist.jp/data/china/image_1918th/81196420.pdf","81196420")</f>
        <v>81196420</v>
      </c>
      <c r="F486" s="12" t="s">
        <v>1398</v>
      </c>
      <c r="G486" s="9" t="s">
        <v>1399</v>
      </c>
      <c r="H486" s="9" t="s">
        <v>1400</v>
      </c>
      <c r="I486" s="10">
        <v>45564</v>
      </c>
    </row>
    <row r="487" spans="1:9" x14ac:dyDescent="0.15">
      <c r="A487" s="9">
        <v>486</v>
      </c>
      <c r="B487" s="9" t="s">
        <v>9</v>
      </c>
      <c r="C487" s="9">
        <v>1918</v>
      </c>
      <c r="D487" s="10">
        <v>45663</v>
      </c>
      <c r="E487" s="13" t="str">
        <f>+HYPERLINK("http://trademark.i-assist.jp/data/china/image_1918th/81196934.pdf","81196934")</f>
        <v>81196934</v>
      </c>
      <c r="F487" s="9" t="s">
        <v>1401</v>
      </c>
      <c r="G487" s="9" t="s">
        <v>1402</v>
      </c>
      <c r="H487" s="9" t="s">
        <v>1403</v>
      </c>
      <c r="I487" s="10">
        <v>45564</v>
      </c>
    </row>
    <row r="488" spans="1:9" x14ac:dyDescent="0.15">
      <c r="A488" s="9">
        <v>487</v>
      </c>
      <c r="B488" s="9" t="s">
        <v>9</v>
      </c>
      <c r="C488" s="9">
        <v>1918</v>
      </c>
      <c r="D488" s="10">
        <v>45663</v>
      </c>
      <c r="E488" s="13" t="str">
        <f>+HYPERLINK("http://trademark.i-assist.jp/data/china/image_1918th/81197300.pdf","81197300")</f>
        <v>81197300</v>
      </c>
      <c r="F488" s="9" t="s">
        <v>1404</v>
      </c>
      <c r="G488" s="9" t="s">
        <v>1404</v>
      </c>
      <c r="H488" s="12" t="s">
        <v>1405</v>
      </c>
      <c r="I488" s="10">
        <v>45564</v>
      </c>
    </row>
    <row r="489" spans="1:9" x14ac:dyDescent="0.15">
      <c r="A489" s="9">
        <v>488</v>
      </c>
      <c r="B489" s="9" t="s">
        <v>9</v>
      </c>
      <c r="C489" s="9">
        <v>1918</v>
      </c>
      <c r="D489" s="10">
        <v>45663</v>
      </c>
      <c r="E489" s="13" t="str">
        <f>+HYPERLINK("http://trademark.i-assist.jp/data/china/image_1918th/81197361.pdf","81197361")</f>
        <v>81197361</v>
      </c>
      <c r="F489" s="12" t="s">
        <v>1406</v>
      </c>
      <c r="G489" s="12" t="s">
        <v>1407</v>
      </c>
      <c r="H489" s="9" t="s">
        <v>1408</v>
      </c>
      <c r="I489" s="10">
        <v>45564</v>
      </c>
    </row>
    <row r="490" spans="1:9" x14ac:dyDescent="0.15">
      <c r="A490" s="9">
        <v>489</v>
      </c>
      <c r="B490" s="9" t="s">
        <v>9</v>
      </c>
      <c r="C490" s="9">
        <v>1918</v>
      </c>
      <c r="D490" s="10">
        <v>45663</v>
      </c>
      <c r="E490" s="13" t="str">
        <f>+HYPERLINK("http://trademark.i-assist.jp/data/china/image_1918th/81197506.pdf","81197506")</f>
        <v>81197506</v>
      </c>
      <c r="F490" s="9" t="s">
        <v>1409</v>
      </c>
      <c r="G490" s="12" t="s">
        <v>1410</v>
      </c>
      <c r="H490" s="9" t="s">
        <v>1411</v>
      </c>
      <c r="I490" s="10">
        <v>45564</v>
      </c>
    </row>
    <row r="491" spans="1:9" x14ac:dyDescent="0.15">
      <c r="A491" s="9">
        <v>490</v>
      </c>
      <c r="B491" s="9" t="s">
        <v>9</v>
      </c>
      <c r="C491" s="9">
        <v>1918</v>
      </c>
      <c r="D491" s="10">
        <v>45663</v>
      </c>
      <c r="E491" s="13" t="str">
        <f>+HYPERLINK("http://trademark.i-assist.jp/data/china/image_1918th/81198186.pdf","81198186")</f>
        <v>81198186</v>
      </c>
      <c r="F491" s="9" t="s">
        <v>1412</v>
      </c>
      <c r="G491" s="9" t="s">
        <v>1413</v>
      </c>
      <c r="H491" s="12" t="s">
        <v>1414</v>
      </c>
      <c r="I491" s="10">
        <v>45564</v>
      </c>
    </row>
    <row r="492" spans="1:9" x14ac:dyDescent="0.15">
      <c r="A492" s="9">
        <v>491</v>
      </c>
      <c r="B492" s="9" t="s">
        <v>9</v>
      </c>
      <c r="C492" s="9">
        <v>1918</v>
      </c>
      <c r="D492" s="10">
        <v>45663</v>
      </c>
      <c r="E492" s="13" t="str">
        <f>+HYPERLINK("http://trademark.i-assist.jp/data/china/image_1918th/81198773.pdf","81198773")</f>
        <v>81198773</v>
      </c>
      <c r="F492" s="9" t="s">
        <v>1415</v>
      </c>
      <c r="G492" s="12" t="s">
        <v>1224</v>
      </c>
      <c r="H492" s="9" t="s">
        <v>1416</v>
      </c>
      <c r="I492" s="10">
        <v>45564</v>
      </c>
    </row>
    <row r="493" spans="1:9" x14ac:dyDescent="0.15">
      <c r="A493" s="9">
        <v>492</v>
      </c>
      <c r="B493" s="9" t="s">
        <v>9</v>
      </c>
      <c r="C493" s="9">
        <v>1918</v>
      </c>
      <c r="D493" s="10">
        <v>45663</v>
      </c>
      <c r="E493" s="13" t="str">
        <f>+HYPERLINK("http://trademark.i-assist.jp/data/china/image_1918th/81198942.pdf","81198942")</f>
        <v>81198942</v>
      </c>
      <c r="F493" s="9" t="s">
        <v>1417</v>
      </c>
      <c r="G493" s="9" t="s">
        <v>1418</v>
      </c>
      <c r="H493" s="9" t="s">
        <v>1419</v>
      </c>
      <c r="I493" s="10">
        <v>45564</v>
      </c>
    </row>
    <row r="494" spans="1:9" x14ac:dyDescent="0.15">
      <c r="A494" s="9">
        <v>493</v>
      </c>
      <c r="B494" s="9" t="s">
        <v>9</v>
      </c>
      <c r="C494" s="9">
        <v>1918</v>
      </c>
      <c r="D494" s="10">
        <v>45663</v>
      </c>
      <c r="E494" s="13" t="str">
        <f>+HYPERLINK("http://trademark.i-assist.jp/data/china/image_1918th/81199024.pdf","81199024")</f>
        <v>81199024</v>
      </c>
      <c r="F494" s="9" t="s">
        <v>1420</v>
      </c>
      <c r="G494" s="9" t="s">
        <v>60</v>
      </c>
      <c r="H494" s="9" t="s">
        <v>1421</v>
      </c>
      <c r="I494" s="10">
        <v>45564</v>
      </c>
    </row>
    <row r="495" spans="1:9" x14ac:dyDescent="0.15">
      <c r="A495" s="9">
        <v>494</v>
      </c>
      <c r="B495" s="9" t="s">
        <v>9</v>
      </c>
      <c r="C495" s="9">
        <v>1918</v>
      </c>
      <c r="D495" s="10">
        <v>45663</v>
      </c>
      <c r="E495" s="13" t="str">
        <f>+HYPERLINK("http://trademark.i-assist.jp/data/china/image_1918th/81199058.pdf","81199058")</f>
        <v>81199058</v>
      </c>
      <c r="F495" s="9" t="s">
        <v>1422</v>
      </c>
      <c r="G495" s="9" t="s">
        <v>1423</v>
      </c>
      <c r="H495" s="9" t="s">
        <v>1424</v>
      </c>
      <c r="I495" s="10">
        <v>45564</v>
      </c>
    </row>
    <row r="496" spans="1:9" x14ac:dyDescent="0.15">
      <c r="A496" s="9">
        <v>495</v>
      </c>
      <c r="B496" s="9" t="s">
        <v>9</v>
      </c>
      <c r="C496" s="9">
        <v>1918</v>
      </c>
      <c r="D496" s="10">
        <v>45663</v>
      </c>
      <c r="E496" s="13" t="str">
        <f>+HYPERLINK("http://trademark.i-assist.jp/data/china/image_1918th/81199696.pdf","81199696")</f>
        <v>81199696</v>
      </c>
      <c r="F496" s="9" t="s">
        <v>1425</v>
      </c>
      <c r="G496" s="9" t="s">
        <v>1272</v>
      </c>
      <c r="H496" s="9" t="s">
        <v>1426</v>
      </c>
      <c r="I496" s="10">
        <v>45564</v>
      </c>
    </row>
    <row r="497" spans="1:9" x14ac:dyDescent="0.15">
      <c r="A497" s="9">
        <v>496</v>
      </c>
      <c r="B497" s="9" t="s">
        <v>9</v>
      </c>
      <c r="C497" s="9">
        <v>1918</v>
      </c>
      <c r="D497" s="10">
        <v>45663</v>
      </c>
      <c r="E497" s="13" t="str">
        <f>+HYPERLINK("http://trademark.i-assist.jp/data/china/image_1918th/81199835.pdf","81199835")</f>
        <v>81199835</v>
      </c>
      <c r="F497" s="9" t="s">
        <v>1427</v>
      </c>
      <c r="G497" s="12" t="s">
        <v>1428</v>
      </c>
      <c r="H497" s="9" t="s">
        <v>1429</v>
      </c>
      <c r="I497" s="10">
        <v>45564</v>
      </c>
    </row>
    <row r="498" spans="1:9" x14ac:dyDescent="0.15">
      <c r="A498" s="9">
        <v>497</v>
      </c>
      <c r="B498" s="9" t="s">
        <v>9</v>
      </c>
      <c r="C498" s="9">
        <v>1918</v>
      </c>
      <c r="D498" s="10">
        <v>45663</v>
      </c>
      <c r="E498" s="13" t="str">
        <f>+HYPERLINK("http://trademark.i-assist.jp/data/china/image_1918th/81200218.pdf","81200218")</f>
        <v>81200218</v>
      </c>
      <c r="F498" s="9" t="s">
        <v>1430</v>
      </c>
      <c r="G498" s="9" t="s">
        <v>1431</v>
      </c>
      <c r="H498" s="9" t="s">
        <v>1432</v>
      </c>
      <c r="I498" s="10">
        <v>45564</v>
      </c>
    </row>
    <row r="499" spans="1:9" x14ac:dyDescent="0.15">
      <c r="A499" s="9">
        <v>498</v>
      </c>
      <c r="B499" s="9" t="s">
        <v>9</v>
      </c>
      <c r="C499" s="9">
        <v>1918</v>
      </c>
      <c r="D499" s="10">
        <v>45663</v>
      </c>
      <c r="E499" s="13" t="str">
        <f>+HYPERLINK("http://trademark.i-assist.jp/data/china/image_1918th/81200705.pdf","81200705")</f>
        <v>81200705</v>
      </c>
      <c r="F499" s="9" t="s">
        <v>1433</v>
      </c>
      <c r="G499" s="9" t="s">
        <v>1434</v>
      </c>
      <c r="H499" s="9" t="s">
        <v>1435</v>
      </c>
      <c r="I499" s="10">
        <v>45564</v>
      </c>
    </row>
    <row r="500" spans="1:9" x14ac:dyDescent="0.15">
      <c r="A500" s="9">
        <v>499</v>
      </c>
      <c r="B500" s="9" t="s">
        <v>9</v>
      </c>
      <c r="C500" s="9">
        <v>1918</v>
      </c>
      <c r="D500" s="10">
        <v>45663</v>
      </c>
      <c r="E500" s="13" t="str">
        <f>+HYPERLINK("http://trademark.i-assist.jp/data/china/image_1918th/81202413.pdf","81202413")</f>
        <v>81202413</v>
      </c>
      <c r="F500" s="9" t="s">
        <v>1436</v>
      </c>
      <c r="G500" s="9" t="s">
        <v>1437</v>
      </c>
      <c r="H500" s="9" t="s">
        <v>1438</v>
      </c>
      <c r="I500" s="10">
        <v>45564</v>
      </c>
    </row>
    <row r="501" spans="1:9" x14ac:dyDescent="0.15">
      <c r="A501" s="9">
        <v>500</v>
      </c>
      <c r="B501" s="9" t="s">
        <v>9</v>
      </c>
      <c r="C501" s="9">
        <v>1918</v>
      </c>
      <c r="D501" s="10">
        <v>45663</v>
      </c>
      <c r="E501" s="13" t="str">
        <f>+HYPERLINK("http://trademark.i-assist.jp/data/china/image_1918th/81203693.pdf","81203693")</f>
        <v>81203693</v>
      </c>
      <c r="F501" s="9" t="s">
        <v>1439</v>
      </c>
      <c r="G501" s="9" t="s">
        <v>1440</v>
      </c>
      <c r="H501" s="9" t="s">
        <v>1441</v>
      </c>
      <c r="I501" s="10">
        <v>45565</v>
      </c>
    </row>
    <row r="502" spans="1:9" x14ac:dyDescent="0.15">
      <c r="A502" s="9">
        <v>501</v>
      </c>
      <c r="B502" s="9" t="s">
        <v>9</v>
      </c>
      <c r="C502" s="9">
        <v>1918</v>
      </c>
      <c r="D502" s="10">
        <v>45663</v>
      </c>
      <c r="E502" s="13" t="str">
        <f>+HYPERLINK("http://trademark.i-assist.jp/data/china/image_1918th/81203789.pdf","81203789")</f>
        <v>81203789</v>
      </c>
      <c r="F502" s="9" t="s">
        <v>1442</v>
      </c>
      <c r="G502" s="12" t="s">
        <v>1443</v>
      </c>
      <c r="H502" s="9" t="s">
        <v>1444</v>
      </c>
      <c r="I502" s="10">
        <v>45565</v>
      </c>
    </row>
    <row r="503" spans="1:9" x14ac:dyDescent="0.15">
      <c r="A503" s="9">
        <v>502</v>
      </c>
      <c r="B503" s="9" t="s">
        <v>9</v>
      </c>
      <c r="C503" s="9">
        <v>1918</v>
      </c>
      <c r="D503" s="10">
        <v>45663</v>
      </c>
      <c r="E503" s="13" t="str">
        <f>+HYPERLINK("http://trademark.i-assist.jp/data/china/image_1918th/81203876.pdf","81203876")</f>
        <v>81203876</v>
      </c>
      <c r="F503" s="9" t="s">
        <v>1445</v>
      </c>
      <c r="G503" s="9" t="s">
        <v>67</v>
      </c>
      <c r="H503" s="9" t="s">
        <v>1446</v>
      </c>
      <c r="I503" s="10">
        <v>45565</v>
      </c>
    </row>
    <row r="504" spans="1:9" x14ac:dyDescent="0.15">
      <c r="A504" s="9">
        <v>503</v>
      </c>
      <c r="B504" s="9" t="s">
        <v>9</v>
      </c>
      <c r="C504" s="9">
        <v>1918</v>
      </c>
      <c r="D504" s="10">
        <v>45663</v>
      </c>
      <c r="E504" s="13" t="str">
        <f>+HYPERLINK("http://trademark.i-assist.jp/data/china/image_1918th/81204922.pdf","81204922")</f>
        <v>81204922</v>
      </c>
      <c r="F504" s="9" t="s">
        <v>1447</v>
      </c>
      <c r="G504" s="9" t="s">
        <v>1448</v>
      </c>
      <c r="H504" s="9" t="s">
        <v>1449</v>
      </c>
      <c r="I504" s="10">
        <v>45565</v>
      </c>
    </row>
    <row r="505" spans="1:9" x14ac:dyDescent="0.15">
      <c r="A505" s="9">
        <v>504</v>
      </c>
      <c r="B505" s="9" t="s">
        <v>9</v>
      </c>
      <c r="C505" s="9">
        <v>1918</v>
      </c>
      <c r="D505" s="10">
        <v>45663</v>
      </c>
      <c r="E505" s="13" t="str">
        <f>+HYPERLINK("http://trademark.i-assist.jp/data/china/image_1918th/81205526.pdf","81205526")</f>
        <v>81205526</v>
      </c>
      <c r="F505" s="12" t="s">
        <v>1450</v>
      </c>
      <c r="G505" s="9" t="s">
        <v>1451</v>
      </c>
      <c r="H505" s="9" t="s">
        <v>1452</v>
      </c>
      <c r="I505" s="10">
        <v>45565</v>
      </c>
    </row>
    <row r="506" spans="1:9" x14ac:dyDescent="0.15">
      <c r="A506" s="9">
        <v>505</v>
      </c>
      <c r="B506" s="9" t="s">
        <v>9</v>
      </c>
      <c r="C506" s="9">
        <v>1918</v>
      </c>
      <c r="D506" s="10">
        <v>45663</v>
      </c>
      <c r="E506" s="13" t="str">
        <f>+HYPERLINK("http://trademark.i-assist.jp/data/china/image_1918th/81205667.pdf","81205667")</f>
        <v>81205667</v>
      </c>
      <c r="F506" s="9" t="s">
        <v>1453</v>
      </c>
      <c r="G506" s="12" t="s">
        <v>1454</v>
      </c>
      <c r="H506" s="9" t="s">
        <v>1455</v>
      </c>
      <c r="I506" s="10">
        <v>45565</v>
      </c>
    </row>
    <row r="507" spans="1:9" x14ac:dyDescent="0.15">
      <c r="A507" s="9">
        <v>506</v>
      </c>
      <c r="B507" s="9" t="s">
        <v>9</v>
      </c>
      <c r="C507" s="9">
        <v>1918</v>
      </c>
      <c r="D507" s="10">
        <v>45663</v>
      </c>
      <c r="E507" s="13" t="str">
        <f>+HYPERLINK("http://trademark.i-assist.jp/data/china/image_1918th/81206862.pdf","81206862")</f>
        <v>81206862</v>
      </c>
      <c r="F507" s="9" t="s">
        <v>1456</v>
      </c>
      <c r="G507" s="9" t="s">
        <v>1457</v>
      </c>
      <c r="H507" s="9" t="s">
        <v>1458</v>
      </c>
      <c r="I507" s="10">
        <v>45565</v>
      </c>
    </row>
    <row r="508" spans="1:9" x14ac:dyDescent="0.15">
      <c r="A508" s="9">
        <v>507</v>
      </c>
      <c r="B508" s="9" t="s">
        <v>9</v>
      </c>
      <c r="C508" s="9">
        <v>1918</v>
      </c>
      <c r="D508" s="10">
        <v>45663</v>
      </c>
      <c r="E508" s="13" t="str">
        <f>+HYPERLINK("http://trademark.i-assist.jp/data/china/image_1918th/81207031.pdf","81207031")</f>
        <v>81207031</v>
      </c>
      <c r="F508" s="9" t="s">
        <v>1459</v>
      </c>
      <c r="G508" s="12" t="s">
        <v>1460</v>
      </c>
      <c r="H508" s="9" t="s">
        <v>1461</v>
      </c>
      <c r="I508" s="10">
        <v>45565</v>
      </c>
    </row>
    <row r="509" spans="1:9" x14ac:dyDescent="0.15">
      <c r="A509" s="9">
        <v>508</v>
      </c>
      <c r="B509" s="9" t="s">
        <v>9</v>
      </c>
      <c r="C509" s="9">
        <v>1918</v>
      </c>
      <c r="D509" s="10">
        <v>45663</v>
      </c>
      <c r="E509" s="13" t="str">
        <f>+HYPERLINK("http://trademark.i-assist.jp/data/china/image_1918th/81207536.pdf","81207536")</f>
        <v>81207536</v>
      </c>
      <c r="F509" s="9" t="s">
        <v>1462</v>
      </c>
      <c r="G509" s="9" t="s">
        <v>1463</v>
      </c>
      <c r="H509" s="9" t="s">
        <v>1464</v>
      </c>
      <c r="I509" s="10">
        <v>45565</v>
      </c>
    </row>
    <row r="510" spans="1:9" x14ac:dyDescent="0.15">
      <c r="A510" s="9">
        <v>509</v>
      </c>
      <c r="B510" s="9" t="s">
        <v>9</v>
      </c>
      <c r="C510" s="9">
        <v>1918</v>
      </c>
      <c r="D510" s="10">
        <v>45663</v>
      </c>
      <c r="E510" s="13" t="str">
        <f>+HYPERLINK("http://trademark.i-assist.jp/data/china/image_1918th/81207758.pdf","81207758")</f>
        <v>81207758</v>
      </c>
      <c r="F510" s="12" t="s">
        <v>1465</v>
      </c>
      <c r="G510" s="9" t="s">
        <v>1466</v>
      </c>
      <c r="H510" s="9" t="s">
        <v>1467</v>
      </c>
      <c r="I510" s="10">
        <v>45565</v>
      </c>
    </row>
    <row r="511" spans="1:9" x14ac:dyDescent="0.15">
      <c r="A511" s="9">
        <v>510</v>
      </c>
      <c r="B511" s="9" t="s">
        <v>9</v>
      </c>
      <c r="C511" s="9">
        <v>1918</v>
      </c>
      <c r="D511" s="10">
        <v>45663</v>
      </c>
      <c r="E511" s="13" t="str">
        <f>+HYPERLINK("http://trademark.i-assist.jp/data/china/image_1918th/81208215.pdf","81208215")</f>
        <v>81208215</v>
      </c>
      <c r="F511" s="9" t="s">
        <v>1468</v>
      </c>
      <c r="G511" s="9" t="s">
        <v>1469</v>
      </c>
      <c r="H511" s="9" t="s">
        <v>1470</v>
      </c>
      <c r="I511" s="10">
        <v>45565</v>
      </c>
    </row>
    <row r="512" spans="1:9" x14ac:dyDescent="0.15">
      <c r="A512" s="9">
        <v>511</v>
      </c>
      <c r="B512" s="9" t="s">
        <v>9</v>
      </c>
      <c r="C512" s="9">
        <v>1918</v>
      </c>
      <c r="D512" s="10">
        <v>45663</v>
      </c>
      <c r="E512" s="13" t="str">
        <f>+HYPERLINK("http://trademark.i-assist.jp/data/china/image_1918th/81208259.pdf","81208259")</f>
        <v>81208259</v>
      </c>
      <c r="F512" s="12" t="s">
        <v>12</v>
      </c>
      <c r="G512" s="9" t="s">
        <v>1471</v>
      </c>
      <c r="H512" s="9" t="s">
        <v>1472</v>
      </c>
      <c r="I512" s="10">
        <v>45565</v>
      </c>
    </row>
    <row r="513" spans="1:9" x14ac:dyDescent="0.15">
      <c r="A513" s="9">
        <v>512</v>
      </c>
      <c r="B513" s="9" t="s">
        <v>9</v>
      </c>
      <c r="C513" s="9">
        <v>1918</v>
      </c>
      <c r="D513" s="10">
        <v>45663</v>
      </c>
      <c r="E513" s="13" t="str">
        <f>+HYPERLINK("http://trademark.i-assist.jp/data/china/image_1918th/81208387.pdf","81208387")</f>
        <v>81208387</v>
      </c>
      <c r="F513" s="12" t="s">
        <v>12</v>
      </c>
      <c r="G513" s="9" t="s">
        <v>1473</v>
      </c>
      <c r="H513" s="9" t="s">
        <v>1474</v>
      </c>
      <c r="I513" s="10">
        <v>45565</v>
      </c>
    </row>
    <row r="514" spans="1:9" x14ac:dyDescent="0.15">
      <c r="A514" s="9">
        <v>513</v>
      </c>
      <c r="B514" s="9" t="s">
        <v>9</v>
      </c>
      <c r="C514" s="9">
        <v>1918</v>
      </c>
      <c r="D514" s="10">
        <v>45663</v>
      </c>
      <c r="E514" s="13" t="str">
        <f>+HYPERLINK("http://trademark.i-assist.jp/data/china/image_1918th/81208525.pdf","81208525")</f>
        <v>81208525</v>
      </c>
      <c r="F514" s="9" t="s">
        <v>1475</v>
      </c>
      <c r="G514" s="12" t="s">
        <v>1476</v>
      </c>
      <c r="H514" s="9" t="s">
        <v>1477</v>
      </c>
      <c r="I514" s="10">
        <v>45565</v>
      </c>
    </row>
    <row r="515" spans="1:9" x14ac:dyDescent="0.15">
      <c r="A515" s="9">
        <v>514</v>
      </c>
      <c r="B515" s="9" t="s">
        <v>9</v>
      </c>
      <c r="C515" s="9">
        <v>1918</v>
      </c>
      <c r="D515" s="10">
        <v>45663</v>
      </c>
      <c r="E515" s="13" t="str">
        <f>+HYPERLINK("http://trademark.i-assist.jp/data/china/image_1918th/81209694.pdf","81209694")</f>
        <v>81209694</v>
      </c>
      <c r="F515" s="9" t="s">
        <v>1478</v>
      </c>
      <c r="G515" s="12" t="s">
        <v>1479</v>
      </c>
      <c r="H515" s="9" t="s">
        <v>1480</v>
      </c>
      <c r="I515" s="10">
        <v>45565</v>
      </c>
    </row>
    <row r="516" spans="1:9" x14ac:dyDescent="0.15">
      <c r="A516" s="9">
        <v>515</v>
      </c>
      <c r="B516" s="9" t="s">
        <v>9</v>
      </c>
      <c r="C516" s="9">
        <v>1918</v>
      </c>
      <c r="D516" s="10">
        <v>45663</v>
      </c>
      <c r="E516" s="13" t="str">
        <f>+HYPERLINK("http://trademark.i-assist.jp/data/china/image_1918th/81210467.pdf","81210467")</f>
        <v>81210467</v>
      </c>
      <c r="F516" s="9" t="s">
        <v>1481</v>
      </c>
      <c r="G516" s="9" t="s">
        <v>1482</v>
      </c>
      <c r="H516" s="9" t="s">
        <v>1483</v>
      </c>
      <c r="I516" s="10">
        <v>45565</v>
      </c>
    </row>
    <row r="517" spans="1:9" x14ac:dyDescent="0.15">
      <c r="A517" s="9">
        <v>516</v>
      </c>
      <c r="B517" s="9" t="s">
        <v>9</v>
      </c>
      <c r="C517" s="9">
        <v>1918</v>
      </c>
      <c r="D517" s="10">
        <v>45663</v>
      </c>
      <c r="E517" s="13" t="str">
        <f>+HYPERLINK("http://trademark.i-assist.jp/data/china/image_1918th/81210702.pdf","81210702")</f>
        <v>81210702</v>
      </c>
      <c r="F517" s="12" t="s">
        <v>1484</v>
      </c>
      <c r="G517" s="9" t="s">
        <v>1485</v>
      </c>
      <c r="H517" s="9" t="s">
        <v>1486</v>
      </c>
      <c r="I517" s="10">
        <v>45565</v>
      </c>
    </row>
    <row r="518" spans="1:9" x14ac:dyDescent="0.15">
      <c r="A518" s="9">
        <v>517</v>
      </c>
      <c r="B518" s="9" t="s">
        <v>9</v>
      </c>
      <c r="C518" s="9">
        <v>1918</v>
      </c>
      <c r="D518" s="10">
        <v>45663</v>
      </c>
      <c r="E518" s="13" t="str">
        <f>+HYPERLINK("http://trademark.i-assist.jp/data/china/image_1918th/81210954.pdf","81210954")</f>
        <v>81210954</v>
      </c>
      <c r="F518" s="12" t="s">
        <v>1487</v>
      </c>
      <c r="G518" s="9" t="s">
        <v>1488</v>
      </c>
      <c r="H518" s="12" t="s">
        <v>1489</v>
      </c>
      <c r="I518" s="10">
        <v>45565</v>
      </c>
    </row>
    <row r="519" spans="1:9" x14ac:dyDescent="0.15">
      <c r="A519" s="9">
        <v>518</v>
      </c>
      <c r="B519" s="9" t="s">
        <v>9</v>
      </c>
      <c r="C519" s="9">
        <v>1918</v>
      </c>
      <c r="D519" s="10">
        <v>45663</v>
      </c>
      <c r="E519" s="13" t="str">
        <f>+HYPERLINK("http://trademark.i-assist.jp/data/china/image_1918th/81211385.pdf","81211385")</f>
        <v>81211385</v>
      </c>
      <c r="F519" s="12" t="s">
        <v>12</v>
      </c>
      <c r="G519" s="9" t="s">
        <v>1490</v>
      </c>
      <c r="H519" s="9" t="s">
        <v>1491</v>
      </c>
      <c r="I519" s="10">
        <v>45565</v>
      </c>
    </row>
    <row r="520" spans="1:9" x14ac:dyDescent="0.15">
      <c r="A520" s="9">
        <v>519</v>
      </c>
      <c r="B520" s="9" t="s">
        <v>9</v>
      </c>
      <c r="C520" s="9">
        <v>1918</v>
      </c>
      <c r="D520" s="10">
        <v>45663</v>
      </c>
      <c r="E520" s="13" t="str">
        <f>+HYPERLINK("http://trademark.i-assist.jp/data/china/image_1918th/81211470.pdf","81211470")</f>
        <v>81211470</v>
      </c>
      <c r="F520" s="9" t="s">
        <v>1492</v>
      </c>
      <c r="G520" s="12" t="s">
        <v>1443</v>
      </c>
      <c r="H520" s="9" t="s">
        <v>1493</v>
      </c>
      <c r="I520" s="10">
        <v>45565</v>
      </c>
    </row>
    <row r="521" spans="1:9" x14ac:dyDescent="0.15">
      <c r="A521" s="9">
        <v>520</v>
      </c>
      <c r="B521" s="9" t="s">
        <v>9</v>
      </c>
      <c r="C521" s="9">
        <v>1918</v>
      </c>
      <c r="D521" s="10">
        <v>45663</v>
      </c>
      <c r="E521" s="13" t="str">
        <f>+HYPERLINK("http://trademark.i-assist.jp/data/china/image_1918th/81211599.pdf","81211599")</f>
        <v>81211599</v>
      </c>
      <c r="F521" s="9" t="s">
        <v>1494</v>
      </c>
      <c r="G521" s="9" t="s">
        <v>1495</v>
      </c>
      <c r="H521" s="9" t="s">
        <v>1496</v>
      </c>
      <c r="I521" s="10">
        <v>45565</v>
      </c>
    </row>
    <row r="522" spans="1:9" x14ac:dyDescent="0.15">
      <c r="A522" s="9">
        <v>521</v>
      </c>
      <c r="B522" s="9" t="s">
        <v>9</v>
      </c>
      <c r="C522" s="9">
        <v>1918</v>
      </c>
      <c r="D522" s="10">
        <v>45663</v>
      </c>
      <c r="E522" s="13" t="str">
        <f>+HYPERLINK("http://trademark.i-assist.jp/data/china/image_1918th/81212084.pdf","81212084")</f>
        <v>81212084</v>
      </c>
      <c r="F522" s="9" t="s">
        <v>1497</v>
      </c>
      <c r="G522" s="9" t="s">
        <v>1498</v>
      </c>
      <c r="H522" s="9" t="s">
        <v>1499</v>
      </c>
      <c r="I522" s="10">
        <v>45565</v>
      </c>
    </row>
    <row r="523" spans="1:9" x14ac:dyDescent="0.15">
      <c r="A523" s="9">
        <v>522</v>
      </c>
      <c r="B523" s="9" t="s">
        <v>9</v>
      </c>
      <c r="C523" s="9">
        <v>1918</v>
      </c>
      <c r="D523" s="10">
        <v>45663</v>
      </c>
      <c r="E523" s="13" t="str">
        <f>+HYPERLINK("http://trademark.i-assist.jp/data/china/image_1918th/81212196.pdf","81212196")</f>
        <v>81212196</v>
      </c>
      <c r="F523" s="9" t="s">
        <v>1500</v>
      </c>
      <c r="G523" s="9" t="s">
        <v>1501</v>
      </c>
      <c r="H523" s="9" t="s">
        <v>1502</v>
      </c>
      <c r="I523" s="10">
        <v>45565</v>
      </c>
    </row>
    <row r="524" spans="1:9" x14ac:dyDescent="0.15">
      <c r="A524" s="9">
        <v>523</v>
      </c>
      <c r="B524" s="9" t="s">
        <v>9</v>
      </c>
      <c r="C524" s="9">
        <v>1918</v>
      </c>
      <c r="D524" s="10">
        <v>45663</v>
      </c>
      <c r="E524" s="13" t="str">
        <f>+HYPERLINK("http://trademark.i-assist.jp/data/china/image_1918th/81213069.pdf","81213069")</f>
        <v>81213069</v>
      </c>
      <c r="F524" s="12" t="s">
        <v>1503</v>
      </c>
      <c r="G524" s="9" t="s">
        <v>1504</v>
      </c>
      <c r="H524" s="9" t="s">
        <v>1505</v>
      </c>
      <c r="I524" s="10">
        <v>45565</v>
      </c>
    </row>
    <row r="525" spans="1:9" x14ac:dyDescent="0.15">
      <c r="A525" s="9">
        <v>524</v>
      </c>
      <c r="B525" s="9" t="s">
        <v>9</v>
      </c>
      <c r="C525" s="9">
        <v>1918</v>
      </c>
      <c r="D525" s="10">
        <v>45663</v>
      </c>
      <c r="E525" s="13" t="str">
        <f>+HYPERLINK("http://trademark.i-assist.jp/data/china/image_1918th/81213322.pdf","81213322")</f>
        <v>81213322</v>
      </c>
      <c r="F525" s="12" t="s">
        <v>1506</v>
      </c>
      <c r="G525" s="9" t="s">
        <v>1507</v>
      </c>
      <c r="H525" s="9" t="s">
        <v>1508</v>
      </c>
      <c r="I525" s="10">
        <v>45565</v>
      </c>
    </row>
    <row r="526" spans="1:9" x14ac:dyDescent="0.15">
      <c r="A526" s="9">
        <v>525</v>
      </c>
      <c r="B526" s="9" t="s">
        <v>9</v>
      </c>
      <c r="C526" s="9">
        <v>1918</v>
      </c>
      <c r="D526" s="10">
        <v>45663</v>
      </c>
      <c r="E526" s="13" t="str">
        <f>+HYPERLINK("http://trademark.i-assist.jp/data/china/image_1918th/81214116.pdf","81214116")</f>
        <v>81214116</v>
      </c>
      <c r="F526" s="9" t="s">
        <v>1509</v>
      </c>
      <c r="G526" s="12" t="s">
        <v>1510</v>
      </c>
      <c r="H526" s="9" t="s">
        <v>1511</v>
      </c>
      <c r="I526" s="10">
        <v>45565</v>
      </c>
    </row>
    <row r="527" spans="1:9" x14ac:dyDescent="0.15">
      <c r="A527" s="9">
        <v>526</v>
      </c>
      <c r="B527" s="9" t="s">
        <v>9</v>
      </c>
      <c r="C527" s="9">
        <v>1918</v>
      </c>
      <c r="D527" s="10">
        <v>45663</v>
      </c>
      <c r="E527" s="13" t="str">
        <f>+HYPERLINK("http://trademark.i-assist.jp/data/china/image_1918th/81214336.pdf","81214336")</f>
        <v>81214336</v>
      </c>
      <c r="F527" s="9" t="s">
        <v>1512</v>
      </c>
      <c r="G527" s="12" t="s">
        <v>1513</v>
      </c>
      <c r="H527" s="9" t="s">
        <v>1514</v>
      </c>
      <c r="I527" s="10">
        <v>45565</v>
      </c>
    </row>
    <row r="528" spans="1:9" x14ac:dyDescent="0.15">
      <c r="A528" s="9">
        <v>527</v>
      </c>
      <c r="B528" s="9" t="s">
        <v>9</v>
      </c>
      <c r="C528" s="9">
        <v>1918</v>
      </c>
      <c r="D528" s="10">
        <v>45663</v>
      </c>
      <c r="E528" s="13" t="str">
        <f>+HYPERLINK("http://trademark.i-assist.jp/data/china/image_1918th/81214508.pdf","81214508")</f>
        <v>81214508</v>
      </c>
      <c r="F528" s="9" t="s">
        <v>1515</v>
      </c>
      <c r="G528" s="9" t="s">
        <v>1516</v>
      </c>
      <c r="H528" s="9" t="s">
        <v>1517</v>
      </c>
      <c r="I528" s="10">
        <v>45565</v>
      </c>
    </row>
    <row r="529" spans="1:9" x14ac:dyDescent="0.15">
      <c r="A529" s="9">
        <v>528</v>
      </c>
      <c r="B529" s="9" t="s">
        <v>9</v>
      </c>
      <c r="C529" s="9">
        <v>1918</v>
      </c>
      <c r="D529" s="10">
        <v>45663</v>
      </c>
      <c r="E529" s="13" t="str">
        <f>+HYPERLINK("http://trademark.i-assist.jp/data/china/image_1918th/81215706.pdf","81215706")</f>
        <v>81215706</v>
      </c>
      <c r="F529" s="9" t="s">
        <v>1518</v>
      </c>
      <c r="G529" s="12" t="s">
        <v>1519</v>
      </c>
      <c r="H529" s="9" t="s">
        <v>1520</v>
      </c>
      <c r="I529" s="10">
        <v>45565</v>
      </c>
    </row>
    <row r="530" spans="1:9" x14ac:dyDescent="0.15">
      <c r="A530" s="9">
        <v>529</v>
      </c>
      <c r="B530" s="9" t="s">
        <v>9</v>
      </c>
      <c r="C530" s="9">
        <v>1918</v>
      </c>
      <c r="D530" s="10">
        <v>45663</v>
      </c>
      <c r="E530" s="13" t="str">
        <f>+HYPERLINK("http://trademark.i-assist.jp/data/china/image_1918th/81215861.pdf","81215861")</f>
        <v>81215861</v>
      </c>
      <c r="F530" s="9" t="s">
        <v>1521</v>
      </c>
      <c r="G530" s="9" t="s">
        <v>1522</v>
      </c>
      <c r="H530" s="9" t="s">
        <v>1523</v>
      </c>
      <c r="I530" s="10">
        <v>45565</v>
      </c>
    </row>
    <row r="531" spans="1:9" x14ac:dyDescent="0.15">
      <c r="A531" s="9">
        <v>530</v>
      </c>
      <c r="B531" s="9" t="s">
        <v>9</v>
      </c>
      <c r="C531" s="9">
        <v>1918</v>
      </c>
      <c r="D531" s="10">
        <v>45663</v>
      </c>
      <c r="E531" s="13" t="str">
        <f>+HYPERLINK("http://trademark.i-assist.jp/data/china/image_1918th/81215972.pdf","81215972")</f>
        <v>81215972</v>
      </c>
      <c r="F531" s="9" t="s">
        <v>1524</v>
      </c>
      <c r="G531" s="12" t="s">
        <v>1443</v>
      </c>
      <c r="H531" s="9" t="s">
        <v>1525</v>
      </c>
      <c r="I531" s="10">
        <v>45565</v>
      </c>
    </row>
    <row r="532" spans="1:9" x14ac:dyDescent="0.15">
      <c r="A532" s="9">
        <v>531</v>
      </c>
      <c r="B532" s="9" t="s">
        <v>9</v>
      </c>
      <c r="C532" s="9">
        <v>1918</v>
      </c>
      <c r="D532" s="10">
        <v>45663</v>
      </c>
      <c r="E532" s="13" t="str">
        <f>+HYPERLINK("http://trademark.i-assist.jp/data/china/image_1918th/81215979.pdf","81215979")</f>
        <v>81215979</v>
      </c>
      <c r="F532" s="9" t="s">
        <v>1526</v>
      </c>
      <c r="G532" s="12" t="s">
        <v>1443</v>
      </c>
      <c r="H532" s="9" t="s">
        <v>1527</v>
      </c>
      <c r="I532" s="10">
        <v>45565</v>
      </c>
    </row>
    <row r="533" spans="1:9" x14ac:dyDescent="0.15">
      <c r="A533" s="9">
        <v>532</v>
      </c>
      <c r="B533" s="9" t="s">
        <v>9</v>
      </c>
      <c r="C533" s="9">
        <v>1918</v>
      </c>
      <c r="D533" s="10">
        <v>45663</v>
      </c>
      <c r="E533" s="13" t="str">
        <f>+HYPERLINK("http://trademark.i-assist.jp/data/china/image_1918th/81216962.pdf","81216962")</f>
        <v>81216962</v>
      </c>
      <c r="F533" s="9" t="s">
        <v>1528</v>
      </c>
      <c r="G533" s="9" t="s">
        <v>1529</v>
      </c>
      <c r="H533" s="9" t="s">
        <v>1530</v>
      </c>
      <c r="I533" s="10">
        <v>45565</v>
      </c>
    </row>
    <row r="534" spans="1:9" x14ac:dyDescent="0.15">
      <c r="A534" s="9">
        <v>533</v>
      </c>
      <c r="B534" s="9" t="s">
        <v>9</v>
      </c>
      <c r="C534" s="9">
        <v>1918</v>
      </c>
      <c r="D534" s="10">
        <v>45663</v>
      </c>
      <c r="E534" s="13" t="str">
        <f>+HYPERLINK("http://trademark.i-assist.jp/data/china/image_1918th/81217132.pdf","81217132")</f>
        <v>81217132</v>
      </c>
      <c r="F534" s="12" t="s">
        <v>12</v>
      </c>
      <c r="G534" s="9" t="s">
        <v>1531</v>
      </c>
      <c r="H534" s="9" t="s">
        <v>1532</v>
      </c>
      <c r="I534" s="10">
        <v>45565</v>
      </c>
    </row>
    <row r="535" spans="1:9" x14ac:dyDescent="0.15">
      <c r="A535" s="9">
        <v>534</v>
      </c>
      <c r="B535" s="9" t="s">
        <v>9</v>
      </c>
      <c r="C535" s="9">
        <v>1918</v>
      </c>
      <c r="D535" s="10">
        <v>45663</v>
      </c>
      <c r="E535" s="13" t="str">
        <f>+HYPERLINK("http://trademark.i-assist.jp/data/china/image_1918th/81217633.pdf","81217633")</f>
        <v>81217633</v>
      </c>
      <c r="F535" s="9" t="s">
        <v>1533</v>
      </c>
      <c r="G535" s="9" t="s">
        <v>1516</v>
      </c>
      <c r="H535" s="9" t="s">
        <v>1534</v>
      </c>
      <c r="I535" s="10">
        <v>45565</v>
      </c>
    </row>
    <row r="536" spans="1:9" x14ac:dyDescent="0.15">
      <c r="A536" s="9">
        <v>535</v>
      </c>
      <c r="B536" s="9" t="s">
        <v>9</v>
      </c>
      <c r="C536" s="9">
        <v>1918</v>
      </c>
      <c r="D536" s="10">
        <v>45663</v>
      </c>
      <c r="E536" s="13" t="str">
        <f>+HYPERLINK("http://trademark.i-assist.jp/data/china/image_1918th/81218134.pdf","81218134")</f>
        <v>81218134</v>
      </c>
      <c r="F536" s="12" t="s">
        <v>12</v>
      </c>
      <c r="G536" s="9" t="s">
        <v>1535</v>
      </c>
      <c r="H536" s="9" t="s">
        <v>1536</v>
      </c>
      <c r="I536" s="10">
        <v>45565</v>
      </c>
    </row>
    <row r="537" spans="1:9" x14ac:dyDescent="0.15">
      <c r="A537" s="9">
        <v>536</v>
      </c>
      <c r="B537" s="9" t="s">
        <v>9</v>
      </c>
      <c r="C537" s="9">
        <v>1918</v>
      </c>
      <c r="D537" s="10">
        <v>45663</v>
      </c>
      <c r="E537" s="13" t="str">
        <f>+HYPERLINK("http://trademark.i-assist.jp/data/china/image_1918th/81218527.pdf","81218527")</f>
        <v>81218527</v>
      </c>
      <c r="F537" s="9" t="s">
        <v>1537</v>
      </c>
      <c r="G537" s="9" t="s">
        <v>1538</v>
      </c>
      <c r="H537" s="9" t="s">
        <v>1539</v>
      </c>
      <c r="I537" s="10">
        <v>45565</v>
      </c>
    </row>
    <row r="538" spans="1:9" x14ac:dyDescent="0.15">
      <c r="A538" s="9">
        <v>537</v>
      </c>
      <c r="B538" s="9" t="s">
        <v>9</v>
      </c>
      <c r="C538" s="9">
        <v>1918</v>
      </c>
      <c r="D538" s="10">
        <v>45663</v>
      </c>
      <c r="E538" s="13" t="str">
        <f>+HYPERLINK("http://trademark.i-assist.jp/data/china/image_1918th/81218744.pdf","81218744")</f>
        <v>81218744</v>
      </c>
      <c r="F538" s="9" t="s">
        <v>1540</v>
      </c>
      <c r="G538" s="9" t="s">
        <v>1541</v>
      </c>
      <c r="H538" s="9" t="s">
        <v>1542</v>
      </c>
      <c r="I538" s="10">
        <v>45565</v>
      </c>
    </row>
    <row r="539" spans="1:9" x14ac:dyDescent="0.15">
      <c r="A539" s="9">
        <v>538</v>
      </c>
      <c r="B539" s="9" t="s">
        <v>9</v>
      </c>
      <c r="C539" s="9">
        <v>1918</v>
      </c>
      <c r="D539" s="10">
        <v>45663</v>
      </c>
      <c r="E539" s="13" t="str">
        <f>+HYPERLINK("http://trademark.i-assist.jp/data/china/image_1918th/81218780.pdf","81218780")</f>
        <v>81218780</v>
      </c>
      <c r="F539" s="9" t="s">
        <v>1543</v>
      </c>
      <c r="G539" s="9" t="s">
        <v>290</v>
      </c>
      <c r="H539" s="9" t="s">
        <v>1544</v>
      </c>
      <c r="I539" s="10">
        <v>45565</v>
      </c>
    </row>
    <row r="540" spans="1:9" x14ac:dyDescent="0.15">
      <c r="A540" s="9">
        <v>539</v>
      </c>
      <c r="B540" s="9" t="s">
        <v>9</v>
      </c>
      <c r="C540" s="9">
        <v>1918</v>
      </c>
      <c r="D540" s="10">
        <v>45663</v>
      </c>
      <c r="E540" s="13" t="str">
        <f>+HYPERLINK("http://trademark.i-assist.jp/data/china/image_1918th/81218805.pdf","81218805")</f>
        <v>81218805</v>
      </c>
      <c r="F540" s="9" t="s">
        <v>1545</v>
      </c>
      <c r="G540" s="12" t="s">
        <v>1546</v>
      </c>
      <c r="H540" s="9" t="s">
        <v>1547</v>
      </c>
      <c r="I540" s="10">
        <v>45565</v>
      </c>
    </row>
    <row r="541" spans="1:9" x14ac:dyDescent="0.15">
      <c r="A541" s="9">
        <v>540</v>
      </c>
      <c r="B541" s="9" t="s">
        <v>9</v>
      </c>
      <c r="C541" s="9">
        <v>1918</v>
      </c>
      <c r="D541" s="10">
        <v>45663</v>
      </c>
      <c r="E541" s="13" t="str">
        <f>+HYPERLINK("http://trademark.i-assist.jp/data/china/image_1918th/81219724.pdf","81219724")</f>
        <v>81219724</v>
      </c>
      <c r="F541" s="9" t="s">
        <v>1548</v>
      </c>
      <c r="G541" s="9" t="s">
        <v>1549</v>
      </c>
      <c r="H541" s="9" t="s">
        <v>1550</v>
      </c>
      <c r="I541" s="10">
        <v>45565</v>
      </c>
    </row>
    <row r="542" spans="1:9" x14ac:dyDescent="0.15">
      <c r="A542" s="9">
        <v>541</v>
      </c>
      <c r="B542" s="9" t="s">
        <v>9</v>
      </c>
      <c r="C542" s="9">
        <v>1918</v>
      </c>
      <c r="D542" s="10">
        <v>45663</v>
      </c>
      <c r="E542" s="13" t="str">
        <f>+HYPERLINK("http://trademark.i-assist.jp/data/china/image_1918th/81219824.pdf","81219824")</f>
        <v>81219824</v>
      </c>
      <c r="F542" s="9" t="s">
        <v>1551</v>
      </c>
      <c r="G542" s="12" t="s">
        <v>1510</v>
      </c>
      <c r="H542" s="9" t="s">
        <v>1552</v>
      </c>
      <c r="I542" s="10">
        <v>45565</v>
      </c>
    </row>
    <row r="543" spans="1:9" x14ac:dyDescent="0.15">
      <c r="A543" s="9">
        <v>542</v>
      </c>
      <c r="B543" s="9" t="s">
        <v>9</v>
      </c>
      <c r="C543" s="9">
        <v>1918</v>
      </c>
      <c r="D543" s="10">
        <v>45663</v>
      </c>
      <c r="E543" s="13" t="str">
        <f>+HYPERLINK("http://trademark.i-assist.jp/data/china/image_1918th/81219961.pdf","81219961")</f>
        <v>81219961</v>
      </c>
      <c r="F543" s="9" t="s">
        <v>1553</v>
      </c>
      <c r="G543" s="9" t="s">
        <v>1554</v>
      </c>
      <c r="H543" s="12" t="s">
        <v>1555</v>
      </c>
      <c r="I543" s="10">
        <v>45565</v>
      </c>
    </row>
    <row r="544" spans="1:9" x14ac:dyDescent="0.15">
      <c r="A544" s="9">
        <v>543</v>
      </c>
      <c r="B544" s="9" t="s">
        <v>9</v>
      </c>
      <c r="C544" s="9">
        <v>1918</v>
      </c>
      <c r="D544" s="10">
        <v>45663</v>
      </c>
      <c r="E544" s="13" t="str">
        <f>+HYPERLINK("http://trademark.i-assist.jp/data/china/image_1918th/81220302.pdf","81220302")</f>
        <v>81220302</v>
      </c>
      <c r="F544" s="9" t="s">
        <v>1556</v>
      </c>
      <c r="G544" s="9" t="s">
        <v>1557</v>
      </c>
      <c r="H544" s="9" t="s">
        <v>1558</v>
      </c>
      <c r="I544" s="10">
        <v>45565</v>
      </c>
    </row>
    <row r="545" spans="1:9" x14ac:dyDescent="0.15">
      <c r="A545" s="9">
        <v>544</v>
      </c>
      <c r="B545" s="9" t="s">
        <v>9</v>
      </c>
      <c r="C545" s="9">
        <v>1918</v>
      </c>
      <c r="D545" s="10">
        <v>45663</v>
      </c>
      <c r="E545" s="13" t="str">
        <f>+HYPERLINK("http://trademark.i-assist.jp/data/china/image_1918th/81220348.pdf","81220348")</f>
        <v>81220348</v>
      </c>
      <c r="F545" s="12" t="s">
        <v>1559</v>
      </c>
      <c r="G545" s="12" t="s">
        <v>1560</v>
      </c>
      <c r="H545" s="12" t="s">
        <v>1561</v>
      </c>
      <c r="I545" s="10">
        <v>45565</v>
      </c>
    </row>
    <row r="546" spans="1:9" x14ac:dyDescent="0.15">
      <c r="A546" s="9">
        <v>545</v>
      </c>
      <c r="B546" s="9" t="s">
        <v>9</v>
      </c>
      <c r="C546" s="9">
        <v>1918</v>
      </c>
      <c r="D546" s="10">
        <v>45663</v>
      </c>
      <c r="E546" s="13" t="str">
        <f>+HYPERLINK("http://trademark.i-assist.jp/data/china/image_1918th/81221037.pdf","81221037")</f>
        <v>81221037</v>
      </c>
      <c r="F546" s="11" t="s">
        <v>1562</v>
      </c>
      <c r="G546" s="12" t="s">
        <v>1563</v>
      </c>
      <c r="H546" s="9" t="s">
        <v>1564</v>
      </c>
      <c r="I546" s="10">
        <v>45565</v>
      </c>
    </row>
    <row r="547" spans="1:9" x14ac:dyDescent="0.15">
      <c r="A547" s="9">
        <v>546</v>
      </c>
      <c r="B547" s="9" t="s">
        <v>9</v>
      </c>
      <c r="C547" s="9">
        <v>1918</v>
      </c>
      <c r="D547" s="10">
        <v>45663</v>
      </c>
      <c r="E547" s="13" t="str">
        <f>+HYPERLINK("http://trademark.i-assist.jp/data/china/image_1918th/81221599A.pdf","81221599A")</f>
        <v>81221599A</v>
      </c>
      <c r="F547" s="11" t="s">
        <v>1565</v>
      </c>
      <c r="G547" s="9" t="s">
        <v>61</v>
      </c>
      <c r="H547" s="9" t="s">
        <v>1566</v>
      </c>
      <c r="I547" s="10">
        <v>45565</v>
      </c>
    </row>
    <row r="548" spans="1:9" x14ac:dyDescent="0.15">
      <c r="A548" s="9">
        <v>547</v>
      </c>
      <c r="B548" s="9" t="s">
        <v>9</v>
      </c>
      <c r="C548" s="9">
        <v>1918</v>
      </c>
      <c r="D548" s="10">
        <v>45663</v>
      </c>
      <c r="E548" s="13" t="str">
        <f>+HYPERLINK("http://trademark.i-assist.jp/data/china/image_1918th/81221811.pdf","81221811")</f>
        <v>81221811</v>
      </c>
      <c r="F548" s="9" t="s">
        <v>1567</v>
      </c>
      <c r="G548" s="9" t="s">
        <v>63</v>
      </c>
      <c r="H548" s="9" t="s">
        <v>64</v>
      </c>
      <c r="I548" s="10">
        <v>45565</v>
      </c>
    </row>
    <row r="549" spans="1:9" x14ac:dyDescent="0.15">
      <c r="A549" s="9">
        <v>548</v>
      </c>
      <c r="B549" s="9" t="s">
        <v>9</v>
      </c>
      <c r="C549" s="9">
        <v>1918</v>
      </c>
      <c r="D549" s="10">
        <v>45663</v>
      </c>
      <c r="E549" s="13" t="str">
        <f>+HYPERLINK("http://trademark.i-assist.jp/data/china/image_1918th/81222622.pdf","81222622")</f>
        <v>81222622</v>
      </c>
      <c r="F549" s="9" t="s">
        <v>1568</v>
      </c>
      <c r="G549" s="9" t="s">
        <v>1569</v>
      </c>
      <c r="H549" s="9" t="s">
        <v>1570</v>
      </c>
      <c r="I549" s="10">
        <v>45565</v>
      </c>
    </row>
    <row r="550" spans="1:9" x14ac:dyDescent="0.15">
      <c r="A550" s="9">
        <v>549</v>
      </c>
      <c r="B550" s="9" t="s">
        <v>9</v>
      </c>
      <c r="C550" s="9">
        <v>1918</v>
      </c>
      <c r="D550" s="10">
        <v>45663</v>
      </c>
      <c r="E550" s="13" t="str">
        <f>+HYPERLINK("http://trademark.i-assist.jp/data/china/image_1918th/81222744.pdf","81222744")</f>
        <v>81222744</v>
      </c>
      <c r="F550" s="9" t="s">
        <v>1571</v>
      </c>
      <c r="G550" s="12" t="s">
        <v>1572</v>
      </c>
      <c r="H550" s="9" t="s">
        <v>1573</v>
      </c>
      <c r="I550" s="10">
        <v>45565</v>
      </c>
    </row>
    <row r="551" spans="1:9" x14ac:dyDescent="0.15">
      <c r="A551" s="9">
        <v>550</v>
      </c>
      <c r="B551" s="9" t="s">
        <v>9</v>
      </c>
      <c r="C551" s="9">
        <v>1918</v>
      </c>
      <c r="D551" s="10">
        <v>45663</v>
      </c>
      <c r="E551" s="13" t="str">
        <f>+HYPERLINK("http://trademark.i-assist.jp/data/china/image_1918th/81223133.pdf","81223133")</f>
        <v>81223133</v>
      </c>
      <c r="F551" s="12" t="s">
        <v>1574</v>
      </c>
      <c r="G551" s="9" t="s">
        <v>1501</v>
      </c>
      <c r="H551" s="12" t="s">
        <v>1575</v>
      </c>
      <c r="I551" s="10">
        <v>45565</v>
      </c>
    </row>
    <row r="552" spans="1:9" x14ac:dyDescent="0.15">
      <c r="A552" s="9">
        <v>551</v>
      </c>
      <c r="B552" s="9" t="s">
        <v>9</v>
      </c>
      <c r="C552" s="9">
        <v>1918</v>
      </c>
      <c r="D552" s="10">
        <v>45663</v>
      </c>
      <c r="E552" s="13" t="str">
        <f>+HYPERLINK("http://trademark.i-assist.jp/data/china/image_1918th/81223882.pdf","81223882")</f>
        <v>81223882</v>
      </c>
      <c r="F552" s="9" t="s">
        <v>1576</v>
      </c>
      <c r="G552" s="9" t="s">
        <v>1577</v>
      </c>
      <c r="H552" s="9" t="s">
        <v>1578</v>
      </c>
      <c r="I552" s="10">
        <v>45565</v>
      </c>
    </row>
    <row r="553" spans="1:9" x14ac:dyDescent="0.15">
      <c r="A553" s="9">
        <v>552</v>
      </c>
      <c r="B553" s="9" t="s">
        <v>9</v>
      </c>
      <c r="C553" s="9">
        <v>1918</v>
      </c>
      <c r="D553" s="10">
        <v>45663</v>
      </c>
      <c r="E553" s="13" t="str">
        <f>+HYPERLINK("http://trademark.i-assist.jp/data/china/image_1918th/81224172.pdf","81224172")</f>
        <v>81224172</v>
      </c>
      <c r="F553" s="12" t="s">
        <v>1579</v>
      </c>
      <c r="G553" s="9" t="s">
        <v>290</v>
      </c>
      <c r="H553" s="9" t="s">
        <v>1580</v>
      </c>
      <c r="I553" s="10">
        <v>45565</v>
      </c>
    </row>
    <row r="554" spans="1:9" x14ac:dyDescent="0.15">
      <c r="A554" s="9">
        <v>553</v>
      </c>
      <c r="B554" s="9" t="s">
        <v>9</v>
      </c>
      <c r="C554" s="9">
        <v>1918</v>
      </c>
      <c r="D554" s="10">
        <v>45663</v>
      </c>
      <c r="E554" s="13" t="str">
        <f>+HYPERLINK("http://trademark.i-assist.jp/data/china/image_1918th/81226306.pdf","81226306")</f>
        <v>81226306</v>
      </c>
      <c r="F554" s="12" t="s">
        <v>12</v>
      </c>
      <c r="G554" s="9" t="s">
        <v>1535</v>
      </c>
      <c r="H554" s="9" t="s">
        <v>1581</v>
      </c>
      <c r="I554" s="10">
        <v>45565</v>
      </c>
    </row>
    <row r="555" spans="1:9" x14ac:dyDescent="0.15">
      <c r="A555" s="9">
        <v>554</v>
      </c>
      <c r="B555" s="9" t="s">
        <v>9</v>
      </c>
      <c r="C555" s="9">
        <v>1918</v>
      </c>
      <c r="D555" s="10">
        <v>45663</v>
      </c>
      <c r="E555" s="13" t="str">
        <f>+HYPERLINK("http://trademark.i-assist.jp/data/china/image_1918th/81226318.pdf","81226318")</f>
        <v>81226318</v>
      </c>
      <c r="F555" s="9" t="s">
        <v>1582</v>
      </c>
      <c r="G555" s="9" t="s">
        <v>1583</v>
      </c>
      <c r="H555" s="9" t="s">
        <v>1584</v>
      </c>
      <c r="I555" s="10">
        <v>45565</v>
      </c>
    </row>
    <row r="556" spans="1:9" x14ac:dyDescent="0.15">
      <c r="A556" s="9">
        <v>555</v>
      </c>
      <c r="B556" s="9" t="s">
        <v>9</v>
      </c>
      <c r="C556" s="9">
        <v>1918</v>
      </c>
      <c r="D556" s="10">
        <v>45663</v>
      </c>
      <c r="E556" s="13" t="str">
        <f>+HYPERLINK("http://trademark.i-assist.jp/data/china/image_1918th/81226610.pdf","81226610")</f>
        <v>81226610</v>
      </c>
      <c r="F556" s="9" t="s">
        <v>62</v>
      </c>
      <c r="G556" s="12" t="s">
        <v>1585</v>
      </c>
      <c r="H556" s="9" t="s">
        <v>1586</v>
      </c>
      <c r="I556" s="10">
        <v>45565</v>
      </c>
    </row>
    <row r="557" spans="1:9" x14ac:dyDescent="0.15">
      <c r="A557" s="9">
        <v>556</v>
      </c>
      <c r="B557" s="9" t="s">
        <v>9</v>
      </c>
      <c r="C557" s="9">
        <v>1918</v>
      </c>
      <c r="D557" s="10">
        <v>45663</v>
      </c>
      <c r="E557" s="13" t="str">
        <f>+HYPERLINK("http://trademark.i-assist.jp/data/china/image_1918th/81226728.pdf","81226728")</f>
        <v>81226728</v>
      </c>
      <c r="F557" s="9" t="s">
        <v>1587</v>
      </c>
      <c r="G557" s="9" t="s">
        <v>1588</v>
      </c>
      <c r="H557" s="9" t="s">
        <v>1589</v>
      </c>
      <c r="I557" s="10">
        <v>45565</v>
      </c>
    </row>
    <row r="558" spans="1:9" x14ac:dyDescent="0.15">
      <c r="A558" s="9">
        <v>557</v>
      </c>
      <c r="B558" s="9" t="s">
        <v>9</v>
      </c>
      <c r="C558" s="9">
        <v>1918</v>
      </c>
      <c r="D558" s="10">
        <v>45663</v>
      </c>
      <c r="E558" s="13" t="str">
        <f>+HYPERLINK("http://trademark.i-assist.jp/data/china/image_1918th/81226825.pdf","81226825")</f>
        <v>81226825</v>
      </c>
      <c r="F558" s="9" t="s">
        <v>1590</v>
      </c>
      <c r="G558" s="12" t="s">
        <v>1454</v>
      </c>
      <c r="H558" s="12" t="s">
        <v>1591</v>
      </c>
      <c r="I558" s="10">
        <v>45565</v>
      </c>
    </row>
    <row r="559" spans="1:9" x14ac:dyDescent="0.15">
      <c r="A559" s="9">
        <v>558</v>
      </c>
      <c r="B559" s="9" t="s">
        <v>9</v>
      </c>
      <c r="C559" s="9">
        <v>1918</v>
      </c>
      <c r="D559" s="10">
        <v>45663</v>
      </c>
      <c r="E559" s="13" t="str">
        <f>+HYPERLINK("http://trademark.i-assist.jp/data/china/image_1918th/81227342.pdf","81227342")</f>
        <v>81227342</v>
      </c>
      <c r="F559" s="9" t="s">
        <v>1592</v>
      </c>
      <c r="G559" s="9" t="s">
        <v>1593</v>
      </c>
      <c r="H559" s="9" t="s">
        <v>1594</v>
      </c>
      <c r="I559" s="10">
        <v>45565</v>
      </c>
    </row>
    <row r="560" spans="1:9" x14ac:dyDescent="0.15">
      <c r="A560" s="9">
        <v>559</v>
      </c>
      <c r="B560" s="9" t="s">
        <v>9</v>
      </c>
      <c r="C560" s="9">
        <v>1918</v>
      </c>
      <c r="D560" s="10">
        <v>45663</v>
      </c>
      <c r="E560" s="13" t="str">
        <f>+HYPERLINK("http://trademark.i-assist.jp/data/china/image_1918th/81227411.pdf","81227411")</f>
        <v>81227411</v>
      </c>
      <c r="F560" s="9" t="s">
        <v>1595</v>
      </c>
      <c r="G560" s="9" t="s">
        <v>1498</v>
      </c>
      <c r="H560" s="9" t="s">
        <v>1596</v>
      </c>
      <c r="I560" s="10">
        <v>45565</v>
      </c>
    </row>
    <row r="561" spans="1:9" x14ac:dyDescent="0.15">
      <c r="A561" s="9">
        <v>560</v>
      </c>
      <c r="B561" s="9" t="s">
        <v>9</v>
      </c>
      <c r="C561" s="9">
        <v>1918</v>
      </c>
      <c r="D561" s="10">
        <v>45663</v>
      </c>
      <c r="E561" s="13" t="str">
        <f>+HYPERLINK("http://trademark.i-assist.jp/data/china/image_1918th/81228415.pdf","81228415")</f>
        <v>81228415</v>
      </c>
      <c r="F561" s="12" t="s">
        <v>12</v>
      </c>
      <c r="G561" s="12" t="s">
        <v>68</v>
      </c>
      <c r="H561" s="9" t="s">
        <v>1597</v>
      </c>
      <c r="I561" s="10">
        <v>45565</v>
      </c>
    </row>
    <row r="562" spans="1:9" x14ac:dyDescent="0.15">
      <c r="A562" s="9">
        <v>561</v>
      </c>
      <c r="B562" s="9" t="s">
        <v>9</v>
      </c>
      <c r="C562" s="9">
        <v>1918</v>
      </c>
      <c r="D562" s="10">
        <v>45663</v>
      </c>
      <c r="E562" s="13" t="str">
        <f>+HYPERLINK("http://trademark.i-assist.jp/data/china/image_1918th/81229492.pdf","81229492")</f>
        <v>81229492</v>
      </c>
      <c r="F562" s="9" t="s">
        <v>1598</v>
      </c>
      <c r="G562" s="12" t="s">
        <v>1454</v>
      </c>
      <c r="H562" s="12" t="s">
        <v>1599</v>
      </c>
      <c r="I562" s="10">
        <v>45565</v>
      </c>
    </row>
    <row r="563" spans="1:9" x14ac:dyDescent="0.15">
      <c r="A563" s="9">
        <v>562</v>
      </c>
      <c r="B563" s="9" t="s">
        <v>9</v>
      </c>
      <c r="C563" s="9">
        <v>1918</v>
      </c>
      <c r="D563" s="10">
        <v>45663</v>
      </c>
      <c r="E563" s="13" t="str">
        <f>+HYPERLINK("http://trademark.i-assist.jp/data/china/image_1918th/81229637.pdf","81229637")</f>
        <v>81229637</v>
      </c>
      <c r="F563" s="9" t="s">
        <v>1600</v>
      </c>
      <c r="G563" s="9" t="s">
        <v>1601</v>
      </c>
      <c r="H563" s="9" t="s">
        <v>1602</v>
      </c>
      <c r="I563" s="10">
        <v>45565</v>
      </c>
    </row>
    <row r="564" spans="1:9" x14ac:dyDescent="0.15">
      <c r="A564" s="9">
        <v>563</v>
      </c>
      <c r="B564" s="9" t="s">
        <v>9</v>
      </c>
      <c r="C564" s="9">
        <v>1918</v>
      </c>
      <c r="D564" s="10">
        <v>45663</v>
      </c>
      <c r="E564" s="13" t="str">
        <f>+HYPERLINK("http://trademark.i-assist.jp/data/china/image_1918th/81230267.pdf","81230267")</f>
        <v>81230267</v>
      </c>
      <c r="F564" s="12" t="s">
        <v>12</v>
      </c>
      <c r="G564" s="9" t="s">
        <v>1603</v>
      </c>
      <c r="H564" s="9" t="s">
        <v>1604</v>
      </c>
      <c r="I564" s="10">
        <v>45565</v>
      </c>
    </row>
    <row r="565" spans="1:9" x14ac:dyDescent="0.15">
      <c r="A565" s="9">
        <v>564</v>
      </c>
      <c r="B565" s="9" t="s">
        <v>9</v>
      </c>
      <c r="C565" s="9">
        <v>1918</v>
      </c>
      <c r="D565" s="10">
        <v>45663</v>
      </c>
      <c r="E565" s="13" t="str">
        <f>+HYPERLINK("http://trademark.i-assist.jp/data/china/image_1918th/81230573.pdf","81230573")</f>
        <v>81230573</v>
      </c>
      <c r="F565" s="9" t="s">
        <v>1605</v>
      </c>
      <c r="G565" s="9" t="s">
        <v>1498</v>
      </c>
      <c r="H565" s="9" t="s">
        <v>1606</v>
      </c>
      <c r="I565" s="10">
        <v>45565</v>
      </c>
    </row>
    <row r="566" spans="1:9" x14ac:dyDescent="0.15">
      <c r="A566" s="9">
        <v>565</v>
      </c>
      <c r="B566" s="9" t="s">
        <v>9</v>
      </c>
      <c r="C566" s="9">
        <v>1918</v>
      </c>
      <c r="D566" s="10">
        <v>45663</v>
      </c>
      <c r="E566" s="13" t="str">
        <f>+HYPERLINK("http://trademark.i-assist.jp/data/china/image_1918th/81231180.pdf","81231180")</f>
        <v>81231180</v>
      </c>
      <c r="F566" s="9" t="s">
        <v>1607</v>
      </c>
      <c r="G566" s="9" t="s">
        <v>1608</v>
      </c>
      <c r="H566" s="9" t="s">
        <v>1609</v>
      </c>
      <c r="I566" s="10">
        <v>45565</v>
      </c>
    </row>
    <row r="567" spans="1:9" x14ac:dyDescent="0.15">
      <c r="A567" s="9">
        <v>566</v>
      </c>
      <c r="B567" s="9" t="s">
        <v>9</v>
      </c>
      <c r="C567" s="9">
        <v>1918</v>
      </c>
      <c r="D567" s="10">
        <v>45663</v>
      </c>
      <c r="E567" s="13" t="str">
        <f>+HYPERLINK("http://trademark.i-assist.jp/data/china/image_1918th/81232055.pdf","81232055")</f>
        <v>81232055</v>
      </c>
      <c r="F567" s="9" t="s">
        <v>1610</v>
      </c>
      <c r="G567" s="12" t="s">
        <v>1611</v>
      </c>
      <c r="H567" s="9" t="s">
        <v>1612</v>
      </c>
      <c r="I567" s="10">
        <v>45565</v>
      </c>
    </row>
    <row r="568" spans="1:9" x14ac:dyDescent="0.15">
      <c r="A568" s="9">
        <v>567</v>
      </c>
      <c r="B568" s="9" t="s">
        <v>9</v>
      </c>
      <c r="C568" s="9">
        <v>1918</v>
      </c>
      <c r="D568" s="10">
        <v>45663</v>
      </c>
      <c r="E568" s="13" t="str">
        <f>+HYPERLINK("http://trademark.i-assist.jp/data/china/image_1918th/81232616.pdf","81232616")</f>
        <v>81232616</v>
      </c>
      <c r="F568" s="12" t="s">
        <v>1613</v>
      </c>
      <c r="G568" s="9" t="s">
        <v>1614</v>
      </c>
      <c r="H568" s="9" t="s">
        <v>1615</v>
      </c>
      <c r="I568" s="10">
        <v>45565</v>
      </c>
    </row>
    <row r="569" spans="1:9" x14ac:dyDescent="0.15">
      <c r="A569" s="9">
        <v>568</v>
      </c>
      <c r="B569" s="9" t="s">
        <v>9</v>
      </c>
      <c r="C569" s="9">
        <v>1918</v>
      </c>
      <c r="D569" s="10">
        <v>45663</v>
      </c>
      <c r="E569" s="13" t="str">
        <f>+HYPERLINK("http://trademark.i-assist.jp/data/china/image_1918th/81232680.pdf","81232680")</f>
        <v>81232680</v>
      </c>
      <c r="F569" s="9" t="s">
        <v>1616</v>
      </c>
      <c r="G569" s="9" t="s">
        <v>1617</v>
      </c>
      <c r="H569" s="9" t="s">
        <v>1618</v>
      </c>
      <c r="I569" s="10">
        <v>45565</v>
      </c>
    </row>
    <row r="570" spans="1:9" x14ac:dyDescent="0.15">
      <c r="A570" s="9">
        <v>569</v>
      </c>
      <c r="B570" s="9" t="s">
        <v>9</v>
      </c>
      <c r="C570" s="9">
        <v>1918</v>
      </c>
      <c r="D570" s="10">
        <v>45663</v>
      </c>
      <c r="E570" s="13" t="str">
        <f>+HYPERLINK("http://trademark.i-assist.jp/data/china/image_1918th/81232774.pdf","81232774")</f>
        <v>81232774</v>
      </c>
      <c r="F570" s="12" t="s">
        <v>1619</v>
      </c>
      <c r="G570" s="9" t="s">
        <v>1620</v>
      </c>
      <c r="H570" s="9" t="s">
        <v>1621</v>
      </c>
      <c r="I570" s="10">
        <v>45565</v>
      </c>
    </row>
    <row r="571" spans="1:9" x14ac:dyDescent="0.15">
      <c r="A571" s="9">
        <v>570</v>
      </c>
      <c r="B571" s="9" t="s">
        <v>9</v>
      </c>
      <c r="C571" s="9">
        <v>1918</v>
      </c>
      <c r="D571" s="10">
        <v>45663</v>
      </c>
      <c r="E571" s="13" t="str">
        <f>+HYPERLINK("http://trademark.i-assist.jp/data/china/image_1918th/81232871.pdf","81232871")</f>
        <v>81232871</v>
      </c>
      <c r="F571" s="12" t="s">
        <v>1622</v>
      </c>
      <c r="G571" s="12" t="s">
        <v>1623</v>
      </c>
      <c r="H571" s="9" t="s">
        <v>1624</v>
      </c>
      <c r="I571" s="10">
        <v>45565</v>
      </c>
    </row>
    <row r="572" spans="1:9" x14ac:dyDescent="0.15">
      <c r="A572" s="9">
        <v>571</v>
      </c>
      <c r="B572" s="9" t="s">
        <v>9</v>
      </c>
      <c r="C572" s="9">
        <v>1918</v>
      </c>
      <c r="D572" s="10">
        <v>45663</v>
      </c>
      <c r="E572" s="13" t="str">
        <f>+HYPERLINK("http://trademark.i-assist.jp/data/china/image_1918th/81233134.pdf","81233134")</f>
        <v>81233134</v>
      </c>
      <c r="F572" s="12" t="s">
        <v>12</v>
      </c>
      <c r="G572" s="12" t="s">
        <v>1625</v>
      </c>
      <c r="H572" s="9" t="s">
        <v>1626</v>
      </c>
      <c r="I572" s="10">
        <v>45565</v>
      </c>
    </row>
    <row r="573" spans="1:9" x14ac:dyDescent="0.15">
      <c r="A573" s="9">
        <v>572</v>
      </c>
      <c r="B573" s="9" t="s">
        <v>9</v>
      </c>
      <c r="C573" s="9">
        <v>1918</v>
      </c>
      <c r="D573" s="10">
        <v>45663</v>
      </c>
      <c r="E573" s="13" t="str">
        <f>+HYPERLINK("http://trademark.i-assist.jp/data/china/image_1918th/81233678.pdf","81233678")</f>
        <v>81233678</v>
      </c>
      <c r="F573" s="9" t="s">
        <v>1627</v>
      </c>
      <c r="G573" s="12" t="s">
        <v>1513</v>
      </c>
      <c r="H573" s="9" t="s">
        <v>1628</v>
      </c>
      <c r="I573" s="10">
        <v>45565</v>
      </c>
    </row>
    <row r="574" spans="1:9" x14ac:dyDescent="0.15">
      <c r="A574" s="9">
        <v>573</v>
      </c>
      <c r="B574" s="9" t="s">
        <v>9</v>
      </c>
      <c r="C574" s="9">
        <v>1918</v>
      </c>
      <c r="D574" s="10">
        <v>45663</v>
      </c>
      <c r="E574" s="13" t="str">
        <f>+HYPERLINK("http://trademark.i-assist.jp/data/china/image_1918th/81234219.pdf","81234219")</f>
        <v>81234219</v>
      </c>
      <c r="F574" s="9" t="s">
        <v>1629</v>
      </c>
      <c r="G574" s="12" t="s">
        <v>1630</v>
      </c>
      <c r="H574" s="9" t="s">
        <v>1631</v>
      </c>
      <c r="I574" s="10">
        <v>45573</v>
      </c>
    </row>
    <row r="575" spans="1:9" x14ac:dyDescent="0.15">
      <c r="A575" s="9">
        <v>574</v>
      </c>
      <c r="B575" s="9" t="s">
        <v>9</v>
      </c>
      <c r="C575" s="9">
        <v>1918</v>
      </c>
      <c r="D575" s="10">
        <v>45663</v>
      </c>
      <c r="E575" s="13" t="str">
        <f>+HYPERLINK("http://trademark.i-assist.jp/data/china/image_1918th/81234225.pdf","81234225")</f>
        <v>81234225</v>
      </c>
      <c r="F575" s="12" t="s">
        <v>1632</v>
      </c>
      <c r="G575" s="9" t="s">
        <v>1633</v>
      </c>
      <c r="H575" s="12" t="s">
        <v>1634</v>
      </c>
      <c r="I575" s="10">
        <v>45573</v>
      </c>
    </row>
    <row r="576" spans="1:9" x14ac:dyDescent="0.15">
      <c r="A576" s="9">
        <v>575</v>
      </c>
      <c r="B576" s="9" t="s">
        <v>9</v>
      </c>
      <c r="C576" s="9">
        <v>1918</v>
      </c>
      <c r="D576" s="10">
        <v>45663</v>
      </c>
      <c r="E576" s="13" t="str">
        <f>+HYPERLINK("http://trademark.i-assist.jp/data/china/image_1918th/81234753.pdf","81234753")</f>
        <v>81234753</v>
      </c>
      <c r="F576" s="9" t="s">
        <v>1635</v>
      </c>
      <c r="G576" s="9" t="s">
        <v>16</v>
      </c>
      <c r="H576" s="9" t="s">
        <v>1636</v>
      </c>
      <c r="I576" s="10">
        <v>45573</v>
      </c>
    </row>
    <row r="577" spans="1:9" x14ac:dyDescent="0.15">
      <c r="A577" s="9">
        <v>576</v>
      </c>
      <c r="B577" s="9" t="s">
        <v>9</v>
      </c>
      <c r="C577" s="9">
        <v>1918</v>
      </c>
      <c r="D577" s="10">
        <v>45663</v>
      </c>
      <c r="E577" s="13" t="str">
        <f>+HYPERLINK("http://trademark.i-assist.jp/data/china/image_1918th/81234760.pdf","81234760")</f>
        <v>81234760</v>
      </c>
      <c r="F577" s="9" t="s">
        <v>1637</v>
      </c>
      <c r="G577" s="9" t="s">
        <v>1638</v>
      </c>
      <c r="H577" s="9" t="s">
        <v>1639</v>
      </c>
      <c r="I577" s="10">
        <v>45573</v>
      </c>
    </row>
    <row r="578" spans="1:9" x14ac:dyDescent="0.15">
      <c r="A578" s="9">
        <v>577</v>
      </c>
      <c r="B578" s="9" t="s">
        <v>9</v>
      </c>
      <c r="C578" s="9">
        <v>1918</v>
      </c>
      <c r="D578" s="10">
        <v>45663</v>
      </c>
      <c r="E578" s="13" t="str">
        <f>+HYPERLINK("http://trademark.i-assist.jp/data/china/image_1918th/81234966.pdf","81234966")</f>
        <v>81234966</v>
      </c>
      <c r="F578" s="9" t="s">
        <v>1640</v>
      </c>
      <c r="G578" s="12" t="s">
        <v>1641</v>
      </c>
      <c r="H578" s="9" t="s">
        <v>1642</v>
      </c>
      <c r="I578" s="10">
        <v>45573</v>
      </c>
    </row>
    <row r="579" spans="1:9" x14ac:dyDescent="0.15">
      <c r="A579" s="9">
        <v>578</v>
      </c>
      <c r="B579" s="9" t="s">
        <v>9</v>
      </c>
      <c r="C579" s="9">
        <v>1918</v>
      </c>
      <c r="D579" s="10">
        <v>45663</v>
      </c>
      <c r="E579" s="13" t="str">
        <f>+HYPERLINK("http://trademark.i-assist.jp/data/china/image_1918th/81235079.pdf","81235079")</f>
        <v>81235079</v>
      </c>
      <c r="F579" s="9" t="s">
        <v>1643</v>
      </c>
      <c r="G579" s="9" t="s">
        <v>1644</v>
      </c>
      <c r="H579" s="9" t="s">
        <v>1645</v>
      </c>
      <c r="I579" s="10">
        <v>45573</v>
      </c>
    </row>
    <row r="580" spans="1:9" x14ac:dyDescent="0.15">
      <c r="A580" s="9">
        <v>579</v>
      </c>
      <c r="B580" s="9" t="s">
        <v>9</v>
      </c>
      <c r="C580" s="9">
        <v>1918</v>
      </c>
      <c r="D580" s="10">
        <v>45663</v>
      </c>
      <c r="E580" s="13" t="str">
        <f>+HYPERLINK("http://trademark.i-assist.jp/data/china/image_1918th/81235408.pdf","81235408")</f>
        <v>81235408</v>
      </c>
      <c r="F580" s="9" t="s">
        <v>1646</v>
      </c>
      <c r="G580" s="12" t="s">
        <v>1647</v>
      </c>
      <c r="H580" s="9" t="s">
        <v>1648</v>
      </c>
      <c r="I580" s="10">
        <v>45573</v>
      </c>
    </row>
    <row r="581" spans="1:9" x14ac:dyDescent="0.15">
      <c r="A581" s="9">
        <v>580</v>
      </c>
      <c r="B581" s="9" t="s">
        <v>9</v>
      </c>
      <c r="C581" s="9">
        <v>1918</v>
      </c>
      <c r="D581" s="10">
        <v>45663</v>
      </c>
      <c r="E581" s="13" t="str">
        <f>+HYPERLINK("http://trademark.i-assist.jp/data/china/image_1918th/81235530.pdf","81235530")</f>
        <v>81235530</v>
      </c>
      <c r="F581" s="9" t="s">
        <v>1649</v>
      </c>
      <c r="G581" s="9" t="s">
        <v>16</v>
      </c>
      <c r="H581" s="9" t="s">
        <v>1650</v>
      </c>
      <c r="I581" s="10">
        <v>45573</v>
      </c>
    </row>
    <row r="582" spans="1:9" x14ac:dyDescent="0.15">
      <c r="A582" s="9">
        <v>581</v>
      </c>
      <c r="B582" s="9" t="s">
        <v>9</v>
      </c>
      <c r="C582" s="9">
        <v>1918</v>
      </c>
      <c r="D582" s="10">
        <v>45663</v>
      </c>
      <c r="E582" s="13" t="str">
        <f>+HYPERLINK("http://trademark.i-assist.jp/data/china/image_1918th/81236386.pdf","81236386")</f>
        <v>81236386</v>
      </c>
      <c r="F582" s="9" t="s">
        <v>1651</v>
      </c>
      <c r="G582" s="12" t="s">
        <v>1652</v>
      </c>
      <c r="H582" s="9" t="s">
        <v>1653</v>
      </c>
      <c r="I582" s="10">
        <v>45573</v>
      </c>
    </row>
    <row r="583" spans="1:9" x14ac:dyDescent="0.15">
      <c r="A583" s="9">
        <v>582</v>
      </c>
      <c r="B583" s="9" t="s">
        <v>9</v>
      </c>
      <c r="C583" s="9">
        <v>1918</v>
      </c>
      <c r="D583" s="10">
        <v>45663</v>
      </c>
      <c r="E583" s="13" t="str">
        <f>+HYPERLINK("http://trademark.i-assist.jp/data/china/image_1918th/81237042.pdf","81237042")</f>
        <v>81237042</v>
      </c>
      <c r="F583" s="9" t="s">
        <v>1654</v>
      </c>
      <c r="G583" s="9" t="s">
        <v>1655</v>
      </c>
      <c r="H583" s="9" t="s">
        <v>1656</v>
      </c>
      <c r="I583" s="10">
        <v>45573</v>
      </c>
    </row>
    <row r="584" spans="1:9" x14ac:dyDescent="0.15">
      <c r="A584" s="9">
        <v>583</v>
      </c>
      <c r="B584" s="9" t="s">
        <v>9</v>
      </c>
      <c r="C584" s="9">
        <v>1918</v>
      </c>
      <c r="D584" s="10">
        <v>45663</v>
      </c>
      <c r="E584" s="13" t="str">
        <f>+HYPERLINK("http://trademark.i-assist.jp/data/china/image_1918th/81237219.pdf","81237219")</f>
        <v>81237219</v>
      </c>
      <c r="F584" s="12" t="s">
        <v>1657</v>
      </c>
      <c r="G584" s="12" t="s">
        <v>1657</v>
      </c>
      <c r="H584" s="9" t="s">
        <v>1658</v>
      </c>
      <c r="I584" s="10">
        <v>45573</v>
      </c>
    </row>
    <row r="585" spans="1:9" x14ac:dyDescent="0.15">
      <c r="A585" s="9">
        <v>584</v>
      </c>
      <c r="B585" s="9" t="s">
        <v>9</v>
      </c>
      <c r="C585" s="9">
        <v>1918</v>
      </c>
      <c r="D585" s="10">
        <v>45663</v>
      </c>
      <c r="E585" s="13" t="str">
        <f>+HYPERLINK("http://trademark.i-assist.jp/data/china/image_1918th/81238164.pdf","81238164")</f>
        <v>81238164</v>
      </c>
      <c r="F585" s="9" t="s">
        <v>1659</v>
      </c>
      <c r="G585" s="12" t="s">
        <v>1660</v>
      </c>
      <c r="H585" s="9" t="s">
        <v>1661</v>
      </c>
      <c r="I585" s="10">
        <v>45573</v>
      </c>
    </row>
    <row r="586" spans="1:9" x14ac:dyDescent="0.15">
      <c r="A586" s="9">
        <v>585</v>
      </c>
      <c r="B586" s="9" t="s">
        <v>9</v>
      </c>
      <c r="C586" s="9">
        <v>1918</v>
      </c>
      <c r="D586" s="10">
        <v>45663</v>
      </c>
      <c r="E586" s="13" t="str">
        <f>+HYPERLINK("http://trademark.i-assist.jp/data/china/image_1918th/81238743.pdf","81238743")</f>
        <v>81238743</v>
      </c>
      <c r="F586" s="9" t="s">
        <v>1662</v>
      </c>
      <c r="G586" s="12" t="s">
        <v>1663</v>
      </c>
      <c r="H586" s="9" t="s">
        <v>1664</v>
      </c>
      <c r="I586" s="10">
        <v>45573</v>
      </c>
    </row>
    <row r="587" spans="1:9" x14ac:dyDescent="0.15">
      <c r="A587" s="9">
        <v>586</v>
      </c>
      <c r="B587" s="9" t="s">
        <v>9</v>
      </c>
      <c r="C587" s="9">
        <v>1918</v>
      </c>
      <c r="D587" s="10">
        <v>45663</v>
      </c>
      <c r="E587" s="13" t="str">
        <f>+HYPERLINK("http://trademark.i-assist.jp/data/china/image_1918th/81239011.pdf","81239011")</f>
        <v>81239011</v>
      </c>
      <c r="F587" s="12" t="s">
        <v>1665</v>
      </c>
      <c r="G587" s="9" t="s">
        <v>1666</v>
      </c>
      <c r="H587" s="9" t="s">
        <v>1667</v>
      </c>
      <c r="I587" s="10">
        <v>45573</v>
      </c>
    </row>
    <row r="588" spans="1:9" x14ac:dyDescent="0.15">
      <c r="A588" s="9">
        <v>587</v>
      </c>
      <c r="B588" s="9" t="s">
        <v>9</v>
      </c>
      <c r="C588" s="9">
        <v>1918</v>
      </c>
      <c r="D588" s="10">
        <v>45663</v>
      </c>
      <c r="E588" s="13" t="str">
        <f>+HYPERLINK("http://trademark.i-assist.jp/data/china/image_1918th/81239302.pdf","81239302")</f>
        <v>81239302</v>
      </c>
      <c r="F588" s="9" t="s">
        <v>1668</v>
      </c>
      <c r="G588" s="9" t="s">
        <v>1666</v>
      </c>
      <c r="H588" s="9" t="s">
        <v>1669</v>
      </c>
      <c r="I588" s="10">
        <v>45573</v>
      </c>
    </row>
    <row r="589" spans="1:9" x14ac:dyDescent="0.15">
      <c r="A589" s="9">
        <v>588</v>
      </c>
      <c r="B589" s="9" t="s">
        <v>9</v>
      </c>
      <c r="C589" s="9">
        <v>1918</v>
      </c>
      <c r="D589" s="10">
        <v>45663</v>
      </c>
      <c r="E589" s="13" t="str">
        <f>+HYPERLINK("http://trademark.i-assist.jp/data/china/image_1918th/81240051.pdf","81240051")</f>
        <v>81240051</v>
      </c>
      <c r="F589" s="9" t="s">
        <v>1670</v>
      </c>
      <c r="G589" s="9" t="s">
        <v>1638</v>
      </c>
      <c r="H589" s="12" t="s">
        <v>1671</v>
      </c>
      <c r="I589" s="10">
        <v>45573</v>
      </c>
    </row>
    <row r="590" spans="1:9" x14ac:dyDescent="0.15">
      <c r="A590" s="9">
        <v>589</v>
      </c>
      <c r="B590" s="9" t="s">
        <v>9</v>
      </c>
      <c r="C590" s="9">
        <v>1918</v>
      </c>
      <c r="D590" s="10">
        <v>45663</v>
      </c>
      <c r="E590" s="13" t="str">
        <f>+HYPERLINK("http://trademark.i-assist.jp/data/china/image_1918th/81241024.pdf","81241024")</f>
        <v>81241024</v>
      </c>
      <c r="F590" s="9" t="s">
        <v>1672</v>
      </c>
      <c r="G590" s="9" t="s">
        <v>1673</v>
      </c>
      <c r="H590" s="9" t="s">
        <v>1674</v>
      </c>
      <c r="I590" s="10">
        <v>45573</v>
      </c>
    </row>
    <row r="591" spans="1:9" x14ac:dyDescent="0.15">
      <c r="A591" s="9">
        <v>590</v>
      </c>
      <c r="B591" s="9" t="s">
        <v>9</v>
      </c>
      <c r="C591" s="9">
        <v>1918</v>
      </c>
      <c r="D591" s="10">
        <v>45663</v>
      </c>
      <c r="E591" s="13" t="str">
        <f>+HYPERLINK("http://trademark.i-assist.jp/data/china/image_1918th/81241173.pdf","81241173")</f>
        <v>81241173</v>
      </c>
      <c r="F591" s="9" t="s">
        <v>1675</v>
      </c>
      <c r="G591" s="9" t="s">
        <v>1676</v>
      </c>
      <c r="H591" s="9" t="s">
        <v>1677</v>
      </c>
      <c r="I591" s="10">
        <v>45573</v>
      </c>
    </row>
    <row r="592" spans="1:9" x14ac:dyDescent="0.15">
      <c r="A592" s="9">
        <v>591</v>
      </c>
      <c r="B592" s="9" t="s">
        <v>9</v>
      </c>
      <c r="C592" s="9">
        <v>1918</v>
      </c>
      <c r="D592" s="10">
        <v>45663</v>
      </c>
      <c r="E592" s="13" t="str">
        <f>+HYPERLINK("http://trademark.i-assist.jp/data/china/image_1918th/81241271.pdf","81241271")</f>
        <v>81241271</v>
      </c>
      <c r="F592" s="9" t="s">
        <v>1678</v>
      </c>
      <c r="G592" s="12" t="s">
        <v>1679</v>
      </c>
      <c r="H592" s="9" t="s">
        <v>1680</v>
      </c>
      <c r="I592" s="10">
        <v>45573</v>
      </c>
    </row>
    <row r="593" spans="1:9" x14ac:dyDescent="0.15">
      <c r="A593" s="9">
        <v>592</v>
      </c>
      <c r="B593" s="9" t="s">
        <v>9</v>
      </c>
      <c r="C593" s="9">
        <v>1918</v>
      </c>
      <c r="D593" s="10">
        <v>45663</v>
      </c>
      <c r="E593" s="13" t="str">
        <f>+HYPERLINK("http://trademark.i-assist.jp/data/china/image_1918th/81241383.pdf","81241383")</f>
        <v>81241383</v>
      </c>
      <c r="F593" s="12" t="s">
        <v>12</v>
      </c>
      <c r="G593" s="9" t="s">
        <v>1681</v>
      </c>
      <c r="H593" s="9" t="s">
        <v>1682</v>
      </c>
      <c r="I593" s="10">
        <v>45573</v>
      </c>
    </row>
    <row r="594" spans="1:9" x14ac:dyDescent="0.15">
      <c r="A594" s="9">
        <v>593</v>
      </c>
      <c r="B594" s="9" t="s">
        <v>9</v>
      </c>
      <c r="C594" s="9">
        <v>1918</v>
      </c>
      <c r="D594" s="10">
        <v>45663</v>
      </c>
      <c r="E594" s="13" t="str">
        <f>+HYPERLINK("http://trademark.i-assist.jp/data/china/image_1918th/81241445.pdf","81241445")</f>
        <v>81241445</v>
      </c>
      <c r="F594" s="9" t="s">
        <v>1683</v>
      </c>
      <c r="G594" s="9" t="s">
        <v>1684</v>
      </c>
      <c r="H594" s="12" t="s">
        <v>1685</v>
      </c>
      <c r="I594" s="10">
        <v>45573</v>
      </c>
    </row>
    <row r="595" spans="1:9" x14ac:dyDescent="0.15">
      <c r="A595" s="9">
        <v>594</v>
      </c>
      <c r="B595" s="9" t="s">
        <v>9</v>
      </c>
      <c r="C595" s="9">
        <v>1918</v>
      </c>
      <c r="D595" s="10">
        <v>45663</v>
      </c>
      <c r="E595" s="13" t="str">
        <f>+HYPERLINK("http://trademark.i-assist.jp/data/china/image_1918th/81241620.pdf","81241620")</f>
        <v>81241620</v>
      </c>
      <c r="F595" s="9" t="s">
        <v>1686</v>
      </c>
      <c r="G595" s="9" t="s">
        <v>1687</v>
      </c>
      <c r="H595" s="9" t="s">
        <v>1688</v>
      </c>
      <c r="I595" s="10">
        <v>45573</v>
      </c>
    </row>
    <row r="596" spans="1:9" x14ac:dyDescent="0.15">
      <c r="A596" s="9">
        <v>595</v>
      </c>
      <c r="B596" s="9" t="s">
        <v>9</v>
      </c>
      <c r="C596" s="9">
        <v>1918</v>
      </c>
      <c r="D596" s="10">
        <v>45663</v>
      </c>
      <c r="E596" s="13" t="str">
        <f>+HYPERLINK("http://trademark.i-assist.jp/data/china/image_1918th/81242188.pdf","81242188")</f>
        <v>81242188</v>
      </c>
      <c r="F596" s="9" t="s">
        <v>1689</v>
      </c>
      <c r="G596" s="12" t="s">
        <v>1690</v>
      </c>
      <c r="H596" s="9" t="s">
        <v>1691</v>
      </c>
      <c r="I596" s="10">
        <v>45573</v>
      </c>
    </row>
    <row r="597" spans="1:9" x14ac:dyDescent="0.15">
      <c r="A597" s="9">
        <v>596</v>
      </c>
      <c r="B597" s="9" t="s">
        <v>9</v>
      </c>
      <c r="C597" s="9">
        <v>1918</v>
      </c>
      <c r="D597" s="10">
        <v>45663</v>
      </c>
      <c r="E597" s="13" t="str">
        <f>+HYPERLINK("http://trademark.i-assist.jp/data/china/image_1918th/81243287.pdf","81243287")</f>
        <v>81243287</v>
      </c>
      <c r="F597" s="12" t="s">
        <v>1692</v>
      </c>
      <c r="G597" s="9" t="s">
        <v>1693</v>
      </c>
      <c r="H597" s="9" t="s">
        <v>1694</v>
      </c>
      <c r="I597" s="10">
        <v>45573</v>
      </c>
    </row>
    <row r="598" spans="1:9" x14ac:dyDescent="0.15">
      <c r="A598" s="9">
        <v>597</v>
      </c>
      <c r="B598" s="9" t="s">
        <v>9</v>
      </c>
      <c r="C598" s="9">
        <v>1918</v>
      </c>
      <c r="D598" s="10">
        <v>45663</v>
      </c>
      <c r="E598" s="13" t="str">
        <f>+HYPERLINK("http://trademark.i-assist.jp/data/china/image_1918th/81243310.pdf","81243310")</f>
        <v>81243310</v>
      </c>
      <c r="F598" s="9" t="s">
        <v>1695</v>
      </c>
      <c r="G598" s="9" t="s">
        <v>1673</v>
      </c>
      <c r="H598" s="12" t="s">
        <v>1696</v>
      </c>
      <c r="I598" s="10">
        <v>45573</v>
      </c>
    </row>
    <row r="599" spans="1:9" x14ac:dyDescent="0.15">
      <c r="A599" s="9">
        <v>598</v>
      </c>
      <c r="B599" s="9" t="s">
        <v>9</v>
      </c>
      <c r="C599" s="9">
        <v>1918</v>
      </c>
      <c r="D599" s="10">
        <v>45663</v>
      </c>
      <c r="E599" s="13" t="str">
        <f>+HYPERLINK("http://trademark.i-assist.jp/data/china/image_1918th/81244264.pdf","81244264")</f>
        <v>81244264</v>
      </c>
      <c r="F599" s="9" t="s">
        <v>1697</v>
      </c>
      <c r="G599" s="9" t="s">
        <v>1644</v>
      </c>
      <c r="H599" s="9" t="s">
        <v>1698</v>
      </c>
      <c r="I599" s="10">
        <v>45573</v>
      </c>
    </row>
    <row r="600" spans="1:9" x14ac:dyDescent="0.15">
      <c r="A600" s="9">
        <v>599</v>
      </c>
      <c r="B600" s="9" t="s">
        <v>9</v>
      </c>
      <c r="C600" s="9">
        <v>1918</v>
      </c>
      <c r="D600" s="10">
        <v>45663</v>
      </c>
      <c r="E600" s="13" t="str">
        <f>+HYPERLINK("http://trademark.i-assist.jp/data/china/image_1918th/81244514.pdf","81244514")</f>
        <v>81244514</v>
      </c>
      <c r="F600" s="9" t="s">
        <v>1699</v>
      </c>
      <c r="G600" s="9" t="s">
        <v>1700</v>
      </c>
      <c r="H600" s="9" t="s">
        <v>1701</v>
      </c>
      <c r="I600" s="10">
        <v>45573</v>
      </c>
    </row>
    <row r="601" spans="1:9" x14ac:dyDescent="0.15">
      <c r="A601" s="9">
        <v>600</v>
      </c>
      <c r="B601" s="9" t="s">
        <v>9</v>
      </c>
      <c r="C601" s="9">
        <v>1918</v>
      </c>
      <c r="D601" s="10">
        <v>45663</v>
      </c>
      <c r="E601" s="13" t="str">
        <f>+HYPERLINK("http://trademark.i-assist.jp/data/china/image_1918th/81245588.pdf","81245588")</f>
        <v>81245588</v>
      </c>
      <c r="F601" s="9" t="s">
        <v>1702</v>
      </c>
      <c r="G601" s="12" t="s">
        <v>787</v>
      </c>
      <c r="H601" s="9" t="s">
        <v>1703</v>
      </c>
      <c r="I601" s="10">
        <v>45573</v>
      </c>
    </row>
    <row r="602" spans="1:9" x14ac:dyDescent="0.15">
      <c r="A602" s="9">
        <v>601</v>
      </c>
      <c r="B602" s="9" t="s">
        <v>9</v>
      </c>
      <c r="C602" s="9">
        <v>1918</v>
      </c>
      <c r="D602" s="10">
        <v>45663</v>
      </c>
      <c r="E602" s="13" t="str">
        <f>+HYPERLINK("http://trademark.i-assist.jp/data/china/image_1918th/81245998.pdf","81245998")</f>
        <v>81245998</v>
      </c>
      <c r="F602" s="9" t="s">
        <v>1704</v>
      </c>
      <c r="G602" s="9" t="s">
        <v>1705</v>
      </c>
      <c r="H602" s="9" t="s">
        <v>1706</v>
      </c>
      <c r="I602" s="10">
        <v>45573</v>
      </c>
    </row>
    <row r="603" spans="1:9" x14ac:dyDescent="0.15">
      <c r="A603" s="9">
        <v>602</v>
      </c>
      <c r="B603" s="9" t="s">
        <v>9</v>
      </c>
      <c r="C603" s="9">
        <v>1918</v>
      </c>
      <c r="D603" s="10">
        <v>45663</v>
      </c>
      <c r="E603" s="13" t="str">
        <f>+HYPERLINK("http://trademark.i-assist.jp/data/china/image_1918th/81246036.pdf","81246036")</f>
        <v>81246036</v>
      </c>
      <c r="F603" s="12" t="s">
        <v>1707</v>
      </c>
      <c r="G603" s="12" t="s">
        <v>1708</v>
      </c>
      <c r="H603" s="9" t="s">
        <v>1709</v>
      </c>
      <c r="I603" s="10">
        <v>45573</v>
      </c>
    </row>
    <row r="604" spans="1:9" x14ac:dyDescent="0.15">
      <c r="A604" s="9">
        <v>603</v>
      </c>
      <c r="B604" s="9" t="s">
        <v>9</v>
      </c>
      <c r="C604" s="9">
        <v>1918</v>
      </c>
      <c r="D604" s="10">
        <v>45663</v>
      </c>
      <c r="E604" s="13" t="str">
        <f>+HYPERLINK("http://trademark.i-assist.jp/data/china/image_1918th/81247094.pdf","81247094")</f>
        <v>81247094</v>
      </c>
      <c r="F604" s="9" t="s">
        <v>1710</v>
      </c>
      <c r="G604" s="9" t="s">
        <v>69</v>
      </c>
      <c r="H604" s="9" t="s">
        <v>1711</v>
      </c>
      <c r="I604" s="10">
        <v>45573</v>
      </c>
    </row>
    <row r="605" spans="1:9" x14ac:dyDescent="0.15">
      <c r="A605" s="9">
        <v>604</v>
      </c>
      <c r="B605" s="9" t="s">
        <v>9</v>
      </c>
      <c r="C605" s="9">
        <v>1918</v>
      </c>
      <c r="D605" s="10">
        <v>45663</v>
      </c>
      <c r="E605" s="13" t="str">
        <f>+HYPERLINK("http://trademark.i-assist.jp/data/china/image_1918th/81247676.pdf","81247676")</f>
        <v>81247676</v>
      </c>
      <c r="F605" s="9" t="s">
        <v>1712</v>
      </c>
      <c r="G605" s="9" t="s">
        <v>1713</v>
      </c>
      <c r="H605" s="9" t="s">
        <v>1714</v>
      </c>
      <c r="I605" s="10">
        <v>45573</v>
      </c>
    </row>
    <row r="606" spans="1:9" x14ac:dyDescent="0.15">
      <c r="A606" s="9">
        <v>605</v>
      </c>
      <c r="B606" s="9" t="s">
        <v>9</v>
      </c>
      <c r="C606" s="9">
        <v>1918</v>
      </c>
      <c r="D606" s="10">
        <v>45663</v>
      </c>
      <c r="E606" s="13" t="str">
        <f>+HYPERLINK("http://trademark.i-assist.jp/data/china/image_1918th/81247736.pdf","81247736")</f>
        <v>81247736</v>
      </c>
      <c r="F606" s="9" t="s">
        <v>1715</v>
      </c>
      <c r="G606" s="12" t="s">
        <v>1716</v>
      </c>
      <c r="H606" s="12" t="s">
        <v>1717</v>
      </c>
      <c r="I606" s="10">
        <v>45573</v>
      </c>
    </row>
    <row r="607" spans="1:9" x14ac:dyDescent="0.15">
      <c r="A607" s="9">
        <v>606</v>
      </c>
      <c r="B607" s="9" t="s">
        <v>9</v>
      </c>
      <c r="C607" s="9">
        <v>1918</v>
      </c>
      <c r="D607" s="10">
        <v>45663</v>
      </c>
      <c r="E607" s="13" t="str">
        <f>+HYPERLINK("http://trademark.i-assist.jp/data/china/image_1918th/81247922.pdf","81247922")</f>
        <v>81247922</v>
      </c>
      <c r="F607" s="9" t="s">
        <v>1718</v>
      </c>
      <c r="G607" s="9" t="s">
        <v>1638</v>
      </c>
      <c r="H607" s="9" t="s">
        <v>1719</v>
      </c>
      <c r="I607" s="10">
        <v>45573</v>
      </c>
    </row>
    <row r="608" spans="1:9" x14ac:dyDescent="0.15">
      <c r="A608" s="9">
        <v>607</v>
      </c>
      <c r="B608" s="9" t="s">
        <v>9</v>
      </c>
      <c r="C608" s="9">
        <v>1918</v>
      </c>
      <c r="D608" s="10">
        <v>45663</v>
      </c>
      <c r="E608" s="13" t="str">
        <f>+HYPERLINK("http://trademark.i-assist.jp/data/china/image_1918th/81248098.pdf","81248098")</f>
        <v>81248098</v>
      </c>
      <c r="F608" s="9" t="s">
        <v>1720</v>
      </c>
      <c r="G608" s="9" t="s">
        <v>1721</v>
      </c>
      <c r="H608" s="9" t="s">
        <v>1722</v>
      </c>
      <c r="I608" s="10">
        <v>45573</v>
      </c>
    </row>
    <row r="609" spans="1:9" x14ac:dyDescent="0.15">
      <c r="A609" s="9">
        <v>608</v>
      </c>
      <c r="B609" s="9" t="s">
        <v>9</v>
      </c>
      <c r="C609" s="9">
        <v>1918</v>
      </c>
      <c r="D609" s="10">
        <v>45663</v>
      </c>
      <c r="E609" s="13" t="str">
        <f>+HYPERLINK("http://trademark.i-assist.jp/data/china/image_1918th/81248529.pdf","81248529")</f>
        <v>81248529</v>
      </c>
      <c r="F609" s="9" t="s">
        <v>1723</v>
      </c>
      <c r="G609" s="9" t="s">
        <v>1724</v>
      </c>
      <c r="H609" s="9" t="s">
        <v>1725</v>
      </c>
      <c r="I609" s="10">
        <v>45573</v>
      </c>
    </row>
    <row r="610" spans="1:9" x14ac:dyDescent="0.15">
      <c r="A610" s="9">
        <v>609</v>
      </c>
      <c r="B610" s="9" t="s">
        <v>9</v>
      </c>
      <c r="C610" s="9">
        <v>1918</v>
      </c>
      <c r="D610" s="10">
        <v>45663</v>
      </c>
      <c r="E610" s="13" t="str">
        <f>+HYPERLINK("http://trademark.i-assist.jp/data/china/image_1918th/81249571.pdf","81249571")</f>
        <v>81249571</v>
      </c>
      <c r="F610" s="12" t="s">
        <v>1726</v>
      </c>
      <c r="G610" s="12" t="s">
        <v>1663</v>
      </c>
      <c r="H610" s="9" t="s">
        <v>1727</v>
      </c>
      <c r="I610" s="10">
        <v>45573</v>
      </c>
    </row>
    <row r="611" spans="1:9" x14ac:dyDescent="0.15">
      <c r="A611" s="9">
        <v>610</v>
      </c>
      <c r="B611" s="9" t="s">
        <v>9</v>
      </c>
      <c r="C611" s="9">
        <v>1918</v>
      </c>
      <c r="D611" s="10">
        <v>45663</v>
      </c>
      <c r="E611" s="13" t="str">
        <f>+HYPERLINK("http://trademark.i-assist.jp/data/china/image_1918th/81249697.pdf","81249697")</f>
        <v>81249697</v>
      </c>
      <c r="F611" s="12" t="s">
        <v>1728</v>
      </c>
      <c r="G611" s="9" t="s">
        <v>1729</v>
      </c>
      <c r="H611" s="9" t="s">
        <v>1730</v>
      </c>
      <c r="I611" s="10">
        <v>45573</v>
      </c>
    </row>
    <row r="612" spans="1:9" x14ac:dyDescent="0.15">
      <c r="A612" s="9">
        <v>611</v>
      </c>
      <c r="B612" s="9" t="s">
        <v>9</v>
      </c>
      <c r="C612" s="9">
        <v>1918</v>
      </c>
      <c r="D612" s="10">
        <v>45663</v>
      </c>
      <c r="E612" s="13" t="str">
        <f>+HYPERLINK("http://trademark.i-assist.jp/data/china/image_1918th/81250086.pdf","81250086")</f>
        <v>81250086</v>
      </c>
      <c r="F612" s="9" t="s">
        <v>1731</v>
      </c>
      <c r="G612" s="9" t="s">
        <v>1732</v>
      </c>
      <c r="H612" s="9" t="s">
        <v>1733</v>
      </c>
      <c r="I612" s="10">
        <v>45573</v>
      </c>
    </row>
    <row r="613" spans="1:9" x14ac:dyDescent="0.15">
      <c r="A613" s="9">
        <v>612</v>
      </c>
      <c r="B613" s="9" t="s">
        <v>9</v>
      </c>
      <c r="C613" s="9">
        <v>1918</v>
      </c>
      <c r="D613" s="10">
        <v>45663</v>
      </c>
      <c r="E613" s="13" t="str">
        <f>+HYPERLINK("http://trademark.i-assist.jp/data/china/image_1918th/81250100.pdf","81250100")</f>
        <v>81250100</v>
      </c>
      <c r="F613" s="9" t="s">
        <v>1734</v>
      </c>
      <c r="G613" s="9" t="s">
        <v>1735</v>
      </c>
      <c r="H613" s="9" t="s">
        <v>1736</v>
      </c>
      <c r="I613" s="10">
        <v>45573</v>
      </c>
    </row>
    <row r="614" spans="1:9" x14ac:dyDescent="0.15">
      <c r="A614" s="9">
        <v>613</v>
      </c>
      <c r="B614" s="9" t="s">
        <v>9</v>
      </c>
      <c r="C614" s="9">
        <v>1918</v>
      </c>
      <c r="D614" s="10">
        <v>45663</v>
      </c>
      <c r="E614" s="13" t="str">
        <f>+HYPERLINK("http://trademark.i-assist.jp/data/china/image_1918th/81251428.pdf","81251428")</f>
        <v>81251428</v>
      </c>
      <c r="F614" s="9" t="s">
        <v>1737</v>
      </c>
      <c r="G614" s="9" t="s">
        <v>1738</v>
      </c>
      <c r="H614" s="9" t="s">
        <v>1739</v>
      </c>
      <c r="I614" s="10">
        <v>45574</v>
      </c>
    </row>
    <row r="615" spans="1:9" x14ac:dyDescent="0.15">
      <c r="A615" s="9">
        <v>614</v>
      </c>
      <c r="B615" s="9" t="s">
        <v>9</v>
      </c>
      <c r="C615" s="9">
        <v>1918</v>
      </c>
      <c r="D615" s="10">
        <v>45663</v>
      </c>
      <c r="E615" s="13" t="str">
        <f>+HYPERLINK("http://trademark.i-assist.jp/data/china/image_1918th/81251628.pdf","81251628")</f>
        <v>81251628</v>
      </c>
      <c r="F615" s="9" t="s">
        <v>1740</v>
      </c>
      <c r="G615" s="9" t="s">
        <v>1741</v>
      </c>
      <c r="H615" s="9" t="s">
        <v>1742</v>
      </c>
      <c r="I615" s="10">
        <v>45574</v>
      </c>
    </row>
    <row r="616" spans="1:9" x14ac:dyDescent="0.15">
      <c r="A616" s="9">
        <v>615</v>
      </c>
      <c r="B616" s="9" t="s">
        <v>9</v>
      </c>
      <c r="C616" s="9">
        <v>1918</v>
      </c>
      <c r="D616" s="10">
        <v>45663</v>
      </c>
      <c r="E616" s="13" t="str">
        <f>+HYPERLINK("http://trademark.i-assist.jp/data/china/image_1918th/81252054.pdf","81252054")</f>
        <v>81252054</v>
      </c>
      <c r="F616" s="9" t="s">
        <v>1743</v>
      </c>
      <c r="G616" s="12" t="s">
        <v>1744</v>
      </c>
      <c r="H616" s="9" t="s">
        <v>1745</v>
      </c>
      <c r="I616" s="10">
        <v>45574</v>
      </c>
    </row>
    <row r="617" spans="1:9" x14ac:dyDescent="0.15">
      <c r="A617" s="9">
        <v>616</v>
      </c>
      <c r="B617" s="9" t="s">
        <v>9</v>
      </c>
      <c r="C617" s="9">
        <v>1918</v>
      </c>
      <c r="D617" s="10">
        <v>45663</v>
      </c>
      <c r="E617" s="13" t="str">
        <f>+HYPERLINK("http://trademark.i-assist.jp/data/china/image_1918th/81252056.pdf","81252056")</f>
        <v>81252056</v>
      </c>
      <c r="F617" s="12" t="s">
        <v>12</v>
      </c>
      <c r="G617" s="12" t="s">
        <v>1746</v>
      </c>
      <c r="H617" s="9" t="s">
        <v>1747</v>
      </c>
      <c r="I617" s="10">
        <v>45574</v>
      </c>
    </row>
    <row r="618" spans="1:9" x14ac:dyDescent="0.15">
      <c r="A618" s="9">
        <v>617</v>
      </c>
      <c r="B618" s="9" t="s">
        <v>9</v>
      </c>
      <c r="C618" s="9">
        <v>1918</v>
      </c>
      <c r="D618" s="10">
        <v>45663</v>
      </c>
      <c r="E618" s="13" t="str">
        <f>+HYPERLINK("http://trademark.i-assist.jp/data/china/image_1918th/81252310.pdf","81252310")</f>
        <v>81252310</v>
      </c>
      <c r="F618" s="9" t="s">
        <v>1748</v>
      </c>
      <c r="G618" s="12" t="s">
        <v>1749</v>
      </c>
      <c r="H618" s="9" t="s">
        <v>1750</v>
      </c>
      <c r="I618" s="10">
        <v>45574</v>
      </c>
    </row>
    <row r="619" spans="1:9" x14ac:dyDescent="0.15">
      <c r="A619" s="9">
        <v>618</v>
      </c>
      <c r="B619" s="9" t="s">
        <v>9</v>
      </c>
      <c r="C619" s="9">
        <v>1918</v>
      </c>
      <c r="D619" s="10">
        <v>45663</v>
      </c>
      <c r="E619" s="13" t="str">
        <f>+HYPERLINK("http://trademark.i-assist.jp/data/china/image_1918th/81252311.pdf","81252311")</f>
        <v>81252311</v>
      </c>
      <c r="F619" s="12" t="s">
        <v>12</v>
      </c>
      <c r="G619" s="9" t="s">
        <v>1751</v>
      </c>
      <c r="H619" s="12" t="s">
        <v>1752</v>
      </c>
      <c r="I619" s="10">
        <v>45574</v>
      </c>
    </row>
    <row r="620" spans="1:9" x14ac:dyDescent="0.15">
      <c r="A620" s="9">
        <v>619</v>
      </c>
      <c r="B620" s="9" t="s">
        <v>9</v>
      </c>
      <c r="C620" s="9">
        <v>1918</v>
      </c>
      <c r="D620" s="10">
        <v>45663</v>
      </c>
      <c r="E620" s="13" t="str">
        <f>+HYPERLINK("http://trademark.i-assist.jp/data/china/image_1918th/81252765.pdf","81252765")</f>
        <v>81252765</v>
      </c>
      <c r="F620" s="9" t="s">
        <v>1753</v>
      </c>
      <c r="G620" s="12" t="s">
        <v>1754</v>
      </c>
      <c r="H620" s="9" t="s">
        <v>1755</v>
      </c>
      <c r="I620" s="10">
        <v>45574</v>
      </c>
    </row>
    <row r="621" spans="1:9" x14ac:dyDescent="0.15">
      <c r="A621" s="9">
        <v>620</v>
      </c>
      <c r="B621" s="9" t="s">
        <v>9</v>
      </c>
      <c r="C621" s="9">
        <v>1918</v>
      </c>
      <c r="D621" s="10">
        <v>45663</v>
      </c>
      <c r="E621" s="13" t="str">
        <f>+HYPERLINK("http://trademark.i-assist.jp/data/china/image_1918th/81252946.pdf","81252946")</f>
        <v>81252946</v>
      </c>
      <c r="F621" s="9" t="s">
        <v>1756</v>
      </c>
      <c r="G621" s="9" t="s">
        <v>1757</v>
      </c>
      <c r="H621" s="9" t="s">
        <v>1758</v>
      </c>
      <c r="I621" s="10">
        <v>45574</v>
      </c>
    </row>
    <row r="622" spans="1:9" x14ac:dyDescent="0.15">
      <c r="A622" s="9">
        <v>621</v>
      </c>
      <c r="B622" s="9" t="s">
        <v>9</v>
      </c>
      <c r="C622" s="9">
        <v>1918</v>
      </c>
      <c r="D622" s="10">
        <v>45663</v>
      </c>
      <c r="E622" s="13" t="str">
        <f>+HYPERLINK("http://trademark.i-assist.jp/data/china/image_1918th/81253510.pdf","81253510")</f>
        <v>81253510</v>
      </c>
      <c r="F622" s="12" t="s">
        <v>1759</v>
      </c>
      <c r="G622" s="9" t="s">
        <v>1760</v>
      </c>
      <c r="H622" s="9" t="s">
        <v>1761</v>
      </c>
      <c r="I622" s="10">
        <v>45574</v>
      </c>
    </row>
    <row r="623" spans="1:9" x14ac:dyDescent="0.15">
      <c r="A623" s="9">
        <v>622</v>
      </c>
      <c r="B623" s="9" t="s">
        <v>9</v>
      </c>
      <c r="C623" s="9">
        <v>1918</v>
      </c>
      <c r="D623" s="10">
        <v>45663</v>
      </c>
      <c r="E623" s="13" t="str">
        <f>+HYPERLINK("http://trademark.i-assist.jp/data/china/image_1918th/81253551.pdf","81253551")</f>
        <v>81253551</v>
      </c>
      <c r="F623" s="9" t="s">
        <v>1762</v>
      </c>
      <c r="G623" s="9" t="s">
        <v>1763</v>
      </c>
      <c r="H623" s="9" t="s">
        <v>1764</v>
      </c>
      <c r="I623" s="10">
        <v>45574</v>
      </c>
    </row>
    <row r="624" spans="1:9" x14ac:dyDescent="0.15">
      <c r="A624" s="9">
        <v>623</v>
      </c>
      <c r="B624" s="9" t="s">
        <v>9</v>
      </c>
      <c r="C624" s="9">
        <v>1918</v>
      </c>
      <c r="D624" s="10">
        <v>45663</v>
      </c>
      <c r="E624" s="13" t="str">
        <f>+HYPERLINK("http://trademark.i-assist.jp/data/china/image_1918th/81253772.pdf","81253772")</f>
        <v>81253772</v>
      </c>
      <c r="F624" s="9" t="s">
        <v>1765</v>
      </c>
      <c r="G624" s="9" t="s">
        <v>1766</v>
      </c>
      <c r="H624" s="9" t="s">
        <v>1767</v>
      </c>
      <c r="I624" s="10">
        <v>45574</v>
      </c>
    </row>
    <row r="625" spans="1:9" x14ac:dyDescent="0.15">
      <c r="A625" s="9">
        <v>624</v>
      </c>
      <c r="B625" s="9" t="s">
        <v>9</v>
      </c>
      <c r="C625" s="9">
        <v>1918</v>
      </c>
      <c r="D625" s="10">
        <v>45663</v>
      </c>
      <c r="E625" s="13" t="str">
        <f>+HYPERLINK("http://trademark.i-assist.jp/data/china/image_1918th/81254118.pdf","81254118")</f>
        <v>81254118</v>
      </c>
      <c r="F625" s="9" t="s">
        <v>1768</v>
      </c>
      <c r="G625" s="12" t="s">
        <v>1769</v>
      </c>
      <c r="H625" s="9" t="s">
        <v>1770</v>
      </c>
      <c r="I625" s="10">
        <v>45574</v>
      </c>
    </row>
    <row r="626" spans="1:9" x14ac:dyDescent="0.15">
      <c r="A626" s="9">
        <v>625</v>
      </c>
      <c r="B626" s="9" t="s">
        <v>9</v>
      </c>
      <c r="C626" s="9">
        <v>1918</v>
      </c>
      <c r="D626" s="10">
        <v>45663</v>
      </c>
      <c r="E626" s="13" t="str">
        <f>+HYPERLINK("http://trademark.i-assist.jp/data/china/image_1918th/81254235.pdf","81254235")</f>
        <v>81254235</v>
      </c>
      <c r="F626" s="12" t="s">
        <v>1771</v>
      </c>
      <c r="G626" s="9" t="s">
        <v>1772</v>
      </c>
      <c r="H626" s="12" t="s">
        <v>1773</v>
      </c>
      <c r="I626" s="10">
        <v>45574</v>
      </c>
    </row>
    <row r="627" spans="1:9" x14ac:dyDescent="0.15">
      <c r="A627" s="9">
        <v>626</v>
      </c>
      <c r="B627" s="9" t="s">
        <v>9</v>
      </c>
      <c r="C627" s="9">
        <v>1918</v>
      </c>
      <c r="D627" s="10">
        <v>45663</v>
      </c>
      <c r="E627" s="13" t="str">
        <f>+HYPERLINK("http://trademark.i-assist.jp/data/china/image_1918th/81254393.pdf","81254393")</f>
        <v>81254393</v>
      </c>
      <c r="F627" s="9" t="s">
        <v>1774</v>
      </c>
      <c r="G627" s="9" t="s">
        <v>1775</v>
      </c>
      <c r="H627" s="9" t="s">
        <v>1776</v>
      </c>
      <c r="I627" s="10">
        <v>45574</v>
      </c>
    </row>
    <row r="628" spans="1:9" x14ac:dyDescent="0.15">
      <c r="A628" s="9">
        <v>627</v>
      </c>
      <c r="B628" s="9" t="s">
        <v>9</v>
      </c>
      <c r="C628" s="9">
        <v>1918</v>
      </c>
      <c r="D628" s="10">
        <v>45663</v>
      </c>
      <c r="E628" s="13" t="str">
        <f>+HYPERLINK("http://trademark.i-assist.jp/data/china/image_1918th/81254728.pdf","81254728")</f>
        <v>81254728</v>
      </c>
      <c r="F628" s="9" t="s">
        <v>1777</v>
      </c>
      <c r="G628" s="9" t="s">
        <v>1778</v>
      </c>
      <c r="H628" s="9" t="s">
        <v>1779</v>
      </c>
      <c r="I628" s="10">
        <v>45574</v>
      </c>
    </row>
    <row r="629" spans="1:9" x14ac:dyDescent="0.15">
      <c r="A629" s="9">
        <v>628</v>
      </c>
      <c r="B629" s="9" t="s">
        <v>9</v>
      </c>
      <c r="C629" s="9">
        <v>1918</v>
      </c>
      <c r="D629" s="10">
        <v>45663</v>
      </c>
      <c r="E629" s="13" t="str">
        <f>+HYPERLINK("http://trademark.i-assist.jp/data/china/image_1918th/81255008.pdf","81255008")</f>
        <v>81255008</v>
      </c>
      <c r="F629" s="9" t="s">
        <v>1780</v>
      </c>
      <c r="G629" s="12" t="s">
        <v>1781</v>
      </c>
      <c r="H629" s="9" t="s">
        <v>1782</v>
      </c>
      <c r="I629" s="10">
        <v>45574</v>
      </c>
    </row>
    <row r="630" spans="1:9" x14ac:dyDescent="0.15">
      <c r="A630" s="9">
        <v>629</v>
      </c>
      <c r="B630" s="9" t="s">
        <v>9</v>
      </c>
      <c r="C630" s="9">
        <v>1918</v>
      </c>
      <c r="D630" s="10">
        <v>45663</v>
      </c>
      <c r="E630" s="13" t="str">
        <f>+HYPERLINK("http://trademark.i-assist.jp/data/china/image_1918th/81255154.pdf","81255154")</f>
        <v>81255154</v>
      </c>
      <c r="F630" s="9" t="s">
        <v>1783</v>
      </c>
      <c r="G630" s="9" t="s">
        <v>628</v>
      </c>
      <c r="H630" s="9" t="s">
        <v>1784</v>
      </c>
      <c r="I630" s="10">
        <v>45574</v>
      </c>
    </row>
    <row r="631" spans="1:9" x14ac:dyDescent="0.15">
      <c r="A631" s="9">
        <v>630</v>
      </c>
      <c r="B631" s="9" t="s">
        <v>9</v>
      </c>
      <c r="C631" s="9">
        <v>1918</v>
      </c>
      <c r="D631" s="10">
        <v>45663</v>
      </c>
      <c r="E631" s="13" t="str">
        <f>+HYPERLINK("http://trademark.i-assist.jp/data/china/image_1918th/81255756.pdf","81255756")</f>
        <v>81255756</v>
      </c>
      <c r="F631" s="9" t="s">
        <v>1785</v>
      </c>
      <c r="G631" s="12" t="s">
        <v>1786</v>
      </c>
      <c r="H631" s="9" t="s">
        <v>1787</v>
      </c>
      <c r="I631" s="10">
        <v>45574</v>
      </c>
    </row>
    <row r="632" spans="1:9" x14ac:dyDescent="0.15">
      <c r="A632" s="9">
        <v>631</v>
      </c>
      <c r="B632" s="9" t="s">
        <v>9</v>
      </c>
      <c r="C632" s="9">
        <v>1918</v>
      </c>
      <c r="D632" s="10">
        <v>45663</v>
      </c>
      <c r="E632" s="13" t="str">
        <f>+HYPERLINK("http://trademark.i-assist.jp/data/china/image_1918th/81256082.pdf","81256082")</f>
        <v>81256082</v>
      </c>
      <c r="F632" s="12" t="s">
        <v>1788</v>
      </c>
      <c r="G632" s="9" t="s">
        <v>363</v>
      </c>
      <c r="H632" s="9" t="s">
        <v>1789</v>
      </c>
      <c r="I632" s="10">
        <v>45574</v>
      </c>
    </row>
    <row r="633" spans="1:9" x14ac:dyDescent="0.15">
      <c r="A633" s="9">
        <v>632</v>
      </c>
      <c r="B633" s="9" t="s">
        <v>9</v>
      </c>
      <c r="C633" s="9">
        <v>1918</v>
      </c>
      <c r="D633" s="10">
        <v>45663</v>
      </c>
      <c r="E633" s="13" t="str">
        <f>+HYPERLINK("http://trademark.i-assist.jp/data/china/image_1918th/81256272.pdf","81256272")</f>
        <v>81256272</v>
      </c>
      <c r="F633" s="9" t="s">
        <v>1790</v>
      </c>
      <c r="G633" s="9" t="s">
        <v>1791</v>
      </c>
      <c r="H633" s="9" t="s">
        <v>1792</v>
      </c>
      <c r="I633" s="10">
        <v>45574</v>
      </c>
    </row>
    <row r="634" spans="1:9" x14ac:dyDescent="0.15">
      <c r="A634" s="9">
        <v>633</v>
      </c>
      <c r="B634" s="9" t="s">
        <v>9</v>
      </c>
      <c r="C634" s="9">
        <v>1918</v>
      </c>
      <c r="D634" s="10">
        <v>45663</v>
      </c>
      <c r="E634" s="13" t="str">
        <f>+HYPERLINK("http://trademark.i-assist.jp/data/china/image_1918th/81256287.pdf","81256287")</f>
        <v>81256287</v>
      </c>
      <c r="F634" s="9" t="s">
        <v>1793</v>
      </c>
      <c r="G634" s="9" t="s">
        <v>1794</v>
      </c>
      <c r="H634" s="9" t="s">
        <v>1795</v>
      </c>
      <c r="I634" s="10">
        <v>45574</v>
      </c>
    </row>
    <row r="635" spans="1:9" x14ac:dyDescent="0.15">
      <c r="A635" s="9">
        <v>634</v>
      </c>
      <c r="B635" s="9" t="s">
        <v>9</v>
      </c>
      <c r="C635" s="9">
        <v>1918</v>
      </c>
      <c r="D635" s="10">
        <v>45663</v>
      </c>
      <c r="E635" s="13" t="str">
        <f>+HYPERLINK("http://trademark.i-assist.jp/data/china/image_1918th/81256420.pdf","81256420")</f>
        <v>81256420</v>
      </c>
      <c r="F635" s="9" t="s">
        <v>1796</v>
      </c>
      <c r="G635" s="9" t="s">
        <v>1797</v>
      </c>
      <c r="H635" s="9" t="s">
        <v>1798</v>
      </c>
      <c r="I635" s="10">
        <v>45574</v>
      </c>
    </row>
    <row r="636" spans="1:9" x14ac:dyDescent="0.15">
      <c r="A636" s="9">
        <v>635</v>
      </c>
      <c r="B636" s="9" t="s">
        <v>9</v>
      </c>
      <c r="C636" s="9">
        <v>1918</v>
      </c>
      <c r="D636" s="10">
        <v>45663</v>
      </c>
      <c r="E636" s="13" t="str">
        <f>+HYPERLINK("http://trademark.i-assist.jp/data/china/image_1918th/81256650.pdf","81256650")</f>
        <v>81256650</v>
      </c>
      <c r="F636" s="12" t="s">
        <v>1799</v>
      </c>
      <c r="G636" s="9" t="s">
        <v>1800</v>
      </c>
      <c r="H636" s="12" t="s">
        <v>1801</v>
      </c>
      <c r="I636" s="10">
        <v>45574</v>
      </c>
    </row>
    <row r="637" spans="1:9" x14ac:dyDescent="0.15">
      <c r="A637" s="9">
        <v>636</v>
      </c>
      <c r="B637" s="9" t="s">
        <v>9</v>
      </c>
      <c r="C637" s="9">
        <v>1918</v>
      </c>
      <c r="D637" s="10">
        <v>45663</v>
      </c>
      <c r="E637" s="13" t="str">
        <f>+HYPERLINK("http://trademark.i-assist.jp/data/china/image_1918th/81257052.pdf","81257052")</f>
        <v>81257052</v>
      </c>
      <c r="F637" s="9" t="s">
        <v>1802</v>
      </c>
      <c r="G637" s="9" t="s">
        <v>1803</v>
      </c>
      <c r="H637" s="9" t="s">
        <v>1804</v>
      </c>
      <c r="I637" s="10">
        <v>45574</v>
      </c>
    </row>
    <row r="638" spans="1:9" x14ac:dyDescent="0.15">
      <c r="A638" s="9">
        <v>637</v>
      </c>
      <c r="B638" s="9" t="s">
        <v>9</v>
      </c>
      <c r="C638" s="9">
        <v>1918</v>
      </c>
      <c r="D638" s="10">
        <v>45663</v>
      </c>
      <c r="E638" s="13" t="str">
        <f>+HYPERLINK("http://trademark.i-assist.jp/data/china/image_1918th/81257254.pdf","81257254")</f>
        <v>81257254</v>
      </c>
      <c r="F638" s="9" t="s">
        <v>1805</v>
      </c>
      <c r="G638" s="12" t="s">
        <v>1806</v>
      </c>
      <c r="H638" s="9" t="s">
        <v>1807</v>
      </c>
      <c r="I638" s="10">
        <v>45574</v>
      </c>
    </row>
    <row r="639" spans="1:9" x14ac:dyDescent="0.15">
      <c r="A639" s="9">
        <v>638</v>
      </c>
      <c r="B639" s="9" t="s">
        <v>9</v>
      </c>
      <c r="C639" s="9">
        <v>1918</v>
      </c>
      <c r="D639" s="10">
        <v>45663</v>
      </c>
      <c r="E639" s="13" t="str">
        <f>+HYPERLINK("http://trademark.i-assist.jp/data/china/image_1918th/81257415.pdf","81257415")</f>
        <v>81257415</v>
      </c>
      <c r="F639" s="9" t="s">
        <v>1808</v>
      </c>
      <c r="G639" s="9" t="s">
        <v>1809</v>
      </c>
      <c r="H639" s="9" t="s">
        <v>1810</v>
      </c>
      <c r="I639" s="10">
        <v>45574</v>
      </c>
    </row>
    <row r="640" spans="1:9" x14ac:dyDescent="0.15">
      <c r="A640" s="9">
        <v>639</v>
      </c>
      <c r="B640" s="9" t="s">
        <v>9</v>
      </c>
      <c r="C640" s="9">
        <v>1918</v>
      </c>
      <c r="D640" s="10">
        <v>45663</v>
      </c>
      <c r="E640" s="13" t="str">
        <f>+HYPERLINK("http://trademark.i-assist.jp/data/china/image_1918th/81257760.pdf","81257760")</f>
        <v>81257760</v>
      </c>
      <c r="F640" s="9" t="s">
        <v>1811</v>
      </c>
      <c r="G640" s="9" t="s">
        <v>87</v>
      </c>
      <c r="H640" s="9" t="s">
        <v>1812</v>
      </c>
      <c r="I640" s="10">
        <v>45574</v>
      </c>
    </row>
    <row r="641" spans="1:9" x14ac:dyDescent="0.15">
      <c r="A641" s="9">
        <v>640</v>
      </c>
      <c r="B641" s="9" t="s">
        <v>9</v>
      </c>
      <c r="C641" s="9">
        <v>1918</v>
      </c>
      <c r="D641" s="10">
        <v>45663</v>
      </c>
      <c r="E641" s="13" t="str">
        <f>+HYPERLINK("http://trademark.i-assist.jp/data/china/image_1918th/81257784.pdf","81257784")</f>
        <v>81257784</v>
      </c>
      <c r="F641" s="12" t="s">
        <v>1813</v>
      </c>
      <c r="G641" s="9" t="s">
        <v>1814</v>
      </c>
      <c r="H641" s="9" t="s">
        <v>1815</v>
      </c>
      <c r="I641" s="10">
        <v>45574</v>
      </c>
    </row>
    <row r="642" spans="1:9" x14ac:dyDescent="0.15">
      <c r="A642" s="9">
        <v>641</v>
      </c>
      <c r="B642" s="9" t="s">
        <v>9</v>
      </c>
      <c r="C642" s="9">
        <v>1918</v>
      </c>
      <c r="D642" s="10">
        <v>45663</v>
      </c>
      <c r="E642" s="13" t="str">
        <f>+HYPERLINK("http://trademark.i-assist.jp/data/china/image_1918th/81258077.pdf","81258077")</f>
        <v>81258077</v>
      </c>
      <c r="F642" s="9" t="s">
        <v>1816</v>
      </c>
      <c r="G642" s="9" t="s">
        <v>1817</v>
      </c>
      <c r="H642" s="9" t="s">
        <v>1818</v>
      </c>
      <c r="I642" s="10">
        <v>45574</v>
      </c>
    </row>
    <row r="643" spans="1:9" x14ac:dyDescent="0.15">
      <c r="A643" s="9">
        <v>642</v>
      </c>
      <c r="B643" s="9" t="s">
        <v>9</v>
      </c>
      <c r="C643" s="9">
        <v>1918</v>
      </c>
      <c r="D643" s="10">
        <v>45663</v>
      </c>
      <c r="E643" s="13" t="str">
        <f>+HYPERLINK("http://trademark.i-assist.jp/data/china/image_1918th/81258411.pdf","81258411")</f>
        <v>81258411</v>
      </c>
      <c r="F643" s="12" t="s">
        <v>1819</v>
      </c>
      <c r="G643" s="9" t="s">
        <v>1820</v>
      </c>
      <c r="H643" s="9" t="s">
        <v>1821</v>
      </c>
      <c r="I643" s="10">
        <v>45574</v>
      </c>
    </row>
    <row r="644" spans="1:9" x14ac:dyDescent="0.15">
      <c r="A644" s="9">
        <v>643</v>
      </c>
      <c r="B644" s="9" t="s">
        <v>9</v>
      </c>
      <c r="C644" s="9">
        <v>1918</v>
      </c>
      <c r="D644" s="10">
        <v>45663</v>
      </c>
      <c r="E644" s="13" t="str">
        <f>+HYPERLINK("http://trademark.i-assist.jp/data/china/image_1918th/81258774.pdf","81258774")</f>
        <v>81258774</v>
      </c>
      <c r="F644" s="9" t="s">
        <v>1822</v>
      </c>
      <c r="G644" s="9" t="s">
        <v>1823</v>
      </c>
      <c r="H644" s="9" t="s">
        <v>1824</v>
      </c>
      <c r="I644" s="10">
        <v>45574</v>
      </c>
    </row>
    <row r="645" spans="1:9" x14ac:dyDescent="0.15">
      <c r="A645" s="9">
        <v>644</v>
      </c>
      <c r="B645" s="9" t="s">
        <v>9</v>
      </c>
      <c r="C645" s="9">
        <v>1918</v>
      </c>
      <c r="D645" s="10">
        <v>45663</v>
      </c>
      <c r="E645" s="13" t="str">
        <f>+HYPERLINK("http://trademark.i-assist.jp/data/china/image_1918th/81259035.pdf","81259035")</f>
        <v>81259035</v>
      </c>
      <c r="F645" s="9" t="s">
        <v>1825</v>
      </c>
      <c r="G645" s="9" t="s">
        <v>1826</v>
      </c>
      <c r="H645" s="9" t="s">
        <v>1827</v>
      </c>
      <c r="I645" s="10">
        <v>45574</v>
      </c>
    </row>
    <row r="646" spans="1:9" x14ac:dyDescent="0.15">
      <c r="A646" s="9">
        <v>645</v>
      </c>
      <c r="B646" s="9" t="s">
        <v>9</v>
      </c>
      <c r="C646" s="9">
        <v>1918</v>
      </c>
      <c r="D646" s="10">
        <v>45663</v>
      </c>
      <c r="E646" s="13" t="str">
        <f>+HYPERLINK("http://trademark.i-assist.jp/data/china/image_1918th/81259094.pdf","81259094")</f>
        <v>81259094</v>
      </c>
      <c r="F646" s="9" t="s">
        <v>1828</v>
      </c>
      <c r="G646" s="12" t="s">
        <v>1829</v>
      </c>
      <c r="H646" s="9" t="s">
        <v>1830</v>
      </c>
      <c r="I646" s="10">
        <v>45574</v>
      </c>
    </row>
    <row r="647" spans="1:9" x14ac:dyDescent="0.15">
      <c r="A647" s="9">
        <v>646</v>
      </c>
      <c r="B647" s="9" t="s">
        <v>9</v>
      </c>
      <c r="C647" s="9">
        <v>1918</v>
      </c>
      <c r="D647" s="10">
        <v>45663</v>
      </c>
      <c r="E647" s="13" t="str">
        <f>+HYPERLINK("http://trademark.i-assist.jp/data/china/image_1918th/81259314.pdf","81259314")</f>
        <v>81259314</v>
      </c>
      <c r="F647" s="9" t="s">
        <v>1831</v>
      </c>
      <c r="G647" s="12" t="s">
        <v>1832</v>
      </c>
      <c r="H647" s="9" t="s">
        <v>1833</v>
      </c>
      <c r="I647" s="10">
        <v>45574</v>
      </c>
    </row>
    <row r="648" spans="1:9" x14ac:dyDescent="0.15">
      <c r="A648" s="9">
        <v>647</v>
      </c>
      <c r="B648" s="9" t="s">
        <v>9</v>
      </c>
      <c r="C648" s="9">
        <v>1918</v>
      </c>
      <c r="D648" s="10">
        <v>45663</v>
      </c>
      <c r="E648" s="13" t="str">
        <f>+HYPERLINK("http://trademark.i-assist.jp/data/china/image_1918th/81260084.pdf","81260084")</f>
        <v>81260084</v>
      </c>
      <c r="F648" s="9" t="s">
        <v>1834</v>
      </c>
      <c r="G648" s="9" t="s">
        <v>1835</v>
      </c>
      <c r="H648" s="9" t="s">
        <v>1836</v>
      </c>
      <c r="I648" s="10">
        <v>45574</v>
      </c>
    </row>
    <row r="649" spans="1:9" x14ac:dyDescent="0.15">
      <c r="A649" s="9">
        <v>648</v>
      </c>
      <c r="B649" s="9" t="s">
        <v>9</v>
      </c>
      <c r="C649" s="9">
        <v>1918</v>
      </c>
      <c r="D649" s="10">
        <v>45663</v>
      </c>
      <c r="E649" s="13" t="str">
        <f>+HYPERLINK("http://trademark.i-assist.jp/data/china/image_1918th/81260297.pdf","81260297")</f>
        <v>81260297</v>
      </c>
      <c r="F649" s="9" t="s">
        <v>1837</v>
      </c>
      <c r="G649" s="12" t="s">
        <v>1786</v>
      </c>
      <c r="H649" s="9" t="s">
        <v>1838</v>
      </c>
      <c r="I649" s="10">
        <v>45574</v>
      </c>
    </row>
    <row r="650" spans="1:9" x14ac:dyDescent="0.15">
      <c r="A650" s="9">
        <v>649</v>
      </c>
      <c r="B650" s="9" t="s">
        <v>9</v>
      </c>
      <c r="C650" s="9">
        <v>1918</v>
      </c>
      <c r="D650" s="10">
        <v>45663</v>
      </c>
      <c r="E650" s="13" t="str">
        <f>+HYPERLINK("http://trademark.i-assist.jp/data/china/image_1918th/81261075.pdf","81261075")</f>
        <v>81261075</v>
      </c>
      <c r="F650" s="12" t="s">
        <v>1839</v>
      </c>
      <c r="G650" s="12" t="s">
        <v>1840</v>
      </c>
      <c r="H650" s="9" t="s">
        <v>1841</v>
      </c>
      <c r="I650" s="10">
        <v>45574</v>
      </c>
    </row>
    <row r="651" spans="1:9" x14ac:dyDescent="0.15">
      <c r="A651" s="9">
        <v>650</v>
      </c>
      <c r="B651" s="9" t="s">
        <v>9</v>
      </c>
      <c r="C651" s="9">
        <v>1918</v>
      </c>
      <c r="D651" s="10">
        <v>45663</v>
      </c>
      <c r="E651" s="13" t="str">
        <f>+HYPERLINK("http://trademark.i-assist.jp/data/china/image_1918th/81261778.pdf","81261778")</f>
        <v>81261778</v>
      </c>
      <c r="F651" s="9" t="s">
        <v>1842</v>
      </c>
      <c r="G651" s="9" t="s">
        <v>1843</v>
      </c>
      <c r="H651" s="9" t="s">
        <v>1844</v>
      </c>
      <c r="I651" s="10">
        <v>45574</v>
      </c>
    </row>
    <row r="652" spans="1:9" x14ac:dyDescent="0.15">
      <c r="A652" s="9">
        <v>651</v>
      </c>
      <c r="B652" s="9" t="s">
        <v>9</v>
      </c>
      <c r="C652" s="9">
        <v>1918</v>
      </c>
      <c r="D652" s="10">
        <v>45663</v>
      </c>
      <c r="E652" s="13" t="str">
        <f>+HYPERLINK("http://trademark.i-assist.jp/data/china/image_1918th/81262083.pdf","81262083")</f>
        <v>81262083</v>
      </c>
      <c r="F652" s="9" t="s">
        <v>1845</v>
      </c>
      <c r="G652" s="9" t="s">
        <v>1846</v>
      </c>
      <c r="H652" s="9" t="s">
        <v>1847</v>
      </c>
      <c r="I652" s="10">
        <v>45574</v>
      </c>
    </row>
    <row r="653" spans="1:9" x14ac:dyDescent="0.15">
      <c r="A653" s="9">
        <v>652</v>
      </c>
      <c r="B653" s="9" t="s">
        <v>9</v>
      </c>
      <c r="C653" s="9">
        <v>1918</v>
      </c>
      <c r="D653" s="10">
        <v>45663</v>
      </c>
      <c r="E653" s="13" t="str">
        <f>+HYPERLINK("http://trademark.i-assist.jp/data/china/image_1918th/81262953.pdf","81262953")</f>
        <v>81262953</v>
      </c>
      <c r="F653" s="9" t="s">
        <v>1848</v>
      </c>
      <c r="G653" s="12" t="s">
        <v>1849</v>
      </c>
      <c r="H653" s="9" t="s">
        <v>1850</v>
      </c>
      <c r="I653" s="10">
        <v>45574</v>
      </c>
    </row>
    <row r="654" spans="1:9" x14ac:dyDescent="0.15">
      <c r="A654" s="9">
        <v>653</v>
      </c>
      <c r="B654" s="9" t="s">
        <v>9</v>
      </c>
      <c r="C654" s="9">
        <v>1918</v>
      </c>
      <c r="D654" s="10">
        <v>45663</v>
      </c>
      <c r="E654" s="13" t="str">
        <f>+HYPERLINK("http://trademark.i-assist.jp/data/china/image_1918th/81263108.pdf","81263108")</f>
        <v>81263108</v>
      </c>
      <c r="F654" s="9" t="s">
        <v>1851</v>
      </c>
      <c r="G654" s="9" t="s">
        <v>1852</v>
      </c>
      <c r="H654" s="9" t="s">
        <v>1853</v>
      </c>
      <c r="I654" s="10">
        <v>45574</v>
      </c>
    </row>
    <row r="655" spans="1:9" x14ac:dyDescent="0.15">
      <c r="A655" s="9">
        <v>654</v>
      </c>
      <c r="B655" s="9" t="s">
        <v>9</v>
      </c>
      <c r="C655" s="9">
        <v>1918</v>
      </c>
      <c r="D655" s="10">
        <v>45663</v>
      </c>
      <c r="E655" s="13" t="str">
        <f>+HYPERLINK("http://trademark.i-assist.jp/data/china/image_1918th/81263752.pdf","81263752")</f>
        <v>81263752</v>
      </c>
      <c r="F655" s="12" t="s">
        <v>1854</v>
      </c>
      <c r="G655" s="12" t="s">
        <v>1855</v>
      </c>
      <c r="H655" s="9" t="s">
        <v>1856</v>
      </c>
      <c r="I655" s="10">
        <v>45574</v>
      </c>
    </row>
    <row r="656" spans="1:9" x14ac:dyDescent="0.15">
      <c r="A656" s="9">
        <v>655</v>
      </c>
      <c r="B656" s="9" t="s">
        <v>9</v>
      </c>
      <c r="C656" s="9">
        <v>1918</v>
      </c>
      <c r="D656" s="10">
        <v>45663</v>
      </c>
      <c r="E656" s="13" t="str">
        <f>+HYPERLINK("http://trademark.i-assist.jp/data/china/image_1918th/81264176.pdf","81264176")</f>
        <v>81264176</v>
      </c>
      <c r="F656" s="9" t="s">
        <v>1857</v>
      </c>
      <c r="G656" s="9" t="s">
        <v>74</v>
      </c>
      <c r="H656" s="9" t="s">
        <v>1858</v>
      </c>
      <c r="I656" s="10">
        <v>45574</v>
      </c>
    </row>
    <row r="657" spans="1:9" x14ac:dyDescent="0.15">
      <c r="A657" s="9">
        <v>656</v>
      </c>
      <c r="B657" s="9" t="s">
        <v>9</v>
      </c>
      <c r="C657" s="9">
        <v>1918</v>
      </c>
      <c r="D657" s="10">
        <v>45663</v>
      </c>
      <c r="E657" s="13" t="str">
        <f>+HYPERLINK("http://trademark.i-assist.jp/data/china/image_1918th/81264327.pdf","81264327")</f>
        <v>81264327</v>
      </c>
      <c r="F657" s="12" t="s">
        <v>1859</v>
      </c>
      <c r="G657" s="12" t="s">
        <v>1840</v>
      </c>
      <c r="H657" s="9" t="s">
        <v>1860</v>
      </c>
      <c r="I657" s="10">
        <v>45574</v>
      </c>
    </row>
    <row r="658" spans="1:9" x14ac:dyDescent="0.15">
      <c r="A658" s="9">
        <v>657</v>
      </c>
      <c r="B658" s="9" t="s">
        <v>9</v>
      </c>
      <c r="C658" s="9">
        <v>1918</v>
      </c>
      <c r="D658" s="10">
        <v>45663</v>
      </c>
      <c r="E658" s="13" t="str">
        <f>+HYPERLINK("http://trademark.i-assist.jp/data/china/image_1918th/81264427.pdf","81264427")</f>
        <v>81264427</v>
      </c>
      <c r="F658" s="9" t="s">
        <v>1861</v>
      </c>
      <c r="G658" s="9" t="s">
        <v>1862</v>
      </c>
      <c r="H658" s="9" t="s">
        <v>1863</v>
      </c>
      <c r="I658" s="10">
        <v>45574</v>
      </c>
    </row>
    <row r="659" spans="1:9" x14ac:dyDescent="0.15">
      <c r="A659" s="9">
        <v>658</v>
      </c>
      <c r="B659" s="9" t="s">
        <v>9</v>
      </c>
      <c r="C659" s="9">
        <v>1918</v>
      </c>
      <c r="D659" s="10">
        <v>45663</v>
      </c>
      <c r="E659" s="13" t="str">
        <f>+HYPERLINK("http://trademark.i-assist.jp/data/china/image_1918th/81264440.pdf","81264440")</f>
        <v>81264440</v>
      </c>
      <c r="F659" s="9" t="s">
        <v>1864</v>
      </c>
      <c r="G659" s="9" t="s">
        <v>1865</v>
      </c>
      <c r="H659" s="9" t="s">
        <v>1866</v>
      </c>
      <c r="I659" s="10">
        <v>45574</v>
      </c>
    </row>
    <row r="660" spans="1:9" x14ac:dyDescent="0.15">
      <c r="A660" s="9">
        <v>659</v>
      </c>
      <c r="B660" s="9" t="s">
        <v>9</v>
      </c>
      <c r="C660" s="9">
        <v>1918</v>
      </c>
      <c r="D660" s="10">
        <v>45663</v>
      </c>
      <c r="E660" s="13" t="str">
        <f>+HYPERLINK("http://trademark.i-assist.jp/data/china/image_1918th/81264511.pdf","81264511")</f>
        <v>81264511</v>
      </c>
      <c r="F660" s="9" t="s">
        <v>1867</v>
      </c>
      <c r="G660" s="9" t="s">
        <v>1868</v>
      </c>
      <c r="H660" s="9" t="s">
        <v>1869</v>
      </c>
      <c r="I660" s="10">
        <v>45574</v>
      </c>
    </row>
    <row r="661" spans="1:9" x14ac:dyDescent="0.15">
      <c r="A661" s="9">
        <v>660</v>
      </c>
      <c r="B661" s="9" t="s">
        <v>9</v>
      </c>
      <c r="C661" s="9">
        <v>1918</v>
      </c>
      <c r="D661" s="10">
        <v>45663</v>
      </c>
      <c r="E661" s="13" t="str">
        <f>+HYPERLINK("http://trademark.i-assist.jp/data/china/image_1918th/81264980.pdf","81264980")</f>
        <v>81264980</v>
      </c>
      <c r="F661" s="9" t="s">
        <v>1870</v>
      </c>
      <c r="G661" s="9" t="s">
        <v>1871</v>
      </c>
      <c r="H661" s="9" t="s">
        <v>1872</v>
      </c>
      <c r="I661" s="10">
        <v>45574</v>
      </c>
    </row>
    <row r="662" spans="1:9" x14ac:dyDescent="0.15">
      <c r="A662" s="9">
        <v>661</v>
      </c>
      <c r="B662" s="9" t="s">
        <v>9</v>
      </c>
      <c r="C662" s="9">
        <v>1918</v>
      </c>
      <c r="D662" s="10">
        <v>45663</v>
      </c>
      <c r="E662" s="13" t="str">
        <f>+HYPERLINK("http://trademark.i-assist.jp/data/china/image_1918th/81265302.pdf","81265302")</f>
        <v>81265302</v>
      </c>
      <c r="F662" s="9" t="s">
        <v>1873</v>
      </c>
      <c r="G662" s="9" t="s">
        <v>1874</v>
      </c>
      <c r="H662" s="9" t="s">
        <v>1875</v>
      </c>
      <c r="I662" s="10">
        <v>45574</v>
      </c>
    </row>
    <row r="663" spans="1:9" x14ac:dyDescent="0.15">
      <c r="A663" s="9">
        <v>662</v>
      </c>
      <c r="B663" s="9" t="s">
        <v>9</v>
      </c>
      <c r="C663" s="9">
        <v>1918</v>
      </c>
      <c r="D663" s="10">
        <v>45663</v>
      </c>
      <c r="E663" s="13" t="str">
        <f>+HYPERLINK("http://trademark.i-assist.jp/data/china/image_1918th/81265457.pdf","81265457")</f>
        <v>81265457</v>
      </c>
      <c r="F663" s="12" t="s">
        <v>1876</v>
      </c>
      <c r="G663" s="12" t="s">
        <v>1877</v>
      </c>
      <c r="H663" s="9" t="s">
        <v>1878</v>
      </c>
      <c r="I663" s="10">
        <v>45574</v>
      </c>
    </row>
    <row r="664" spans="1:9" x14ac:dyDescent="0.15">
      <c r="A664" s="9">
        <v>663</v>
      </c>
      <c r="B664" s="9" t="s">
        <v>9</v>
      </c>
      <c r="C664" s="9">
        <v>1918</v>
      </c>
      <c r="D664" s="10">
        <v>45663</v>
      </c>
      <c r="E664" s="13" t="str">
        <f>+HYPERLINK("http://trademark.i-assist.jp/data/china/image_1918th/81265595.pdf","81265595")</f>
        <v>81265595</v>
      </c>
      <c r="F664" s="9" t="s">
        <v>1879</v>
      </c>
      <c r="G664" s="9" t="s">
        <v>1763</v>
      </c>
      <c r="H664" s="9" t="s">
        <v>1880</v>
      </c>
      <c r="I664" s="10">
        <v>45574</v>
      </c>
    </row>
    <row r="665" spans="1:9" x14ac:dyDescent="0.15">
      <c r="A665" s="9">
        <v>664</v>
      </c>
      <c r="B665" s="9" t="s">
        <v>9</v>
      </c>
      <c r="C665" s="9">
        <v>1918</v>
      </c>
      <c r="D665" s="10">
        <v>45663</v>
      </c>
      <c r="E665" s="13" t="str">
        <f>+HYPERLINK("http://trademark.i-assist.jp/data/china/image_1918th/81265739.pdf","81265739")</f>
        <v>81265739</v>
      </c>
      <c r="F665" s="9" t="s">
        <v>1881</v>
      </c>
      <c r="G665" s="9" t="s">
        <v>1882</v>
      </c>
      <c r="H665" s="9" t="s">
        <v>1883</v>
      </c>
      <c r="I665" s="10">
        <v>45574</v>
      </c>
    </row>
    <row r="666" spans="1:9" x14ac:dyDescent="0.15">
      <c r="A666" s="9">
        <v>665</v>
      </c>
      <c r="B666" s="9" t="s">
        <v>9</v>
      </c>
      <c r="C666" s="9">
        <v>1918</v>
      </c>
      <c r="D666" s="10">
        <v>45663</v>
      </c>
      <c r="E666" s="13" t="str">
        <f>+HYPERLINK("http://trademark.i-assist.jp/data/china/image_1918th/81265747.pdf","81265747")</f>
        <v>81265747</v>
      </c>
      <c r="F666" s="12" t="s">
        <v>1884</v>
      </c>
      <c r="G666" s="9" t="s">
        <v>1885</v>
      </c>
      <c r="H666" s="9" t="s">
        <v>1886</v>
      </c>
      <c r="I666" s="10">
        <v>45574</v>
      </c>
    </row>
    <row r="667" spans="1:9" x14ac:dyDescent="0.15">
      <c r="A667" s="9">
        <v>666</v>
      </c>
      <c r="B667" s="9" t="s">
        <v>9</v>
      </c>
      <c r="C667" s="9">
        <v>1918</v>
      </c>
      <c r="D667" s="10">
        <v>45663</v>
      </c>
      <c r="E667" s="13" t="str">
        <f>+HYPERLINK("http://trademark.i-assist.jp/data/china/image_1918th/81266039.pdf","81266039")</f>
        <v>81266039</v>
      </c>
      <c r="F667" s="12" t="s">
        <v>1887</v>
      </c>
      <c r="G667" s="9" t="s">
        <v>1888</v>
      </c>
      <c r="H667" s="9" t="s">
        <v>1889</v>
      </c>
      <c r="I667" s="10">
        <v>45574</v>
      </c>
    </row>
    <row r="668" spans="1:9" x14ac:dyDescent="0.15">
      <c r="A668" s="9">
        <v>667</v>
      </c>
      <c r="B668" s="9" t="s">
        <v>9</v>
      </c>
      <c r="C668" s="9">
        <v>1918</v>
      </c>
      <c r="D668" s="10">
        <v>45663</v>
      </c>
      <c r="E668" s="13" t="str">
        <f>+HYPERLINK("http://trademark.i-assist.jp/data/china/image_1918th/81266145.pdf","81266145")</f>
        <v>81266145</v>
      </c>
      <c r="F668" s="12" t="s">
        <v>1890</v>
      </c>
      <c r="G668" s="12" t="s">
        <v>1891</v>
      </c>
      <c r="H668" s="9" t="s">
        <v>1892</v>
      </c>
      <c r="I668" s="10">
        <v>45574</v>
      </c>
    </row>
    <row r="669" spans="1:9" x14ac:dyDescent="0.15">
      <c r="A669" s="9">
        <v>668</v>
      </c>
      <c r="B669" s="9" t="s">
        <v>9</v>
      </c>
      <c r="C669" s="9">
        <v>1918</v>
      </c>
      <c r="D669" s="10">
        <v>45663</v>
      </c>
      <c r="E669" s="13" t="str">
        <f>+HYPERLINK("http://trademark.i-assist.jp/data/china/image_1918th/81266319.pdf","81266319")</f>
        <v>81266319</v>
      </c>
      <c r="F669" s="9" t="s">
        <v>1893</v>
      </c>
      <c r="G669" s="9" t="s">
        <v>85</v>
      </c>
      <c r="H669" s="9" t="s">
        <v>1894</v>
      </c>
      <c r="I669" s="10">
        <v>45574</v>
      </c>
    </row>
    <row r="670" spans="1:9" x14ac:dyDescent="0.15">
      <c r="A670" s="9">
        <v>669</v>
      </c>
      <c r="B670" s="9" t="s">
        <v>9</v>
      </c>
      <c r="C670" s="9">
        <v>1918</v>
      </c>
      <c r="D670" s="10">
        <v>45663</v>
      </c>
      <c r="E670" s="13" t="str">
        <f>+HYPERLINK("http://trademark.i-assist.jp/data/china/image_1918th/81266785.pdf","81266785")</f>
        <v>81266785</v>
      </c>
      <c r="F670" s="12" t="s">
        <v>1895</v>
      </c>
      <c r="G670" s="9" t="s">
        <v>1846</v>
      </c>
      <c r="H670" s="9" t="s">
        <v>1896</v>
      </c>
      <c r="I670" s="10">
        <v>45574</v>
      </c>
    </row>
    <row r="671" spans="1:9" x14ac:dyDescent="0.15">
      <c r="A671" s="9">
        <v>670</v>
      </c>
      <c r="B671" s="9" t="s">
        <v>9</v>
      </c>
      <c r="C671" s="9">
        <v>1918</v>
      </c>
      <c r="D671" s="10">
        <v>45663</v>
      </c>
      <c r="E671" s="13" t="str">
        <f>+HYPERLINK("http://trademark.i-assist.jp/data/china/image_1918th/81266899.pdf","81266899")</f>
        <v>81266899</v>
      </c>
      <c r="F671" s="12" t="s">
        <v>1897</v>
      </c>
      <c r="G671" s="12" t="s">
        <v>1769</v>
      </c>
      <c r="H671" s="9" t="s">
        <v>1898</v>
      </c>
      <c r="I671" s="10">
        <v>45574</v>
      </c>
    </row>
    <row r="672" spans="1:9" x14ac:dyDescent="0.15">
      <c r="A672" s="9">
        <v>671</v>
      </c>
      <c r="B672" s="9" t="s">
        <v>9</v>
      </c>
      <c r="C672" s="9">
        <v>1918</v>
      </c>
      <c r="D672" s="10">
        <v>45663</v>
      </c>
      <c r="E672" s="13" t="str">
        <f>+HYPERLINK("http://trademark.i-assist.jp/data/china/image_1918th/81266904.pdf","81266904")</f>
        <v>81266904</v>
      </c>
      <c r="F672" s="12" t="s">
        <v>1899</v>
      </c>
      <c r="G672" s="9" t="s">
        <v>1814</v>
      </c>
      <c r="H672" s="9" t="s">
        <v>1900</v>
      </c>
      <c r="I672" s="10">
        <v>45574</v>
      </c>
    </row>
    <row r="673" spans="1:9" x14ac:dyDescent="0.15">
      <c r="A673" s="9">
        <v>672</v>
      </c>
      <c r="B673" s="9" t="s">
        <v>9</v>
      </c>
      <c r="C673" s="9">
        <v>1918</v>
      </c>
      <c r="D673" s="10">
        <v>45663</v>
      </c>
      <c r="E673" s="13" t="str">
        <f>+HYPERLINK("http://trademark.i-assist.jp/data/china/image_1918th/81267168.pdf","81267168")</f>
        <v>81267168</v>
      </c>
      <c r="F673" s="12" t="s">
        <v>1901</v>
      </c>
      <c r="G673" s="9" t="s">
        <v>1902</v>
      </c>
      <c r="H673" s="9" t="s">
        <v>1903</v>
      </c>
      <c r="I673" s="10">
        <v>45574</v>
      </c>
    </row>
    <row r="674" spans="1:9" x14ac:dyDescent="0.15">
      <c r="A674" s="9">
        <v>673</v>
      </c>
      <c r="B674" s="9" t="s">
        <v>9</v>
      </c>
      <c r="C674" s="9">
        <v>1918</v>
      </c>
      <c r="D674" s="10">
        <v>45663</v>
      </c>
      <c r="E674" s="13" t="str">
        <f>+HYPERLINK("http://trademark.i-assist.jp/data/china/image_1918th/81267312.pdf","81267312")</f>
        <v>81267312</v>
      </c>
      <c r="F674" s="9" t="s">
        <v>1904</v>
      </c>
      <c r="G674" s="9" t="s">
        <v>72</v>
      </c>
      <c r="H674" s="9" t="s">
        <v>1905</v>
      </c>
      <c r="I674" s="10">
        <v>45574</v>
      </c>
    </row>
    <row r="675" spans="1:9" x14ac:dyDescent="0.15">
      <c r="A675" s="9">
        <v>674</v>
      </c>
      <c r="B675" s="9" t="s">
        <v>9</v>
      </c>
      <c r="C675" s="9">
        <v>1918</v>
      </c>
      <c r="D675" s="10">
        <v>45663</v>
      </c>
      <c r="E675" s="13" t="str">
        <f>+HYPERLINK("http://trademark.i-assist.jp/data/china/image_1918th/81267443.pdf","81267443")</f>
        <v>81267443</v>
      </c>
      <c r="F675" s="9" t="s">
        <v>1906</v>
      </c>
      <c r="G675" s="12" t="s">
        <v>1907</v>
      </c>
      <c r="H675" s="9" t="s">
        <v>1908</v>
      </c>
      <c r="I675" s="10">
        <v>45574</v>
      </c>
    </row>
    <row r="676" spans="1:9" x14ac:dyDescent="0.15">
      <c r="A676" s="9">
        <v>675</v>
      </c>
      <c r="B676" s="9" t="s">
        <v>9</v>
      </c>
      <c r="C676" s="9">
        <v>1918</v>
      </c>
      <c r="D676" s="10">
        <v>45663</v>
      </c>
      <c r="E676" s="13" t="str">
        <f>+HYPERLINK("http://trademark.i-assist.jp/data/china/image_1918th/81267458.pdf","81267458")</f>
        <v>81267458</v>
      </c>
      <c r="F676" s="9" t="s">
        <v>1909</v>
      </c>
      <c r="G676" s="9" t="s">
        <v>1910</v>
      </c>
      <c r="H676" s="9" t="s">
        <v>1911</v>
      </c>
      <c r="I676" s="10">
        <v>45574</v>
      </c>
    </row>
    <row r="677" spans="1:9" x14ac:dyDescent="0.15">
      <c r="A677" s="9">
        <v>676</v>
      </c>
      <c r="B677" s="9" t="s">
        <v>9</v>
      </c>
      <c r="C677" s="9">
        <v>1918</v>
      </c>
      <c r="D677" s="10">
        <v>45663</v>
      </c>
      <c r="E677" s="13" t="str">
        <f>+HYPERLINK("http://trademark.i-assist.jp/data/china/image_1918th/81267776.pdf","81267776")</f>
        <v>81267776</v>
      </c>
      <c r="F677" s="9" t="s">
        <v>1912</v>
      </c>
      <c r="G677" s="9" t="s">
        <v>1913</v>
      </c>
      <c r="H677" s="9" t="s">
        <v>1914</v>
      </c>
      <c r="I677" s="10">
        <v>45574</v>
      </c>
    </row>
    <row r="678" spans="1:9" x14ac:dyDescent="0.15">
      <c r="A678" s="9">
        <v>677</v>
      </c>
      <c r="B678" s="9" t="s">
        <v>9</v>
      </c>
      <c r="C678" s="9">
        <v>1918</v>
      </c>
      <c r="D678" s="10">
        <v>45663</v>
      </c>
      <c r="E678" s="13" t="str">
        <f>+HYPERLINK("http://trademark.i-assist.jp/data/china/image_1918th/81267992.pdf","81267992")</f>
        <v>81267992</v>
      </c>
      <c r="F678" s="9" t="s">
        <v>1915</v>
      </c>
      <c r="G678" s="9" t="s">
        <v>30</v>
      </c>
      <c r="H678" s="9" t="s">
        <v>1916</v>
      </c>
      <c r="I678" s="10">
        <v>45574</v>
      </c>
    </row>
    <row r="679" spans="1:9" x14ac:dyDescent="0.15">
      <c r="A679" s="9">
        <v>678</v>
      </c>
      <c r="B679" s="9" t="s">
        <v>9</v>
      </c>
      <c r="C679" s="9">
        <v>1918</v>
      </c>
      <c r="D679" s="10">
        <v>45663</v>
      </c>
      <c r="E679" s="13" t="str">
        <f>+HYPERLINK("http://trademark.i-assist.jp/data/china/image_1918th/81268125.pdf","81268125")</f>
        <v>81268125</v>
      </c>
      <c r="F679" s="9" t="s">
        <v>1917</v>
      </c>
      <c r="G679" s="9" t="s">
        <v>363</v>
      </c>
      <c r="H679" s="9" t="s">
        <v>1918</v>
      </c>
      <c r="I679" s="10">
        <v>45574</v>
      </c>
    </row>
    <row r="680" spans="1:9" x14ac:dyDescent="0.15">
      <c r="A680" s="9">
        <v>679</v>
      </c>
      <c r="B680" s="9" t="s">
        <v>9</v>
      </c>
      <c r="C680" s="9">
        <v>1918</v>
      </c>
      <c r="D680" s="10">
        <v>45663</v>
      </c>
      <c r="E680" s="13" t="str">
        <f>+HYPERLINK("http://trademark.i-assist.jp/data/china/image_1918th/81268154.pdf","81268154")</f>
        <v>81268154</v>
      </c>
      <c r="F680" s="9" t="s">
        <v>1919</v>
      </c>
      <c r="G680" s="9" t="s">
        <v>363</v>
      </c>
      <c r="H680" s="9" t="s">
        <v>1920</v>
      </c>
      <c r="I680" s="10">
        <v>45574</v>
      </c>
    </row>
    <row r="681" spans="1:9" x14ac:dyDescent="0.15">
      <c r="A681" s="9">
        <v>680</v>
      </c>
      <c r="B681" s="9" t="s">
        <v>9</v>
      </c>
      <c r="C681" s="9">
        <v>1918</v>
      </c>
      <c r="D681" s="10">
        <v>45663</v>
      </c>
      <c r="E681" s="13" t="str">
        <f>+HYPERLINK("http://trademark.i-assist.jp/data/china/image_1918th/81268524.pdf","81268524")</f>
        <v>81268524</v>
      </c>
      <c r="F681" s="12" t="s">
        <v>1921</v>
      </c>
      <c r="G681" s="9" t="s">
        <v>1922</v>
      </c>
      <c r="H681" s="9" t="s">
        <v>1923</v>
      </c>
      <c r="I681" s="10">
        <v>45574</v>
      </c>
    </row>
    <row r="682" spans="1:9" x14ac:dyDescent="0.15">
      <c r="A682" s="9">
        <v>681</v>
      </c>
      <c r="B682" s="9" t="s">
        <v>9</v>
      </c>
      <c r="C682" s="9">
        <v>1918</v>
      </c>
      <c r="D682" s="10">
        <v>45663</v>
      </c>
      <c r="E682" s="13" t="str">
        <f>+HYPERLINK("http://trademark.i-assist.jp/data/china/image_1918th/81268615.pdf","81268615")</f>
        <v>81268615</v>
      </c>
      <c r="F682" s="9" t="s">
        <v>1924</v>
      </c>
      <c r="G682" s="9" t="s">
        <v>1925</v>
      </c>
      <c r="H682" s="9" t="s">
        <v>1926</v>
      </c>
      <c r="I682" s="10">
        <v>45574</v>
      </c>
    </row>
    <row r="683" spans="1:9" x14ac:dyDescent="0.15">
      <c r="A683" s="9">
        <v>682</v>
      </c>
      <c r="B683" s="9" t="s">
        <v>9</v>
      </c>
      <c r="C683" s="9">
        <v>1918</v>
      </c>
      <c r="D683" s="10">
        <v>45663</v>
      </c>
      <c r="E683" s="13" t="str">
        <f>+HYPERLINK("http://trademark.i-assist.jp/data/china/image_1918th/81268656.pdf","81268656")</f>
        <v>81268656</v>
      </c>
      <c r="F683" s="9" t="s">
        <v>1927</v>
      </c>
      <c r="G683" s="12" t="s">
        <v>1744</v>
      </c>
      <c r="H683" s="9" t="s">
        <v>1928</v>
      </c>
      <c r="I683" s="10">
        <v>45574</v>
      </c>
    </row>
    <row r="684" spans="1:9" x14ac:dyDescent="0.15">
      <c r="A684" s="9">
        <v>683</v>
      </c>
      <c r="B684" s="9" t="s">
        <v>9</v>
      </c>
      <c r="C684" s="9">
        <v>1918</v>
      </c>
      <c r="D684" s="10">
        <v>45663</v>
      </c>
      <c r="E684" s="13" t="str">
        <f>+HYPERLINK("http://trademark.i-assist.jp/data/china/image_1918th/81269150.pdf","81269150")</f>
        <v>81269150</v>
      </c>
      <c r="F684" s="9" t="s">
        <v>1929</v>
      </c>
      <c r="G684" s="9" t="s">
        <v>72</v>
      </c>
      <c r="H684" s="9" t="s">
        <v>1930</v>
      </c>
      <c r="I684" s="10">
        <v>45574</v>
      </c>
    </row>
    <row r="685" spans="1:9" x14ac:dyDescent="0.15">
      <c r="A685" s="9">
        <v>684</v>
      </c>
      <c r="B685" s="9" t="s">
        <v>9</v>
      </c>
      <c r="C685" s="9">
        <v>1918</v>
      </c>
      <c r="D685" s="10">
        <v>45663</v>
      </c>
      <c r="E685" s="13" t="str">
        <f>+HYPERLINK("http://trademark.i-assist.jp/data/china/image_1918th/81269233.pdf","81269233")</f>
        <v>81269233</v>
      </c>
      <c r="F685" s="12" t="s">
        <v>12</v>
      </c>
      <c r="G685" s="9" t="s">
        <v>1931</v>
      </c>
      <c r="H685" s="9" t="s">
        <v>1932</v>
      </c>
      <c r="I685" s="10">
        <v>45574</v>
      </c>
    </row>
    <row r="686" spans="1:9" x14ac:dyDescent="0.15">
      <c r="A686" s="9">
        <v>685</v>
      </c>
      <c r="B686" s="9" t="s">
        <v>9</v>
      </c>
      <c r="C686" s="9">
        <v>1918</v>
      </c>
      <c r="D686" s="10">
        <v>45663</v>
      </c>
      <c r="E686" s="13" t="str">
        <f>+HYPERLINK("http://trademark.i-assist.jp/data/china/image_1918th/81269290.pdf","81269290")</f>
        <v>81269290</v>
      </c>
      <c r="F686" s="9" t="s">
        <v>1933</v>
      </c>
      <c r="G686" s="9" t="s">
        <v>1934</v>
      </c>
      <c r="H686" s="9" t="s">
        <v>1935</v>
      </c>
      <c r="I686" s="10">
        <v>45574</v>
      </c>
    </row>
    <row r="687" spans="1:9" x14ac:dyDescent="0.15">
      <c r="A687" s="9">
        <v>686</v>
      </c>
      <c r="B687" s="9" t="s">
        <v>9</v>
      </c>
      <c r="C687" s="9">
        <v>1918</v>
      </c>
      <c r="D687" s="10">
        <v>45663</v>
      </c>
      <c r="E687" s="13" t="str">
        <f>+HYPERLINK("http://trademark.i-assist.jp/data/china/image_1918th/81269307.pdf","81269307")</f>
        <v>81269307</v>
      </c>
      <c r="F687" s="9" t="s">
        <v>1936</v>
      </c>
      <c r="G687" s="9" t="s">
        <v>1937</v>
      </c>
      <c r="H687" s="9" t="s">
        <v>1938</v>
      </c>
      <c r="I687" s="10">
        <v>45574</v>
      </c>
    </row>
    <row r="688" spans="1:9" x14ac:dyDescent="0.15">
      <c r="A688" s="9">
        <v>687</v>
      </c>
      <c r="B688" s="9" t="s">
        <v>9</v>
      </c>
      <c r="C688" s="9">
        <v>1918</v>
      </c>
      <c r="D688" s="10">
        <v>45663</v>
      </c>
      <c r="E688" s="13" t="str">
        <f>+HYPERLINK("http://trademark.i-assist.jp/data/china/image_1918th/81269795.pdf","81269795")</f>
        <v>81269795</v>
      </c>
      <c r="F688" s="9" t="s">
        <v>1939</v>
      </c>
      <c r="G688" s="9" t="s">
        <v>1940</v>
      </c>
      <c r="H688" s="9" t="s">
        <v>1941</v>
      </c>
      <c r="I688" s="10">
        <v>45574</v>
      </c>
    </row>
    <row r="689" spans="1:9" x14ac:dyDescent="0.15">
      <c r="A689" s="9">
        <v>688</v>
      </c>
      <c r="B689" s="9" t="s">
        <v>9</v>
      </c>
      <c r="C689" s="9">
        <v>1918</v>
      </c>
      <c r="D689" s="10">
        <v>45663</v>
      </c>
      <c r="E689" s="13" t="str">
        <f>+HYPERLINK("http://trademark.i-assist.jp/data/china/image_1918th/81269867.pdf","81269867")</f>
        <v>81269867</v>
      </c>
      <c r="F689" s="9" t="s">
        <v>1942</v>
      </c>
      <c r="G689" s="9" t="s">
        <v>1943</v>
      </c>
      <c r="H689" s="9" t="s">
        <v>1944</v>
      </c>
      <c r="I689" s="10">
        <v>45574</v>
      </c>
    </row>
    <row r="690" spans="1:9" x14ac:dyDescent="0.15">
      <c r="A690" s="9">
        <v>689</v>
      </c>
      <c r="B690" s="9" t="s">
        <v>9</v>
      </c>
      <c r="C690" s="9">
        <v>1918</v>
      </c>
      <c r="D690" s="10">
        <v>45663</v>
      </c>
      <c r="E690" s="13" t="str">
        <f>+HYPERLINK("http://trademark.i-assist.jp/data/china/image_1918th/81269915.pdf","81269915")</f>
        <v>81269915</v>
      </c>
      <c r="F690" s="9" t="s">
        <v>1945</v>
      </c>
      <c r="G690" s="9" t="s">
        <v>1946</v>
      </c>
      <c r="H690" s="9" t="s">
        <v>1947</v>
      </c>
      <c r="I690" s="10">
        <v>45574</v>
      </c>
    </row>
    <row r="691" spans="1:9" x14ac:dyDescent="0.15">
      <c r="A691" s="9">
        <v>690</v>
      </c>
      <c r="B691" s="9" t="s">
        <v>9</v>
      </c>
      <c r="C691" s="9">
        <v>1918</v>
      </c>
      <c r="D691" s="10">
        <v>45663</v>
      </c>
      <c r="E691" s="13" t="str">
        <f>+HYPERLINK("http://trademark.i-assist.jp/data/china/image_1918th/81270033.pdf","81270033")</f>
        <v>81270033</v>
      </c>
      <c r="F691" s="9" t="s">
        <v>1948</v>
      </c>
      <c r="G691" s="9" t="s">
        <v>1949</v>
      </c>
      <c r="H691" s="9" t="s">
        <v>1950</v>
      </c>
      <c r="I691" s="10">
        <v>45574</v>
      </c>
    </row>
    <row r="692" spans="1:9" x14ac:dyDescent="0.15">
      <c r="A692" s="9">
        <v>691</v>
      </c>
      <c r="B692" s="9" t="s">
        <v>9</v>
      </c>
      <c r="C692" s="9">
        <v>1918</v>
      </c>
      <c r="D692" s="10">
        <v>45663</v>
      </c>
      <c r="E692" s="13" t="str">
        <f>+HYPERLINK("http://trademark.i-assist.jp/data/china/image_1918th/81270041.pdf","81270041")</f>
        <v>81270041</v>
      </c>
      <c r="F692" s="9" t="s">
        <v>1951</v>
      </c>
      <c r="G692" s="9" t="s">
        <v>1946</v>
      </c>
      <c r="H692" s="9" t="s">
        <v>1952</v>
      </c>
      <c r="I692" s="10">
        <v>45574</v>
      </c>
    </row>
    <row r="693" spans="1:9" x14ac:dyDescent="0.15">
      <c r="A693" s="9">
        <v>692</v>
      </c>
      <c r="B693" s="9" t="s">
        <v>9</v>
      </c>
      <c r="C693" s="9">
        <v>1918</v>
      </c>
      <c r="D693" s="10">
        <v>45663</v>
      </c>
      <c r="E693" s="13" t="str">
        <f>+HYPERLINK("http://trademark.i-assist.jp/data/china/image_1918th/81270149.pdf","81270149")</f>
        <v>81270149</v>
      </c>
      <c r="F693" s="9" t="s">
        <v>1953</v>
      </c>
      <c r="G693" s="9" t="s">
        <v>1954</v>
      </c>
      <c r="H693" s="9" t="s">
        <v>1955</v>
      </c>
      <c r="I693" s="10">
        <v>45574</v>
      </c>
    </row>
    <row r="694" spans="1:9" x14ac:dyDescent="0.15">
      <c r="A694" s="9">
        <v>693</v>
      </c>
      <c r="B694" s="9" t="s">
        <v>9</v>
      </c>
      <c r="C694" s="9">
        <v>1918</v>
      </c>
      <c r="D694" s="10">
        <v>45663</v>
      </c>
      <c r="E694" s="13" t="str">
        <f>+HYPERLINK("http://trademark.i-assist.jp/data/china/image_1918th/81270957.pdf","81270957")</f>
        <v>81270957</v>
      </c>
      <c r="F694" s="9" t="s">
        <v>1956</v>
      </c>
      <c r="G694" s="9" t="s">
        <v>89</v>
      </c>
      <c r="H694" s="9" t="s">
        <v>1957</v>
      </c>
      <c r="I694" s="10">
        <v>45574</v>
      </c>
    </row>
    <row r="695" spans="1:9" x14ac:dyDescent="0.15">
      <c r="A695" s="9">
        <v>694</v>
      </c>
      <c r="B695" s="9" t="s">
        <v>9</v>
      </c>
      <c r="C695" s="9">
        <v>1918</v>
      </c>
      <c r="D695" s="10">
        <v>45663</v>
      </c>
      <c r="E695" s="13" t="str">
        <f>+HYPERLINK("http://trademark.i-assist.jp/data/china/image_1918th/81271853.pdf","81271853")</f>
        <v>81271853</v>
      </c>
      <c r="F695" s="9" t="s">
        <v>1958</v>
      </c>
      <c r="G695" s="9" t="s">
        <v>1946</v>
      </c>
      <c r="H695" s="9" t="s">
        <v>1959</v>
      </c>
      <c r="I695" s="10">
        <v>45574</v>
      </c>
    </row>
    <row r="696" spans="1:9" x14ac:dyDescent="0.15">
      <c r="A696" s="9">
        <v>695</v>
      </c>
      <c r="B696" s="9" t="s">
        <v>9</v>
      </c>
      <c r="C696" s="9">
        <v>1918</v>
      </c>
      <c r="D696" s="10">
        <v>45663</v>
      </c>
      <c r="E696" s="13" t="str">
        <f>+HYPERLINK("http://trademark.i-assist.jp/data/china/image_1918th/81271921.pdf","81271921")</f>
        <v>81271921</v>
      </c>
      <c r="F696" s="9" t="s">
        <v>1960</v>
      </c>
      <c r="G696" s="9" t="s">
        <v>1931</v>
      </c>
      <c r="H696" s="9" t="s">
        <v>1961</v>
      </c>
      <c r="I696" s="10">
        <v>45574</v>
      </c>
    </row>
    <row r="697" spans="1:9" x14ac:dyDescent="0.15">
      <c r="A697" s="9">
        <v>696</v>
      </c>
      <c r="B697" s="9" t="s">
        <v>9</v>
      </c>
      <c r="C697" s="9">
        <v>1918</v>
      </c>
      <c r="D697" s="10">
        <v>45663</v>
      </c>
      <c r="E697" s="13" t="str">
        <f>+HYPERLINK("http://trademark.i-assist.jp/data/china/image_1918th/81272510.pdf","81272510")</f>
        <v>81272510</v>
      </c>
      <c r="F697" s="9" t="s">
        <v>1962</v>
      </c>
      <c r="G697" s="9" t="s">
        <v>1963</v>
      </c>
      <c r="H697" s="9" t="s">
        <v>1964</v>
      </c>
      <c r="I697" s="10">
        <v>45574</v>
      </c>
    </row>
    <row r="698" spans="1:9" x14ac:dyDescent="0.15">
      <c r="A698" s="9">
        <v>697</v>
      </c>
      <c r="B698" s="9" t="s">
        <v>9</v>
      </c>
      <c r="C698" s="9">
        <v>1918</v>
      </c>
      <c r="D698" s="10">
        <v>45663</v>
      </c>
      <c r="E698" s="13" t="str">
        <f>+HYPERLINK("http://trademark.i-assist.jp/data/china/image_1918th/81272539.pdf","81272539")</f>
        <v>81272539</v>
      </c>
      <c r="F698" s="9" t="s">
        <v>1965</v>
      </c>
      <c r="G698" s="9" t="s">
        <v>1966</v>
      </c>
      <c r="H698" s="12" t="s">
        <v>1967</v>
      </c>
      <c r="I698" s="10">
        <v>45574</v>
      </c>
    </row>
    <row r="699" spans="1:9" x14ac:dyDescent="0.15">
      <c r="A699" s="9">
        <v>698</v>
      </c>
      <c r="B699" s="9" t="s">
        <v>9</v>
      </c>
      <c r="C699" s="9">
        <v>1918</v>
      </c>
      <c r="D699" s="10">
        <v>45663</v>
      </c>
      <c r="E699" s="13" t="str">
        <f>+HYPERLINK("http://trademark.i-assist.jp/data/china/image_1918th/81273004.pdf","81273004")</f>
        <v>81273004</v>
      </c>
      <c r="F699" s="12" t="s">
        <v>12</v>
      </c>
      <c r="G699" s="9" t="s">
        <v>76</v>
      </c>
      <c r="H699" s="9" t="s">
        <v>1968</v>
      </c>
      <c r="I699" s="10">
        <v>45574</v>
      </c>
    </row>
    <row r="700" spans="1:9" x14ac:dyDescent="0.15">
      <c r="A700" s="9">
        <v>699</v>
      </c>
      <c r="B700" s="9" t="s">
        <v>9</v>
      </c>
      <c r="C700" s="9">
        <v>1918</v>
      </c>
      <c r="D700" s="10">
        <v>45663</v>
      </c>
      <c r="E700" s="13" t="str">
        <f>+HYPERLINK("http://trademark.i-assist.jp/data/china/image_1918th/81273043.pdf","81273043")</f>
        <v>81273043</v>
      </c>
      <c r="F700" s="9" t="s">
        <v>1969</v>
      </c>
      <c r="G700" s="12" t="s">
        <v>1970</v>
      </c>
      <c r="H700" s="9" t="s">
        <v>1971</v>
      </c>
      <c r="I700" s="10">
        <v>45574</v>
      </c>
    </row>
    <row r="701" spans="1:9" x14ac:dyDescent="0.15">
      <c r="A701" s="9">
        <v>700</v>
      </c>
      <c r="B701" s="9" t="s">
        <v>9</v>
      </c>
      <c r="C701" s="9">
        <v>1918</v>
      </c>
      <c r="D701" s="10">
        <v>45663</v>
      </c>
      <c r="E701" s="13" t="str">
        <f>+HYPERLINK("http://trademark.i-assist.jp/data/china/image_1918th/81273151.pdf","81273151")</f>
        <v>81273151</v>
      </c>
      <c r="F701" s="12" t="s">
        <v>1972</v>
      </c>
      <c r="G701" s="9" t="s">
        <v>1913</v>
      </c>
      <c r="H701" s="12" t="s">
        <v>1973</v>
      </c>
      <c r="I701" s="10">
        <v>45574</v>
      </c>
    </row>
    <row r="702" spans="1:9" x14ac:dyDescent="0.15">
      <c r="A702" s="9">
        <v>701</v>
      </c>
      <c r="B702" s="9" t="s">
        <v>9</v>
      </c>
      <c r="C702" s="9">
        <v>1918</v>
      </c>
      <c r="D702" s="10">
        <v>45663</v>
      </c>
      <c r="E702" s="13" t="str">
        <f>+HYPERLINK("http://trademark.i-assist.jp/data/china/image_1918th/81273375.pdf","81273375")</f>
        <v>81273375</v>
      </c>
      <c r="F702" s="9" t="s">
        <v>1974</v>
      </c>
      <c r="G702" s="9" t="s">
        <v>1975</v>
      </c>
      <c r="H702" s="9" t="s">
        <v>1976</v>
      </c>
      <c r="I702" s="10">
        <v>45574</v>
      </c>
    </row>
    <row r="703" spans="1:9" x14ac:dyDescent="0.15">
      <c r="A703" s="9">
        <v>702</v>
      </c>
      <c r="B703" s="9" t="s">
        <v>9</v>
      </c>
      <c r="C703" s="9">
        <v>1918</v>
      </c>
      <c r="D703" s="10">
        <v>45663</v>
      </c>
      <c r="E703" s="13" t="str">
        <f>+HYPERLINK("http://trademark.i-assist.jp/data/china/image_1918th/81274141.pdf","81274141")</f>
        <v>81274141</v>
      </c>
      <c r="F703" s="9" t="s">
        <v>1977</v>
      </c>
      <c r="G703" s="9" t="s">
        <v>1978</v>
      </c>
      <c r="H703" s="9" t="s">
        <v>1979</v>
      </c>
      <c r="I703" s="10">
        <v>45574</v>
      </c>
    </row>
    <row r="704" spans="1:9" x14ac:dyDescent="0.15">
      <c r="A704" s="9">
        <v>703</v>
      </c>
      <c r="B704" s="9" t="s">
        <v>9</v>
      </c>
      <c r="C704" s="9">
        <v>1918</v>
      </c>
      <c r="D704" s="10">
        <v>45663</v>
      </c>
      <c r="E704" s="13" t="str">
        <f>+HYPERLINK("http://trademark.i-assist.jp/data/china/image_1918th/81274278.pdf","81274278")</f>
        <v>81274278</v>
      </c>
      <c r="F704" s="9" t="s">
        <v>1980</v>
      </c>
      <c r="G704" s="9" t="s">
        <v>85</v>
      </c>
      <c r="H704" s="9" t="s">
        <v>1981</v>
      </c>
      <c r="I704" s="10">
        <v>45574</v>
      </c>
    </row>
    <row r="705" spans="1:9" x14ac:dyDescent="0.15">
      <c r="A705" s="9">
        <v>704</v>
      </c>
      <c r="B705" s="9" t="s">
        <v>9</v>
      </c>
      <c r="C705" s="9">
        <v>1918</v>
      </c>
      <c r="D705" s="10">
        <v>45663</v>
      </c>
      <c r="E705" s="13" t="str">
        <f>+HYPERLINK("http://trademark.i-assist.jp/data/china/image_1918th/81274367.pdf","81274367")</f>
        <v>81274367</v>
      </c>
      <c r="F705" s="12" t="s">
        <v>1982</v>
      </c>
      <c r="G705" s="9" t="s">
        <v>1983</v>
      </c>
      <c r="H705" s="9" t="s">
        <v>1984</v>
      </c>
      <c r="I705" s="10">
        <v>45574</v>
      </c>
    </row>
    <row r="706" spans="1:9" x14ac:dyDescent="0.15">
      <c r="A706" s="9">
        <v>705</v>
      </c>
      <c r="B706" s="9" t="s">
        <v>9</v>
      </c>
      <c r="C706" s="9">
        <v>1918</v>
      </c>
      <c r="D706" s="10">
        <v>45663</v>
      </c>
      <c r="E706" s="13" t="str">
        <f>+HYPERLINK("http://trademark.i-assist.jp/data/china/image_1918th/81274593.pdf","81274593")</f>
        <v>81274593</v>
      </c>
      <c r="F706" s="12" t="s">
        <v>1985</v>
      </c>
      <c r="G706" s="9" t="s">
        <v>1986</v>
      </c>
      <c r="H706" s="12" t="s">
        <v>1987</v>
      </c>
      <c r="I706" s="10">
        <v>45574</v>
      </c>
    </row>
    <row r="707" spans="1:9" x14ac:dyDescent="0.15">
      <c r="A707" s="9">
        <v>706</v>
      </c>
      <c r="B707" s="9" t="s">
        <v>9</v>
      </c>
      <c r="C707" s="9">
        <v>1918</v>
      </c>
      <c r="D707" s="10">
        <v>45663</v>
      </c>
      <c r="E707" s="13" t="str">
        <f>+HYPERLINK("http://trademark.i-assist.jp/data/china/image_1918th/81274739.pdf","81274739")</f>
        <v>81274739</v>
      </c>
      <c r="F707" s="12" t="s">
        <v>1988</v>
      </c>
      <c r="G707" s="9" t="s">
        <v>1868</v>
      </c>
      <c r="H707" s="9" t="s">
        <v>1989</v>
      </c>
      <c r="I707" s="10">
        <v>45574</v>
      </c>
    </row>
    <row r="708" spans="1:9" x14ac:dyDescent="0.15">
      <c r="A708" s="9">
        <v>707</v>
      </c>
      <c r="B708" s="9" t="s">
        <v>9</v>
      </c>
      <c r="C708" s="9">
        <v>1918</v>
      </c>
      <c r="D708" s="10">
        <v>45663</v>
      </c>
      <c r="E708" s="13" t="str">
        <f>+HYPERLINK("http://trademark.i-assist.jp/data/china/image_1918th/81275080.pdf","81275080")</f>
        <v>81275080</v>
      </c>
      <c r="F708" s="12" t="s">
        <v>1990</v>
      </c>
      <c r="G708" s="9" t="s">
        <v>1820</v>
      </c>
      <c r="H708" s="9" t="s">
        <v>1991</v>
      </c>
      <c r="I708" s="10">
        <v>45574</v>
      </c>
    </row>
    <row r="709" spans="1:9" x14ac:dyDescent="0.15">
      <c r="A709" s="9">
        <v>708</v>
      </c>
      <c r="B709" s="9" t="s">
        <v>9</v>
      </c>
      <c r="C709" s="9">
        <v>1918</v>
      </c>
      <c r="D709" s="10">
        <v>45663</v>
      </c>
      <c r="E709" s="13" t="str">
        <f>+HYPERLINK("http://trademark.i-assist.jp/data/china/image_1918th/81275100.pdf","81275100")</f>
        <v>81275100</v>
      </c>
      <c r="F709" s="9" t="s">
        <v>1992</v>
      </c>
      <c r="G709" s="12" t="s">
        <v>1993</v>
      </c>
      <c r="H709" s="9" t="s">
        <v>1994</v>
      </c>
      <c r="I709" s="10">
        <v>45574</v>
      </c>
    </row>
    <row r="710" spans="1:9" x14ac:dyDescent="0.15">
      <c r="A710" s="9">
        <v>709</v>
      </c>
      <c r="B710" s="9" t="s">
        <v>9</v>
      </c>
      <c r="C710" s="9">
        <v>1918</v>
      </c>
      <c r="D710" s="10">
        <v>45663</v>
      </c>
      <c r="E710" s="13" t="str">
        <f>+HYPERLINK("http://trademark.i-assist.jp/data/china/image_1918th/81275708.pdf","81275708")</f>
        <v>81275708</v>
      </c>
      <c r="F710" s="12" t="s">
        <v>1995</v>
      </c>
      <c r="G710" s="9" t="s">
        <v>30</v>
      </c>
      <c r="H710" s="9" t="s">
        <v>1996</v>
      </c>
      <c r="I710" s="10">
        <v>45574</v>
      </c>
    </row>
    <row r="711" spans="1:9" x14ac:dyDescent="0.15">
      <c r="A711" s="9">
        <v>710</v>
      </c>
      <c r="B711" s="9" t="s">
        <v>9</v>
      </c>
      <c r="C711" s="9">
        <v>1918</v>
      </c>
      <c r="D711" s="10">
        <v>45663</v>
      </c>
      <c r="E711" s="13" t="str">
        <f>+HYPERLINK("http://trademark.i-assist.jp/data/china/image_1918th/81275831.pdf","81275831")</f>
        <v>81275831</v>
      </c>
      <c r="F711" s="9" t="s">
        <v>1997</v>
      </c>
      <c r="G711" s="9" t="s">
        <v>1998</v>
      </c>
      <c r="H711" s="9" t="s">
        <v>1999</v>
      </c>
      <c r="I711" s="10">
        <v>45574</v>
      </c>
    </row>
    <row r="712" spans="1:9" x14ac:dyDescent="0.15">
      <c r="A712" s="9">
        <v>711</v>
      </c>
      <c r="B712" s="9" t="s">
        <v>9</v>
      </c>
      <c r="C712" s="9">
        <v>1918</v>
      </c>
      <c r="D712" s="10">
        <v>45663</v>
      </c>
      <c r="E712" s="13" t="str">
        <f>+HYPERLINK("http://trademark.i-assist.jp/data/china/image_1918th/81275983.pdf","81275983")</f>
        <v>81275983</v>
      </c>
      <c r="F712" s="12" t="s">
        <v>2000</v>
      </c>
      <c r="G712" s="9" t="s">
        <v>2001</v>
      </c>
      <c r="H712" s="9" t="s">
        <v>2002</v>
      </c>
      <c r="I712" s="10">
        <v>45574</v>
      </c>
    </row>
    <row r="713" spans="1:9" x14ac:dyDescent="0.15">
      <c r="A713" s="9">
        <v>712</v>
      </c>
      <c r="B713" s="9" t="s">
        <v>9</v>
      </c>
      <c r="C713" s="9">
        <v>1918</v>
      </c>
      <c r="D713" s="10">
        <v>45663</v>
      </c>
      <c r="E713" s="13" t="str">
        <f>+HYPERLINK("http://trademark.i-assist.jp/data/china/image_1918th/81276181.pdf","81276181")</f>
        <v>81276181</v>
      </c>
      <c r="F713" s="9" t="s">
        <v>2003</v>
      </c>
      <c r="G713" s="9" t="s">
        <v>2004</v>
      </c>
      <c r="H713" s="12" t="s">
        <v>2005</v>
      </c>
      <c r="I713" s="10">
        <v>45574</v>
      </c>
    </row>
    <row r="714" spans="1:9" x14ac:dyDescent="0.15">
      <c r="A714" s="9">
        <v>713</v>
      </c>
      <c r="B714" s="9" t="s">
        <v>9</v>
      </c>
      <c r="C714" s="9">
        <v>1918</v>
      </c>
      <c r="D714" s="10">
        <v>45663</v>
      </c>
      <c r="E714" s="13" t="str">
        <f>+HYPERLINK("http://trademark.i-assist.jp/data/china/image_1918th/81276204.pdf","81276204")</f>
        <v>81276204</v>
      </c>
      <c r="F714" s="9" t="s">
        <v>2006</v>
      </c>
      <c r="G714" s="12" t="s">
        <v>2007</v>
      </c>
      <c r="H714" s="9" t="s">
        <v>2008</v>
      </c>
      <c r="I714" s="10">
        <v>45574</v>
      </c>
    </row>
    <row r="715" spans="1:9" x14ac:dyDescent="0.15">
      <c r="A715" s="9">
        <v>714</v>
      </c>
      <c r="B715" s="9" t="s">
        <v>9</v>
      </c>
      <c r="C715" s="9">
        <v>1918</v>
      </c>
      <c r="D715" s="10">
        <v>45663</v>
      </c>
      <c r="E715" s="13" t="str">
        <f>+HYPERLINK("http://trademark.i-assist.jp/data/china/image_1918th/81276836.pdf","81276836")</f>
        <v>81276836</v>
      </c>
      <c r="F715" s="12" t="s">
        <v>2009</v>
      </c>
      <c r="G715" s="9" t="s">
        <v>75</v>
      </c>
      <c r="H715" s="9" t="s">
        <v>2010</v>
      </c>
      <c r="I715" s="10">
        <v>45574</v>
      </c>
    </row>
    <row r="716" spans="1:9" x14ac:dyDescent="0.15">
      <c r="A716" s="9">
        <v>715</v>
      </c>
      <c r="B716" s="9" t="s">
        <v>9</v>
      </c>
      <c r="C716" s="9">
        <v>1918</v>
      </c>
      <c r="D716" s="10">
        <v>45663</v>
      </c>
      <c r="E716" s="13" t="str">
        <f>+HYPERLINK("http://trademark.i-assist.jp/data/china/image_1918th/81277579.pdf","81277579")</f>
        <v>81277579</v>
      </c>
      <c r="F716" s="9" t="s">
        <v>2011</v>
      </c>
      <c r="G716" s="9" t="s">
        <v>2012</v>
      </c>
      <c r="H716" s="9" t="s">
        <v>2013</v>
      </c>
      <c r="I716" s="10">
        <v>45574</v>
      </c>
    </row>
    <row r="717" spans="1:9" x14ac:dyDescent="0.15">
      <c r="A717" s="9">
        <v>716</v>
      </c>
      <c r="B717" s="9" t="s">
        <v>9</v>
      </c>
      <c r="C717" s="9">
        <v>1918</v>
      </c>
      <c r="D717" s="10">
        <v>45663</v>
      </c>
      <c r="E717" s="13" t="str">
        <f>+HYPERLINK("http://trademark.i-assist.jp/data/china/image_1918th/81278236.pdf","81278236")</f>
        <v>81278236</v>
      </c>
      <c r="F717" s="12" t="s">
        <v>2014</v>
      </c>
      <c r="G717" s="9" t="s">
        <v>2015</v>
      </c>
      <c r="H717" s="9" t="s">
        <v>2016</v>
      </c>
      <c r="I717" s="10">
        <v>45574</v>
      </c>
    </row>
    <row r="718" spans="1:9" x14ac:dyDescent="0.15">
      <c r="A718" s="9">
        <v>717</v>
      </c>
      <c r="B718" s="9" t="s">
        <v>9</v>
      </c>
      <c r="C718" s="9">
        <v>1918</v>
      </c>
      <c r="D718" s="10">
        <v>45663</v>
      </c>
      <c r="E718" s="13" t="str">
        <f>+HYPERLINK("http://trademark.i-assist.jp/data/china/image_1918th/81278300.pdf","81278300")</f>
        <v>81278300</v>
      </c>
      <c r="F718" s="9" t="s">
        <v>2017</v>
      </c>
      <c r="G718" s="9" t="s">
        <v>1814</v>
      </c>
      <c r="H718" s="9" t="s">
        <v>2018</v>
      </c>
      <c r="I718" s="10">
        <v>45574</v>
      </c>
    </row>
    <row r="719" spans="1:9" x14ac:dyDescent="0.15">
      <c r="A719" s="9">
        <v>718</v>
      </c>
      <c r="B719" s="9" t="s">
        <v>9</v>
      </c>
      <c r="C719" s="9">
        <v>1918</v>
      </c>
      <c r="D719" s="10">
        <v>45663</v>
      </c>
      <c r="E719" s="13" t="str">
        <f>+HYPERLINK("http://trademark.i-assist.jp/data/china/image_1918th/81278465.pdf","81278465")</f>
        <v>81278465</v>
      </c>
      <c r="F719" s="9" t="s">
        <v>2019</v>
      </c>
      <c r="G719" s="9" t="s">
        <v>2020</v>
      </c>
      <c r="H719" s="12" t="s">
        <v>2021</v>
      </c>
      <c r="I719" s="10">
        <v>45574</v>
      </c>
    </row>
    <row r="720" spans="1:9" x14ac:dyDescent="0.15">
      <c r="A720" s="9">
        <v>719</v>
      </c>
      <c r="B720" s="9" t="s">
        <v>9</v>
      </c>
      <c r="C720" s="9">
        <v>1918</v>
      </c>
      <c r="D720" s="10">
        <v>45663</v>
      </c>
      <c r="E720" s="13" t="str">
        <f>+HYPERLINK("http://trademark.i-assist.jp/data/china/image_1918th/81278551.pdf","81278551")</f>
        <v>81278551</v>
      </c>
      <c r="F720" s="12" t="s">
        <v>2022</v>
      </c>
      <c r="G720" s="9" t="s">
        <v>2023</v>
      </c>
      <c r="H720" s="9" t="s">
        <v>2024</v>
      </c>
      <c r="I720" s="10">
        <v>45574</v>
      </c>
    </row>
    <row r="721" spans="1:9" x14ac:dyDescent="0.15">
      <c r="A721" s="9">
        <v>720</v>
      </c>
      <c r="B721" s="9" t="s">
        <v>9</v>
      </c>
      <c r="C721" s="9">
        <v>1918</v>
      </c>
      <c r="D721" s="10">
        <v>45663</v>
      </c>
      <c r="E721" s="13" t="str">
        <f>+HYPERLINK("http://trademark.i-assist.jp/data/china/image_1918th/81279859.pdf","81279859")</f>
        <v>81279859</v>
      </c>
      <c r="F721" s="9" t="s">
        <v>2025</v>
      </c>
      <c r="G721" s="9" t="s">
        <v>2026</v>
      </c>
      <c r="H721" s="9" t="s">
        <v>2027</v>
      </c>
      <c r="I721" s="10">
        <v>45574</v>
      </c>
    </row>
    <row r="722" spans="1:9" x14ac:dyDescent="0.15">
      <c r="A722" s="9">
        <v>721</v>
      </c>
      <c r="B722" s="9" t="s">
        <v>9</v>
      </c>
      <c r="C722" s="9">
        <v>1918</v>
      </c>
      <c r="D722" s="10">
        <v>45663</v>
      </c>
      <c r="E722" s="13" t="str">
        <f>+HYPERLINK("http://trademark.i-assist.jp/data/china/image_1918th/81280068.pdf","81280068")</f>
        <v>81280068</v>
      </c>
      <c r="F722" s="12" t="s">
        <v>2028</v>
      </c>
      <c r="G722" s="9" t="s">
        <v>2029</v>
      </c>
      <c r="H722" s="9" t="s">
        <v>2030</v>
      </c>
      <c r="I722" s="10">
        <v>45574</v>
      </c>
    </row>
    <row r="723" spans="1:9" x14ac:dyDescent="0.15">
      <c r="A723" s="9">
        <v>722</v>
      </c>
      <c r="B723" s="9" t="s">
        <v>9</v>
      </c>
      <c r="C723" s="9">
        <v>1918</v>
      </c>
      <c r="D723" s="10">
        <v>45663</v>
      </c>
      <c r="E723" s="13" t="str">
        <f>+HYPERLINK("http://trademark.i-assist.jp/data/china/image_1918th/81280338.pdf","81280338")</f>
        <v>81280338</v>
      </c>
      <c r="F723" s="9" t="s">
        <v>2031</v>
      </c>
      <c r="G723" s="9" t="s">
        <v>2032</v>
      </c>
      <c r="H723" s="9" t="s">
        <v>2033</v>
      </c>
      <c r="I723" s="10">
        <v>45574</v>
      </c>
    </row>
    <row r="724" spans="1:9" x14ac:dyDescent="0.15">
      <c r="A724" s="9">
        <v>723</v>
      </c>
      <c r="B724" s="9" t="s">
        <v>9</v>
      </c>
      <c r="C724" s="9">
        <v>1918</v>
      </c>
      <c r="D724" s="10">
        <v>45663</v>
      </c>
      <c r="E724" s="13" t="str">
        <f>+HYPERLINK("http://trademark.i-assist.jp/data/china/image_1918th/81280925.pdf","81280925")</f>
        <v>81280925</v>
      </c>
      <c r="F724" s="9" t="s">
        <v>2034</v>
      </c>
      <c r="G724" s="9" t="s">
        <v>2035</v>
      </c>
      <c r="H724" s="9" t="s">
        <v>2036</v>
      </c>
      <c r="I724" s="10">
        <v>45574</v>
      </c>
    </row>
    <row r="725" spans="1:9" x14ac:dyDescent="0.15">
      <c r="A725" s="9">
        <v>724</v>
      </c>
      <c r="B725" s="9" t="s">
        <v>9</v>
      </c>
      <c r="C725" s="9">
        <v>1918</v>
      </c>
      <c r="D725" s="10">
        <v>45663</v>
      </c>
      <c r="E725" s="13" t="str">
        <f>+HYPERLINK("http://trademark.i-assist.jp/data/china/image_1918th/81280941.pdf","81280941")</f>
        <v>81280941</v>
      </c>
      <c r="F725" s="9" t="s">
        <v>2037</v>
      </c>
      <c r="G725" s="9" t="s">
        <v>1794</v>
      </c>
      <c r="H725" s="9" t="s">
        <v>2038</v>
      </c>
      <c r="I725" s="10">
        <v>45574</v>
      </c>
    </row>
    <row r="726" spans="1:9" x14ac:dyDescent="0.15">
      <c r="A726" s="9">
        <v>725</v>
      </c>
      <c r="B726" s="9" t="s">
        <v>9</v>
      </c>
      <c r="C726" s="9">
        <v>1918</v>
      </c>
      <c r="D726" s="10">
        <v>45663</v>
      </c>
      <c r="E726" s="13" t="str">
        <f>+HYPERLINK("http://trademark.i-assist.jp/data/china/image_1918th/81281932.pdf","81281932")</f>
        <v>81281932</v>
      </c>
      <c r="F726" s="9" t="s">
        <v>2039</v>
      </c>
      <c r="G726" s="9" t="s">
        <v>2020</v>
      </c>
      <c r="H726" s="9" t="s">
        <v>2040</v>
      </c>
      <c r="I726" s="10">
        <v>45574</v>
      </c>
    </row>
    <row r="727" spans="1:9" x14ac:dyDescent="0.15">
      <c r="A727" s="9">
        <v>726</v>
      </c>
      <c r="B727" s="9" t="s">
        <v>9</v>
      </c>
      <c r="C727" s="9">
        <v>1918</v>
      </c>
      <c r="D727" s="10">
        <v>45663</v>
      </c>
      <c r="E727" s="13" t="str">
        <f>+HYPERLINK("http://trademark.i-assist.jp/data/china/image_1918th/81282144.pdf","81282144")</f>
        <v>81282144</v>
      </c>
      <c r="F727" s="9" t="s">
        <v>2041</v>
      </c>
      <c r="G727" s="9" t="s">
        <v>2042</v>
      </c>
      <c r="H727" s="12" t="s">
        <v>2043</v>
      </c>
      <c r="I727" s="10">
        <v>45574</v>
      </c>
    </row>
    <row r="728" spans="1:9" x14ac:dyDescent="0.15">
      <c r="A728" s="9">
        <v>727</v>
      </c>
      <c r="B728" s="9" t="s">
        <v>9</v>
      </c>
      <c r="C728" s="9">
        <v>1918</v>
      </c>
      <c r="D728" s="10">
        <v>45663</v>
      </c>
      <c r="E728" s="13" t="str">
        <f>+HYPERLINK("http://trademark.i-assist.jp/data/china/image_1918th/81282681.pdf","81282681")</f>
        <v>81282681</v>
      </c>
      <c r="F728" s="12" t="s">
        <v>2044</v>
      </c>
      <c r="G728" s="9" t="s">
        <v>2045</v>
      </c>
      <c r="H728" s="9" t="s">
        <v>2046</v>
      </c>
      <c r="I728" s="10">
        <v>45574</v>
      </c>
    </row>
    <row r="729" spans="1:9" x14ac:dyDescent="0.15">
      <c r="A729" s="9">
        <v>728</v>
      </c>
      <c r="B729" s="9" t="s">
        <v>9</v>
      </c>
      <c r="C729" s="9">
        <v>1918</v>
      </c>
      <c r="D729" s="10">
        <v>45663</v>
      </c>
      <c r="E729" s="13" t="str">
        <f>+HYPERLINK("http://trademark.i-assist.jp/data/china/image_1918th/81283013.pdf","81283013")</f>
        <v>81283013</v>
      </c>
      <c r="F729" s="9" t="s">
        <v>2047</v>
      </c>
      <c r="G729" s="9" t="s">
        <v>2048</v>
      </c>
      <c r="H729" s="9" t="s">
        <v>2049</v>
      </c>
      <c r="I729" s="10">
        <v>45574</v>
      </c>
    </row>
    <row r="730" spans="1:9" x14ac:dyDescent="0.15">
      <c r="A730" s="9">
        <v>729</v>
      </c>
      <c r="B730" s="9" t="s">
        <v>9</v>
      </c>
      <c r="C730" s="9">
        <v>1918</v>
      </c>
      <c r="D730" s="10">
        <v>45663</v>
      </c>
      <c r="E730" s="13" t="str">
        <f>+HYPERLINK("http://trademark.i-assist.jp/data/china/image_1918th/81283268.pdf","81283268")</f>
        <v>81283268</v>
      </c>
      <c r="F730" s="9" t="s">
        <v>2050</v>
      </c>
      <c r="G730" s="9" t="s">
        <v>2051</v>
      </c>
      <c r="H730" s="9" t="s">
        <v>2052</v>
      </c>
      <c r="I730" s="10">
        <v>45574</v>
      </c>
    </row>
    <row r="731" spans="1:9" x14ac:dyDescent="0.15">
      <c r="A731" s="9">
        <v>730</v>
      </c>
      <c r="B731" s="9" t="s">
        <v>9</v>
      </c>
      <c r="C731" s="9">
        <v>1918</v>
      </c>
      <c r="D731" s="10">
        <v>45663</v>
      </c>
      <c r="E731" s="13" t="str">
        <f>+HYPERLINK("http://trademark.i-assist.jp/data/china/image_1918th/81283392.pdf","81283392")</f>
        <v>81283392</v>
      </c>
      <c r="F731" s="9" t="s">
        <v>2053</v>
      </c>
      <c r="G731" s="9" t="s">
        <v>1814</v>
      </c>
      <c r="H731" s="9" t="s">
        <v>2054</v>
      </c>
      <c r="I731" s="10">
        <v>45574</v>
      </c>
    </row>
    <row r="732" spans="1:9" x14ac:dyDescent="0.15">
      <c r="A732" s="9">
        <v>731</v>
      </c>
      <c r="B732" s="9" t="s">
        <v>9</v>
      </c>
      <c r="C732" s="9">
        <v>1918</v>
      </c>
      <c r="D732" s="10">
        <v>45663</v>
      </c>
      <c r="E732" s="13" t="str">
        <f>+HYPERLINK("http://trademark.i-assist.jp/data/china/image_1918th/81283869.pdf","81283869")</f>
        <v>81283869</v>
      </c>
      <c r="F732" s="9" t="s">
        <v>2055</v>
      </c>
      <c r="G732" s="9" t="s">
        <v>628</v>
      </c>
      <c r="H732" s="12" t="s">
        <v>2056</v>
      </c>
      <c r="I732" s="10">
        <v>45574</v>
      </c>
    </row>
    <row r="733" spans="1:9" x14ac:dyDescent="0.15">
      <c r="A733" s="9">
        <v>732</v>
      </c>
      <c r="B733" s="9" t="s">
        <v>9</v>
      </c>
      <c r="C733" s="9">
        <v>1918</v>
      </c>
      <c r="D733" s="10">
        <v>45663</v>
      </c>
      <c r="E733" s="13" t="str">
        <f>+HYPERLINK("http://trademark.i-assist.jp/data/china/image_1918th/81283870.pdf","81283870")</f>
        <v>81283870</v>
      </c>
      <c r="F733" s="9" t="s">
        <v>2057</v>
      </c>
      <c r="G733" s="9" t="s">
        <v>2058</v>
      </c>
      <c r="H733" s="9" t="s">
        <v>2059</v>
      </c>
      <c r="I733" s="10">
        <v>45574</v>
      </c>
    </row>
    <row r="734" spans="1:9" x14ac:dyDescent="0.15">
      <c r="A734" s="9">
        <v>733</v>
      </c>
      <c r="B734" s="9" t="s">
        <v>9</v>
      </c>
      <c r="C734" s="9">
        <v>1918</v>
      </c>
      <c r="D734" s="10">
        <v>45663</v>
      </c>
      <c r="E734" s="13" t="str">
        <f>+HYPERLINK("http://trademark.i-assist.jp/data/china/image_1918th/81283913.pdf","81283913")</f>
        <v>81283913</v>
      </c>
      <c r="F734" s="12" t="s">
        <v>2060</v>
      </c>
      <c r="G734" s="9" t="s">
        <v>79</v>
      </c>
      <c r="H734" s="9" t="s">
        <v>2061</v>
      </c>
      <c r="I734" s="10">
        <v>45574</v>
      </c>
    </row>
    <row r="735" spans="1:9" x14ac:dyDescent="0.15">
      <c r="A735" s="9">
        <v>734</v>
      </c>
      <c r="B735" s="9" t="s">
        <v>9</v>
      </c>
      <c r="C735" s="9">
        <v>1918</v>
      </c>
      <c r="D735" s="10">
        <v>45663</v>
      </c>
      <c r="E735" s="13" t="str">
        <f>+HYPERLINK("http://trademark.i-assist.jp/data/china/image_1918th/81284029.pdf","81284029")</f>
        <v>81284029</v>
      </c>
      <c r="F735" s="9" t="s">
        <v>2062</v>
      </c>
      <c r="G735" s="9" t="s">
        <v>2063</v>
      </c>
      <c r="H735" s="12" t="s">
        <v>2064</v>
      </c>
      <c r="I735" s="10">
        <v>45574</v>
      </c>
    </row>
    <row r="736" spans="1:9" x14ac:dyDescent="0.15">
      <c r="A736" s="9">
        <v>735</v>
      </c>
      <c r="B736" s="9" t="s">
        <v>9</v>
      </c>
      <c r="C736" s="9">
        <v>1918</v>
      </c>
      <c r="D736" s="10">
        <v>45663</v>
      </c>
      <c r="E736" s="13" t="str">
        <f>+HYPERLINK("http://trademark.i-assist.jp/data/china/image_1918th/81284063.pdf","81284063")</f>
        <v>81284063</v>
      </c>
      <c r="F736" s="9" t="s">
        <v>2065</v>
      </c>
      <c r="G736" s="9" t="s">
        <v>2066</v>
      </c>
      <c r="H736" s="9" t="s">
        <v>2067</v>
      </c>
      <c r="I736" s="10">
        <v>45574</v>
      </c>
    </row>
    <row r="737" spans="1:9" x14ac:dyDescent="0.15">
      <c r="A737" s="9">
        <v>736</v>
      </c>
      <c r="B737" s="9" t="s">
        <v>9</v>
      </c>
      <c r="C737" s="9">
        <v>1918</v>
      </c>
      <c r="D737" s="10">
        <v>45663</v>
      </c>
      <c r="E737" s="13" t="str">
        <f>+HYPERLINK("http://trademark.i-assist.jp/data/china/image_1918th/81284112.pdf","81284112")</f>
        <v>81284112</v>
      </c>
      <c r="F737" s="9" t="s">
        <v>2068</v>
      </c>
      <c r="G737" s="12" t="s">
        <v>2069</v>
      </c>
      <c r="H737" s="9" t="s">
        <v>2070</v>
      </c>
      <c r="I737" s="10">
        <v>45574</v>
      </c>
    </row>
    <row r="738" spans="1:9" x14ac:dyDescent="0.15">
      <c r="A738" s="9">
        <v>737</v>
      </c>
      <c r="B738" s="9" t="s">
        <v>9</v>
      </c>
      <c r="C738" s="9">
        <v>1918</v>
      </c>
      <c r="D738" s="10">
        <v>45663</v>
      </c>
      <c r="E738" s="13" t="str">
        <f>+HYPERLINK("http://trademark.i-assist.jp/data/china/image_1918th/81284262.pdf","81284262")</f>
        <v>81284262</v>
      </c>
      <c r="F738" s="9" t="s">
        <v>2071</v>
      </c>
      <c r="G738" s="9" t="s">
        <v>2072</v>
      </c>
      <c r="H738" s="9" t="s">
        <v>2073</v>
      </c>
      <c r="I738" s="10">
        <v>45574</v>
      </c>
    </row>
    <row r="739" spans="1:9" x14ac:dyDescent="0.15">
      <c r="A739" s="9">
        <v>738</v>
      </c>
      <c r="B739" s="9" t="s">
        <v>9</v>
      </c>
      <c r="C739" s="9">
        <v>1918</v>
      </c>
      <c r="D739" s="10">
        <v>45663</v>
      </c>
      <c r="E739" s="13" t="str">
        <f>+HYPERLINK("http://trademark.i-assist.jp/data/china/image_1918th/81284292.pdf","81284292")</f>
        <v>81284292</v>
      </c>
      <c r="F739" s="9" t="s">
        <v>2074</v>
      </c>
      <c r="G739" s="9" t="s">
        <v>2075</v>
      </c>
      <c r="H739" s="9" t="s">
        <v>11</v>
      </c>
      <c r="I739" s="10">
        <v>45574</v>
      </c>
    </row>
    <row r="740" spans="1:9" x14ac:dyDescent="0.15">
      <c r="A740" s="9">
        <v>739</v>
      </c>
      <c r="B740" s="9" t="s">
        <v>9</v>
      </c>
      <c r="C740" s="9">
        <v>1918</v>
      </c>
      <c r="D740" s="10">
        <v>45663</v>
      </c>
      <c r="E740" s="13" t="str">
        <f>+HYPERLINK("http://trademark.i-assist.jp/data/china/image_1918th/81284747.pdf","81284747")</f>
        <v>81284747</v>
      </c>
      <c r="F740" s="9" t="s">
        <v>2076</v>
      </c>
      <c r="G740" s="9" t="s">
        <v>2077</v>
      </c>
      <c r="H740" s="12" t="s">
        <v>2078</v>
      </c>
      <c r="I740" s="10">
        <v>45575</v>
      </c>
    </row>
    <row r="741" spans="1:9" x14ac:dyDescent="0.15">
      <c r="A741" s="9">
        <v>740</v>
      </c>
      <c r="B741" s="9" t="s">
        <v>9</v>
      </c>
      <c r="C741" s="9">
        <v>1918</v>
      </c>
      <c r="D741" s="10">
        <v>45663</v>
      </c>
      <c r="E741" s="13" t="str">
        <f>+HYPERLINK("http://trademark.i-assist.jp/data/china/image_1918th/81284891.pdf","81284891")</f>
        <v>81284891</v>
      </c>
      <c r="F741" s="9" t="s">
        <v>2079</v>
      </c>
      <c r="G741" s="9" t="s">
        <v>2080</v>
      </c>
      <c r="H741" s="9" t="s">
        <v>2081</v>
      </c>
      <c r="I741" s="10">
        <v>45575</v>
      </c>
    </row>
    <row r="742" spans="1:9" x14ac:dyDescent="0.15">
      <c r="A742" s="9">
        <v>741</v>
      </c>
      <c r="B742" s="9" t="s">
        <v>9</v>
      </c>
      <c r="C742" s="9">
        <v>1918</v>
      </c>
      <c r="D742" s="10">
        <v>45663</v>
      </c>
      <c r="E742" s="13" t="str">
        <f>+HYPERLINK("http://trademark.i-assist.jp/data/china/image_1918th/81284995.pdf","81284995")</f>
        <v>81284995</v>
      </c>
      <c r="F742" s="12" t="s">
        <v>12</v>
      </c>
      <c r="G742" s="9" t="s">
        <v>2082</v>
      </c>
      <c r="H742" s="12" t="s">
        <v>2083</v>
      </c>
      <c r="I742" s="10">
        <v>45575</v>
      </c>
    </row>
    <row r="743" spans="1:9" x14ac:dyDescent="0.15">
      <c r="A743" s="9">
        <v>742</v>
      </c>
      <c r="B743" s="9" t="s">
        <v>9</v>
      </c>
      <c r="C743" s="9">
        <v>1918</v>
      </c>
      <c r="D743" s="10">
        <v>45663</v>
      </c>
      <c r="E743" s="13" t="str">
        <f>+HYPERLINK("http://trademark.i-assist.jp/data/china/image_1918th/81285137.pdf","81285137")</f>
        <v>81285137</v>
      </c>
      <c r="F743" s="9" t="s">
        <v>2084</v>
      </c>
      <c r="G743" s="9" t="s">
        <v>2085</v>
      </c>
      <c r="H743" s="9" t="s">
        <v>2086</v>
      </c>
      <c r="I743" s="10">
        <v>45575</v>
      </c>
    </row>
    <row r="744" spans="1:9" x14ac:dyDescent="0.15">
      <c r="A744" s="9">
        <v>743</v>
      </c>
      <c r="B744" s="9" t="s">
        <v>9</v>
      </c>
      <c r="C744" s="9">
        <v>1918</v>
      </c>
      <c r="D744" s="10">
        <v>45663</v>
      </c>
      <c r="E744" s="13" t="str">
        <f>+HYPERLINK("http://trademark.i-assist.jp/data/china/image_1918th/81285246.pdf","81285246")</f>
        <v>81285246</v>
      </c>
      <c r="F744" s="9" t="s">
        <v>2087</v>
      </c>
      <c r="G744" s="9" t="s">
        <v>2088</v>
      </c>
      <c r="H744" s="9" t="s">
        <v>2089</v>
      </c>
      <c r="I744" s="10">
        <v>45575</v>
      </c>
    </row>
    <row r="745" spans="1:9" x14ac:dyDescent="0.15">
      <c r="A745" s="9">
        <v>744</v>
      </c>
      <c r="B745" s="9" t="s">
        <v>9</v>
      </c>
      <c r="C745" s="9">
        <v>1918</v>
      </c>
      <c r="D745" s="10">
        <v>45663</v>
      </c>
      <c r="E745" s="13" t="str">
        <f>+HYPERLINK("http://trademark.i-assist.jp/data/china/image_1918th/81285369.pdf","81285369")</f>
        <v>81285369</v>
      </c>
      <c r="F745" s="9" t="s">
        <v>2090</v>
      </c>
      <c r="G745" s="12" t="s">
        <v>38</v>
      </c>
      <c r="H745" s="12" t="s">
        <v>2091</v>
      </c>
      <c r="I745" s="10">
        <v>45575</v>
      </c>
    </row>
    <row r="746" spans="1:9" x14ac:dyDescent="0.15">
      <c r="A746" s="9">
        <v>745</v>
      </c>
      <c r="B746" s="9" t="s">
        <v>9</v>
      </c>
      <c r="C746" s="9">
        <v>1918</v>
      </c>
      <c r="D746" s="10">
        <v>45663</v>
      </c>
      <c r="E746" s="13" t="str">
        <f>+HYPERLINK("http://trademark.i-assist.jp/data/china/image_1918th/81285439.pdf","81285439")</f>
        <v>81285439</v>
      </c>
      <c r="F746" s="9" t="s">
        <v>2092</v>
      </c>
      <c r="G746" s="9" t="s">
        <v>2093</v>
      </c>
      <c r="H746" s="9" t="s">
        <v>2094</v>
      </c>
      <c r="I746" s="10">
        <v>45575</v>
      </c>
    </row>
    <row r="747" spans="1:9" x14ac:dyDescent="0.15">
      <c r="A747" s="9">
        <v>746</v>
      </c>
      <c r="B747" s="9" t="s">
        <v>9</v>
      </c>
      <c r="C747" s="9">
        <v>1918</v>
      </c>
      <c r="D747" s="10">
        <v>45663</v>
      </c>
      <c r="E747" s="13" t="str">
        <f>+HYPERLINK("http://trademark.i-assist.jp/data/china/image_1918th/81285446.pdf","81285446")</f>
        <v>81285446</v>
      </c>
      <c r="F747" s="12" t="s">
        <v>2095</v>
      </c>
      <c r="G747" s="9" t="s">
        <v>2096</v>
      </c>
      <c r="H747" s="9" t="s">
        <v>2097</v>
      </c>
      <c r="I747" s="10">
        <v>45575</v>
      </c>
    </row>
    <row r="748" spans="1:9" x14ac:dyDescent="0.15">
      <c r="A748" s="9">
        <v>747</v>
      </c>
      <c r="B748" s="9" t="s">
        <v>9</v>
      </c>
      <c r="C748" s="9">
        <v>1918</v>
      </c>
      <c r="D748" s="10">
        <v>45663</v>
      </c>
      <c r="E748" s="13" t="str">
        <f>+HYPERLINK("http://trademark.i-assist.jp/data/china/image_1918th/81285505.pdf","81285505")</f>
        <v>81285505</v>
      </c>
      <c r="F748" s="9" t="s">
        <v>2098</v>
      </c>
      <c r="G748" s="9" t="s">
        <v>2099</v>
      </c>
      <c r="H748" s="12" t="s">
        <v>2100</v>
      </c>
      <c r="I748" s="10">
        <v>45575</v>
      </c>
    </row>
    <row r="749" spans="1:9" x14ac:dyDescent="0.15">
      <c r="A749" s="9">
        <v>748</v>
      </c>
      <c r="B749" s="9" t="s">
        <v>9</v>
      </c>
      <c r="C749" s="9">
        <v>1918</v>
      </c>
      <c r="D749" s="10">
        <v>45663</v>
      </c>
      <c r="E749" s="13" t="str">
        <f>+HYPERLINK("http://trademark.i-assist.jp/data/china/image_1918th/81285997.pdf","81285997")</f>
        <v>81285997</v>
      </c>
      <c r="F749" s="9" t="s">
        <v>2101</v>
      </c>
      <c r="G749" s="9" t="s">
        <v>2102</v>
      </c>
      <c r="H749" s="9" t="s">
        <v>2103</v>
      </c>
      <c r="I749" s="10">
        <v>45575</v>
      </c>
    </row>
    <row r="750" spans="1:9" x14ac:dyDescent="0.15">
      <c r="A750" s="9">
        <v>749</v>
      </c>
      <c r="B750" s="9" t="s">
        <v>9</v>
      </c>
      <c r="C750" s="9">
        <v>1918</v>
      </c>
      <c r="D750" s="10">
        <v>45663</v>
      </c>
      <c r="E750" s="13" t="str">
        <f>+HYPERLINK("http://trademark.i-assist.jp/data/china/image_1918th/81286114.pdf","81286114")</f>
        <v>81286114</v>
      </c>
      <c r="F750" s="9" t="s">
        <v>2104</v>
      </c>
      <c r="G750" s="9" t="s">
        <v>70</v>
      </c>
      <c r="H750" s="9" t="s">
        <v>2105</v>
      </c>
      <c r="I750" s="10">
        <v>45575</v>
      </c>
    </row>
    <row r="751" spans="1:9" x14ac:dyDescent="0.15">
      <c r="A751" s="9">
        <v>750</v>
      </c>
      <c r="B751" s="9" t="s">
        <v>9</v>
      </c>
      <c r="C751" s="9">
        <v>1918</v>
      </c>
      <c r="D751" s="10">
        <v>45663</v>
      </c>
      <c r="E751" s="13" t="str">
        <f>+HYPERLINK("http://trademark.i-assist.jp/data/china/image_1918th/81286491.pdf","81286491")</f>
        <v>81286491</v>
      </c>
      <c r="F751" s="9" t="s">
        <v>2106</v>
      </c>
      <c r="G751" s="9" t="s">
        <v>2107</v>
      </c>
      <c r="H751" s="9" t="s">
        <v>2108</v>
      </c>
      <c r="I751" s="10">
        <v>45575</v>
      </c>
    </row>
    <row r="752" spans="1:9" x14ac:dyDescent="0.15">
      <c r="A752" s="9">
        <v>751</v>
      </c>
      <c r="B752" s="9" t="s">
        <v>9</v>
      </c>
      <c r="C752" s="9">
        <v>1918</v>
      </c>
      <c r="D752" s="10">
        <v>45663</v>
      </c>
      <c r="E752" s="13" t="str">
        <f>+HYPERLINK("http://trademark.i-assist.jp/data/china/image_1918th/81287163.pdf","81287163")</f>
        <v>81287163</v>
      </c>
      <c r="F752" s="12" t="s">
        <v>2109</v>
      </c>
      <c r="G752" s="9" t="s">
        <v>2110</v>
      </c>
      <c r="H752" s="9" t="s">
        <v>2111</v>
      </c>
      <c r="I752" s="10">
        <v>45575</v>
      </c>
    </row>
    <row r="753" spans="1:9" x14ac:dyDescent="0.15">
      <c r="A753" s="9">
        <v>752</v>
      </c>
      <c r="B753" s="9" t="s">
        <v>9</v>
      </c>
      <c r="C753" s="9">
        <v>1918</v>
      </c>
      <c r="D753" s="10">
        <v>45663</v>
      </c>
      <c r="E753" s="13" t="str">
        <f>+HYPERLINK("http://trademark.i-assist.jp/data/china/image_1918th/81287652.pdf","81287652")</f>
        <v>81287652</v>
      </c>
      <c r="F753" s="9" t="s">
        <v>2112</v>
      </c>
      <c r="G753" s="9" t="s">
        <v>2113</v>
      </c>
      <c r="H753" s="9" t="s">
        <v>2114</v>
      </c>
      <c r="I753" s="10">
        <v>45575</v>
      </c>
    </row>
    <row r="754" spans="1:9" x14ac:dyDescent="0.15">
      <c r="A754" s="9">
        <v>753</v>
      </c>
      <c r="B754" s="9" t="s">
        <v>9</v>
      </c>
      <c r="C754" s="9">
        <v>1918</v>
      </c>
      <c r="D754" s="10">
        <v>45663</v>
      </c>
      <c r="E754" s="13" t="str">
        <f>+HYPERLINK("http://trademark.i-assist.jp/data/china/image_1918th/81288289.pdf","81288289")</f>
        <v>81288289</v>
      </c>
      <c r="F754" s="9" t="s">
        <v>2115</v>
      </c>
      <c r="G754" s="9" t="s">
        <v>2116</v>
      </c>
      <c r="H754" s="9" t="s">
        <v>2117</v>
      </c>
      <c r="I754" s="10">
        <v>45575</v>
      </c>
    </row>
    <row r="755" spans="1:9" x14ac:dyDescent="0.15">
      <c r="A755" s="9">
        <v>754</v>
      </c>
      <c r="B755" s="9" t="s">
        <v>9</v>
      </c>
      <c r="C755" s="9">
        <v>1918</v>
      </c>
      <c r="D755" s="10">
        <v>45663</v>
      </c>
      <c r="E755" s="13" t="str">
        <f>+HYPERLINK("http://trademark.i-assist.jp/data/china/image_1918th/81288305.pdf","81288305")</f>
        <v>81288305</v>
      </c>
      <c r="F755" s="9" t="s">
        <v>2118</v>
      </c>
      <c r="G755" s="9" t="s">
        <v>2119</v>
      </c>
      <c r="H755" s="9" t="s">
        <v>2120</v>
      </c>
      <c r="I755" s="10">
        <v>45575</v>
      </c>
    </row>
    <row r="756" spans="1:9" x14ac:dyDescent="0.15">
      <c r="A756" s="9">
        <v>755</v>
      </c>
      <c r="B756" s="9" t="s">
        <v>9</v>
      </c>
      <c r="C756" s="9">
        <v>1918</v>
      </c>
      <c r="D756" s="10">
        <v>45663</v>
      </c>
      <c r="E756" s="13" t="str">
        <f>+HYPERLINK("http://trademark.i-assist.jp/data/china/image_1918th/81288456.pdf","81288456")</f>
        <v>81288456</v>
      </c>
      <c r="F756" s="9" t="s">
        <v>2121</v>
      </c>
      <c r="G756" s="9" t="s">
        <v>2122</v>
      </c>
      <c r="H756" s="12" t="s">
        <v>2123</v>
      </c>
      <c r="I756" s="10">
        <v>45575</v>
      </c>
    </row>
    <row r="757" spans="1:9" x14ac:dyDescent="0.15">
      <c r="A757" s="9">
        <v>756</v>
      </c>
      <c r="B757" s="9" t="s">
        <v>9</v>
      </c>
      <c r="C757" s="9">
        <v>1918</v>
      </c>
      <c r="D757" s="10">
        <v>45663</v>
      </c>
      <c r="E757" s="13" t="str">
        <f>+HYPERLINK("http://trademark.i-assist.jp/data/china/image_1918th/81288485.pdf","81288485")</f>
        <v>81288485</v>
      </c>
      <c r="F757" s="9" t="s">
        <v>2124</v>
      </c>
      <c r="G757" s="9" t="s">
        <v>89</v>
      </c>
      <c r="H757" s="9" t="s">
        <v>2125</v>
      </c>
      <c r="I757" s="10">
        <v>45575</v>
      </c>
    </row>
    <row r="758" spans="1:9" x14ac:dyDescent="0.15">
      <c r="A758" s="9">
        <v>757</v>
      </c>
      <c r="B758" s="9" t="s">
        <v>9</v>
      </c>
      <c r="C758" s="9">
        <v>1918</v>
      </c>
      <c r="D758" s="10">
        <v>45663</v>
      </c>
      <c r="E758" s="13" t="str">
        <f>+HYPERLINK("http://trademark.i-assist.jp/data/china/image_1918th/81288718.pdf","81288718")</f>
        <v>81288718</v>
      </c>
      <c r="F758" s="9" t="s">
        <v>2126</v>
      </c>
      <c r="G758" s="12" t="s">
        <v>2127</v>
      </c>
      <c r="H758" s="9" t="s">
        <v>2128</v>
      </c>
      <c r="I758" s="10">
        <v>45575</v>
      </c>
    </row>
    <row r="759" spans="1:9" x14ac:dyDescent="0.15">
      <c r="A759" s="9">
        <v>758</v>
      </c>
      <c r="B759" s="9" t="s">
        <v>9</v>
      </c>
      <c r="C759" s="9">
        <v>1918</v>
      </c>
      <c r="D759" s="10">
        <v>45663</v>
      </c>
      <c r="E759" s="13" t="str">
        <f>+HYPERLINK("http://trademark.i-assist.jp/data/china/image_1918th/81288782.pdf","81288782")</f>
        <v>81288782</v>
      </c>
      <c r="F759" s="9" t="s">
        <v>2129</v>
      </c>
      <c r="G759" s="12" t="s">
        <v>2130</v>
      </c>
      <c r="H759" s="9" t="s">
        <v>2131</v>
      </c>
      <c r="I759" s="10">
        <v>45575</v>
      </c>
    </row>
    <row r="760" spans="1:9" x14ac:dyDescent="0.15">
      <c r="A760" s="9">
        <v>759</v>
      </c>
      <c r="B760" s="9" t="s">
        <v>9</v>
      </c>
      <c r="C760" s="9">
        <v>1918</v>
      </c>
      <c r="D760" s="10">
        <v>45663</v>
      </c>
      <c r="E760" s="13" t="str">
        <f>+HYPERLINK("http://trademark.i-assist.jp/data/china/image_1918th/81289343.pdf","81289343")</f>
        <v>81289343</v>
      </c>
      <c r="F760" s="9" t="s">
        <v>2132</v>
      </c>
      <c r="G760" s="9" t="s">
        <v>1019</v>
      </c>
      <c r="H760" s="9" t="s">
        <v>2133</v>
      </c>
      <c r="I760" s="10">
        <v>45575</v>
      </c>
    </row>
    <row r="761" spans="1:9" x14ac:dyDescent="0.15">
      <c r="A761" s="9">
        <v>760</v>
      </c>
      <c r="B761" s="9" t="s">
        <v>9</v>
      </c>
      <c r="C761" s="9">
        <v>1918</v>
      </c>
      <c r="D761" s="10">
        <v>45663</v>
      </c>
      <c r="E761" s="13" t="str">
        <f>+HYPERLINK("http://trademark.i-assist.jp/data/china/image_1918th/81289477.pdf","81289477")</f>
        <v>81289477</v>
      </c>
      <c r="F761" s="9" t="s">
        <v>2134</v>
      </c>
      <c r="G761" s="9" t="s">
        <v>2135</v>
      </c>
      <c r="H761" s="9" t="s">
        <v>2136</v>
      </c>
      <c r="I761" s="10">
        <v>45575</v>
      </c>
    </row>
    <row r="762" spans="1:9" x14ac:dyDescent="0.15">
      <c r="A762" s="9">
        <v>761</v>
      </c>
      <c r="B762" s="9" t="s">
        <v>9</v>
      </c>
      <c r="C762" s="9">
        <v>1918</v>
      </c>
      <c r="D762" s="10">
        <v>45663</v>
      </c>
      <c r="E762" s="13" t="str">
        <f>+HYPERLINK("http://trademark.i-assist.jp/data/china/image_1918th/81290028.pdf","81290028")</f>
        <v>81290028</v>
      </c>
      <c r="F762" s="9" t="s">
        <v>2137</v>
      </c>
      <c r="G762" s="9" t="s">
        <v>2138</v>
      </c>
      <c r="H762" s="12" t="s">
        <v>2139</v>
      </c>
      <c r="I762" s="10">
        <v>45575</v>
      </c>
    </row>
    <row r="763" spans="1:9" x14ac:dyDescent="0.15">
      <c r="A763" s="9">
        <v>762</v>
      </c>
      <c r="B763" s="9" t="s">
        <v>9</v>
      </c>
      <c r="C763" s="9">
        <v>1918</v>
      </c>
      <c r="D763" s="10">
        <v>45663</v>
      </c>
      <c r="E763" s="13" t="str">
        <f>+HYPERLINK("http://trademark.i-assist.jp/data/china/image_1918th/81290072.pdf","81290072")</f>
        <v>81290072</v>
      </c>
      <c r="F763" s="12" t="s">
        <v>2140</v>
      </c>
      <c r="G763" s="9" t="s">
        <v>2141</v>
      </c>
      <c r="H763" s="9" t="s">
        <v>2142</v>
      </c>
      <c r="I763" s="10">
        <v>45575</v>
      </c>
    </row>
    <row r="764" spans="1:9" x14ac:dyDescent="0.15">
      <c r="A764" s="9">
        <v>763</v>
      </c>
      <c r="B764" s="9" t="s">
        <v>9</v>
      </c>
      <c r="C764" s="9">
        <v>1918</v>
      </c>
      <c r="D764" s="10">
        <v>45663</v>
      </c>
      <c r="E764" s="13" t="str">
        <f>+HYPERLINK("http://trademark.i-assist.jp/data/china/image_1918th/81290208.pdf","81290208")</f>
        <v>81290208</v>
      </c>
      <c r="F764" s="12" t="s">
        <v>2143</v>
      </c>
      <c r="G764" s="9" t="s">
        <v>2144</v>
      </c>
      <c r="H764" s="12" t="s">
        <v>2145</v>
      </c>
      <c r="I764" s="10">
        <v>45575</v>
      </c>
    </row>
    <row r="765" spans="1:9" x14ac:dyDescent="0.15">
      <c r="A765" s="9">
        <v>764</v>
      </c>
      <c r="B765" s="9" t="s">
        <v>9</v>
      </c>
      <c r="C765" s="9">
        <v>1918</v>
      </c>
      <c r="D765" s="10">
        <v>45663</v>
      </c>
      <c r="E765" s="13" t="str">
        <f>+HYPERLINK("http://trademark.i-assist.jp/data/china/image_1918th/81290250.pdf","81290250")</f>
        <v>81290250</v>
      </c>
      <c r="F765" s="9" t="s">
        <v>2146</v>
      </c>
      <c r="G765" s="9" t="s">
        <v>2116</v>
      </c>
      <c r="H765" s="9" t="s">
        <v>2147</v>
      </c>
      <c r="I765" s="10">
        <v>45575</v>
      </c>
    </row>
    <row r="766" spans="1:9" x14ac:dyDescent="0.15">
      <c r="A766" s="9">
        <v>765</v>
      </c>
      <c r="B766" s="9" t="s">
        <v>9</v>
      </c>
      <c r="C766" s="9">
        <v>1918</v>
      </c>
      <c r="D766" s="10">
        <v>45663</v>
      </c>
      <c r="E766" s="13" t="str">
        <f>+HYPERLINK("http://trademark.i-assist.jp/data/china/image_1918th/81292266.pdf","81292266")</f>
        <v>81292266</v>
      </c>
      <c r="F766" s="9" t="s">
        <v>2148</v>
      </c>
      <c r="G766" s="9" t="s">
        <v>2149</v>
      </c>
      <c r="H766" s="9" t="s">
        <v>2150</v>
      </c>
      <c r="I766" s="10">
        <v>45575</v>
      </c>
    </row>
    <row r="767" spans="1:9" x14ac:dyDescent="0.15">
      <c r="A767" s="9">
        <v>766</v>
      </c>
      <c r="B767" s="9" t="s">
        <v>9</v>
      </c>
      <c r="C767" s="9">
        <v>1918</v>
      </c>
      <c r="D767" s="10">
        <v>45663</v>
      </c>
      <c r="E767" s="13" t="str">
        <f>+HYPERLINK("http://trademark.i-assist.jp/data/china/image_1918th/81292566.pdf","81292566")</f>
        <v>81292566</v>
      </c>
      <c r="F767" s="9" t="s">
        <v>2151</v>
      </c>
      <c r="G767" s="9" t="s">
        <v>2152</v>
      </c>
      <c r="H767" s="9" t="s">
        <v>2153</v>
      </c>
      <c r="I767" s="10">
        <v>45575</v>
      </c>
    </row>
    <row r="768" spans="1:9" x14ac:dyDescent="0.15">
      <c r="A768" s="9">
        <v>767</v>
      </c>
      <c r="B768" s="9" t="s">
        <v>9</v>
      </c>
      <c r="C768" s="9">
        <v>1918</v>
      </c>
      <c r="D768" s="10">
        <v>45663</v>
      </c>
      <c r="E768" s="13" t="str">
        <f>+HYPERLINK("http://trademark.i-assist.jp/data/china/image_1918th/81293071.pdf","81293071")</f>
        <v>81293071</v>
      </c>
      <c r="F768" s="12" t="s">
        <v>2154</v>
      </c>
      <c r="G768" s="9" t="s">
        <v>2155</v>
      </c>
      <c r="H768" s="9" t="s">
        <v>2156</v>
      </c>
      <c r="I768" s="10">
        <v>45575</v>
      </c>
    </row>
    <row r="769" spans="1:9" x14ac:dyDescent="0.15">
      <c r="A769" s="9">
        <v>768</v>
      </c>
      <c r="B769" s="9" t="s">
        <v>9</v>
      </c>
      <c r="C769" s="9">
        <v>1918</v>
      </c>
      <c r="D769" s="10">
        <v>45663</v>
      </c>
      <c r="E769" s="13" t="str">
        <f>+HYPERLINK("http://trademark.i-assist.jp/data/china/image_1918th/81293214.pdf","81293214")</f>
        <v>81293214</v>
      </c>
      <c r="F769" s="9" t="s">
        <v>2157</v>
      </c>
      <c r="G769" s="9" t="s">
        <v>2158</v>
      </c>
      <c r="H769" s="9" t="s">
        <v>2159</v>
      </c>
      <c r="I769" s="10">
        <v>45575</v>
      </c>
    </row>
    <row r="770" spans="1:9" x14ac:dyDescent="0.15">
      <c r="A770" s="9">
        <v>769</v>
      </c>
      <c r="B770" s="9" t="s">
        <v>9</v>
      </c>
      <c r="C770" s="9">
        <v>1918</v>
      </c>
      <c r="D770" s="10">
        <v>45663</v>
      </c>
      <c r="E770" s="13" t="str">
        <f>+HYPERLINK("http://trademark.i-assist.jp/data/china/image_1918th/81293304.pdf","81293304")</f>
        <v>81293304</v>
      </c>
      <c r="F770" s="9" t="s">
        <v>2160</v>
      </c>
      <c r="G770" s="12" t="s">
        <v>2161</v>
      </c>
      <c r="H770" s="9" t="s">
        <v>2162</v>
      </c>
      <c r="I770" s="10">
        <v>45575</v>
      </c>
    </row>
    <row r="771" spans="1:9" x14ac:dyDescent="0.15">
      <c r="A771" s="9">
        <v>770</v>
      </c>
      <c r="B771" s="9" t="s">
        <v>9</v>
      </c>
      <c r="C771" s="9">
        <v>1918</v>
      </c>
      <c r="D771" s="10">
        <v>45663</v>
      </c>
      <c r="E771" s="13" t="str">
        <f>+HYPERLINK("http://trademark.i-assist.jp/data/china/image_1918th/81294431.pdf","81294431")</f>
        <v>81294431</v>
      </c>
      <c r="F771" s="9" t="s">
        <v>2163</v>
      </c>
      <c r="G771" s="9" t="s">
        <v>2164</v>
      </c>
      <c r="H771" s="9" t="s">
        <v>2165</v>
      </c>
      <c r="I771" s="10">
        <v>45575</v>
      </c>
    </row>
    <row r="772" spans="1:9" x14ac:dyDescent="0.15">
      <c r="A772" s="9">
        <v>771</v>
      </c>
      <c r="B772" s="9" t="s">
        <v>9</v>
      </c>
      <c r="C772" s="9">
        <v>1918</v>
      </c>
      <c r="D772" s="10">
        <v>45663</v>
      </c>
      <c r="E772" s="13" t="str">
        <f>+HYPERLINK("http://trademark.i-assist.jp/data/china/image_1918th/81294469.pdf","81294469")</f>
        <v>81294469</v>
      </c>
      <c r="F772" s="9" t="s">
        <v>2104</v>
      </c>
      <c r="G772" s="9" t="s">
        <v>70</v>
      </c>
      <c r="H772" s="9" t="s">
        <v>2166</v>
      </c>
      <c r="I772" s="10">
        <v>45575</v>
      </c>
    </row>
    <row r="773" spans="1:9" x14ac:dyDescent="0.15">
      <c r="A773" s="9">
        <v>772</v>
      </c>
      <c r="B773" s="9" t="s">
        <v>9</v>
      </c>
      <c r="C773" s="9">
        <v>1918</v>
      </c>
      <c r="D773" s="10">
        <v>45663</v>
      </c>
      <c r="E773" s="13" t="str">
        <f>+HYPERLINK("http://trademark.i-assist.jp/data/china/image_1918th/81294667.pdf","81294667")</f>
        <v>81294667</v>
      </c>
      <c r="F773" s="9" t="s">
        <v>2167</v>
      </c>
      <c r="G773" s="9" t="s">
        <v>2168</v>
      </c>
      <c r="H773" s="9" t="s">
        <v>2169</v>
      </c>
      <c r="I773" s="10">
        <v>45575</v>
      </c>
    </row>
    <row r="774" spans="1:9" x14ac:dyDescent="0.15">
      <c r="A774" s="9">
        <v>773</v>
      </c>
      <c r="B774" s="9" t="s">
        <v>9</v>
      </c>
      <c r="C774" s="9">
        <v>1918</v>
      </c>
      <c r="D774" s="10">
        <v>45663</v>
      </c>
      <c r="E774" s="13" t="str">
        <f>+HYPERLINK("http://trademark.i-assist.jp/data/china/image_1918th/81294707.pdf","81294707")</f>
        <v>81294707</v>
      </c>
      <c r="F774" s="9" t="s">
        <v>2170</v>
      </c>
      <c r="G774" s="9" t="s">
        <v>2171</v>
      </c>
      <c r="H774" s="9" t="s">
        <v>2172</v>
      </c>
      <c r="I774" s="10">
        <v>45575</v>
      </c>
    </row>
    <row r="775" spans="1:9" x14ac:dyDescent="0.15">
      <c r="A775" s="9">
        <v>774</v>
      </c>
      <c r="B775" s="9" t="s">
        <v>9</v>
      </c>
      <c r="C775" s="9">
        <v>1918</v>
      </c>
      <c r="D775" s="10">
        <v>45663</v>
      </c>
      <c r="E775" s="13" t="str">
        <f>+HYPERLINK("http://trademark.i-assist.jp/data/china/image_1918th/81295094.pdf","81295094")</f>
        <v>81295094</v>
      </c>
      <c r="F775" s="9" t="s">
        <v>2173</v>
      </c>
      <c r="G775" s="12" t="s">
        <v>2174</v>
      </c>
      <c r="H775" s="9" t="s">
        <v>2175</v>
      </c>
      <c r="I775" s="10">
        <v>45575</v>
      </c>
    </row>
    <row r="776" spans="1:9" x14ac:dyDescent="0.15">
      <c r="A776" s="9">
        <v>775</v>
      </c>
      <c r="B776" s="9" t="s">
        <v>9</v>
      </c>
      <c r="C776" s="9">
        <v>1918</v>
      </c>
      <c r="D776" s="10">
        <v>45663</v>
      </c>
      <c r="E776" s="13" t="str">
        <f>+HYPERLINK("http://trademark.i-assist.jp/data/china/image_1918th/81295203.pdf","81295203")</f>
        <v>81295203</v>
      </c>
      <c r="F776" s="9" t="s">
        <v>2176</v>
      </c>
      <c r="G776" s="9" t="s">
        <v>2102</v>
      </c>
      <c r="H776" s="12" t="s">
        <v>2177</v>
      </c>
      <c r="I776" s="10">
        <v>45575</v>
      </c>
    </row>
    <row r="777" spans="1:9" x14ac:dyDescent="0.15">
      <c r="A777" s="9">
        <v>776</v>
      </c>
      <c r="B777" s="9" t="s">
        <v>9</v>
      </c>
      <c r="C777" s="9">
        <v>1918</v>
      </c>
      <c r="D777" s="10">
        <v>45663</v>
      </c>
      <c r="E777" s="13" t="str">
        <f>+HYPERLINK("http://trademark.i-assist.jp/data/china/image_1918th/81295241.pdf","81295241")</f>
        <v>81295241</v>
      </c>
      <c r="F777" s="9" t="s">
        <v>2178</v>
      </c>
      <c r="G777" s="9" t="s">
        <v>2179</v>
      </c>
      <c r="H777" s="9" t="s">
        <v>2180</v>
      </c>
      <c r="I777" s="10">
        <v>45575</v>
      </c>
    </row>
    <row r="778" spans="1:9" x14ac:dyDescent="0.15">
      <c r="A778" s="9">
        <v>777</v>
      </c>
      <c r="B778" s="9" t="s">
        <v>9</v>
      </c>
      <c r="C778" s="9">
        <v>1918</v>
      </c>
      <c r="D778" s="10">
        <v>45663</v>
      </c>
      <c r="E778" s="13" t="str">
        <f>+HYPERLINK("http://trademark.i-assist.jp/data/china/image_1918th/81295533.pdf","81295533")</f>
        <v>81295533</v>
      </c>
      <c r="F778" s="9" t="s">
        <v>2181</v>
      </c>
      <c r="G778" s="9" t="s">
        <v>83</v>
      </c>
      <c r="H778" s="9" t="s">
        <v>2182</v>
      </c>
      <c r="I778" s="10">
        <v>45575</v>
      </c>
    </row>
    <row r="779" spans="1:9" x14ac:dyDescent="0.15">
      <c r="A779" s="9">
        <v>778</v>
      </c>
      <c r="B779" s="9" t="s">
        <v>9</v>
      </c>
      <c r="C779" s="9">
        <v>1918</v>
      </c>
      <c r="D779" s="10">
        <v>45663</v>
      </c>
      <c r="E779" s="13" t="str">
        <f>+HYPERLINK("http://trademark.i-assist.jp/data/china/image_1918th/81295769.pdf","81295769")</f>
        <v>81295769</v>
      </c>
      <c r="F779" s="9" t="s">
        <v>2183</v>
      </c>
      <c r="G779" s="9" t="s">
        <v>2184</v>
      </c>
      <c r="H779" s="9" t="s">
        <v>2185</v>
      </c>
      <c r="I779" s="10">
        <v>45575</v>
      </c>
    </row>
    <row r="780" spans="1:9" x14ac:dyDescent="0.15">
      <c r="A780" s="9">
        <v>779</v>
      </c>
      <c r="B780" s="9" t="s">
        <v>9</v>
      </c>
      <c r="C780" s="9">
        <v>1918</v>
      </c>
      <c r="D780" s="10">
        <v>45663</v>
      </c>
      <c r="E780" s="13" t="str">
        <f>+HYPERLINK("http://trademark.i-assist.jp/data/china/image_1918th/81296340.pdf","81296340")</f>
        <v>81296340</v>
      </c>
      <c r="F780" s="9" t="s">
        <v>2186</v>
      </c>
      <c r="G780" s="12" t="s">
        <v>2187</v>
      </c>
      <c r="H780" s="9" t="s">
        <v>2188</v>
      </c>
      <c r="I780" s="10">
        <v>45575</v>
      </c>
    </row>
    <row r="781" spans="1:9" x14ac:dyDescent="0.15">
      <c r="A781" s="9">
        <v>780</v>
      </c>
      <c r="B781" s="9" t="s">
        <v>9</v>
      </c>
      <c r="C781" s="9">
        <v>1918</v>
      </c>
      <c r="D781" s="10">
        <v>45663</v>
      </c>
      <c r="E781" s="13" t="str">
        <f>+HYPERLINK("http://trademark.i-assist.jp/data/china/image_1918th/81296516.pdf","81296516")</f>
        <v>81296516</v>
      </c>
      <c r="F781" s="9" t="s">
        <v>2189</v>
      </c>
      <c r="G781" s="12" t="s">
        <v>2190</v>
      </c>
      <c r="H781" s="9" t="s">
        <v>2191</v>
      </c>
      <c r="I781" s="10">
        <v>45575</v>
      </c>
    </row>
    <row r="782" spans="1:9" x14ac:dyDescent="0.15">
      <c r="A782" s="9">
        <v>781</v>
      </c>
      <c r="B782" s="9" t="s">
        <v>9</v>
      </c>
      <c r="C782" s="9">
        <v>1918</v>
      </c>
      <c r="D782" s="10">
        <v>45663</v>
      </c>
      <c r="E782" s="13" t="str">
        <f>+HYPERLINK("http://trademark.i-assist.jp/data/china/image_1918th/81296780.pdf","81296780")</f>
        <v>81296780</v>
      </c>
      <c r="F782" s="12" t="s">
        <v>2192</v>
      </c>
      <c r="G782" s="12" t="s">
        <v>2193</v>
      </c>
      <c r="H782" s="9" t="s">
        <v>11</v>
      </c>
      <c r="I782" s="10">
        <v>45575</v>
      </c>
    </row>
    <row r="783" spans="1:9" x14ac:dyDescent="0.15">
      <c r="A783" s="9">
        <v>782</v>
      </c>
      <c r="B783" s="9" t="s">
        <v>9</v>
      </c>
      <c r="C783" s="9">
        <v>1918</v>
      </c>
      <c r="D783" s="10">
        <v>45663</v>
      </c>
      <c r="E783" s="13" t="str">
        <f>+HYPERLINK("http://trademark.i-assist.jp/data/china/image_1918th/81296801.pdf","81296801")</f>
        <v>81296801</v>
      </c>
      <c r="F783" s="9" t="s">
        <v>2194</v>
      </c>
      <c r="G783" s="12" t="s">
        <v>2195</v>
      </c>
      <c r="H783" s="9" t="s">
        <v>2196</v>
      </c>
      <c r="I783" s="10">
        <v>45575</v>
      </c>
    </row>
    <row r="784" spans="1:9" x14ac:dyDescent="0.15">
      <c r="A784" s="9">
        <v>783</v>
      </c>
      <c r="B784" s="9" t="s">
        <v>9</v>
      </c>
      <c r="C784" s="9">
        <v>1918</v>
      </c>
      <c r="D784" s="10">
        <v>45663</v>
      </c>
      <c r="E784" s="13" t="str">
        <f>+HYPERLINK("http://trademark.i-assist.jp/data/china/image_1918th/81297052.pdf","81297052")</f>
        <v>81297052</v>
      </c>
      <c r="F784" s="12" t="s">
        <v>12</v>
      </c>
      <c r="G784" s="9" t="s">
        <v>2197</v>
      </c>
      <c r="H784" s="9" t="s">
        <v>2198</v>
      </c>
      <c r="I784" s="10">
        <v>45575</v>
      </c>
    </row>
    <row r="785" spans="1:9" x14ac:dyDescent="0.15">
      <c r="A785" s="9">
        <v>784</v>
      </c>
      <c r="B785" s="9" t="s">
        <v>9</v>
      </c>
      <c r="C785" s="9">
        <v>1918</v>
      </c>
      <c r="D785" s="10">
        <v>45663</v>
      </c>
      <c r="E785" s="13" t="str">
        <f>+HYPERLINK("http://trademark.i-assist.jp/data/china/image_1918th/81297424.pdf","81297424")</f>
        <v>81297424</v>
      </c>
      <c r="F785" s="9" t="s">
        <v>2199</v>
      </c>
      <c r="G785" s="9" t="s">
        <v>2200</v>
      </c>
      <c r="H785" s="9" t="s">
        <v>2201</v>
      </c>
      <c r="I785" s="10">
        <v>45575</v>
      </c>
    </row>
    <row r="786" spans="1:9" x14ac:dyDescent="0.15">
      <c r="A786" s="9">
        <v>785</v>
      </c>
      <c r="B786" s="9" t="s">
        <v>9</v>
      </c>
      <c r="C786" s="9">
        <v>1918</v>
      </c>
      <c r="D786" s="10">
        <v>45663</v>
      </c>
      <c r="E786" s="13" t="str">
        <f>+HYPERLINK("http://trademark.i-assist.jp/data/china/image_1918th/81297506.pdf","81297506")</f>
        <v>81297506</v>
      </c>
      <c r="F786" s="9" t="s">
        <v>2202</v>
      </c>
      <c r="G786" s="9" t="s">
        <v>2203</v>
      </c>
      <c r="H786" s="12" t="s">
        <v>2204</v>
      </c>
      <c r="I786" s="10">
        <v>45575</v>
      </c>
    </row>
    <row r="787" spans="1:9" x14ac:dyDescent="0.15">
      <c r="A787" s="9">
        <v>786</v>
      </c>
      <c r="B787" s="9" t="s">
        <v>9</v>
      </c>
      <c r="C787" s="9">
        <v>1918</v>
      </c>
      <c r="D787" s="10">
        <v>45663</v>
      </c>
      <c r="E787" s="13" t="str">
        <f>+HYPERLINK("http://trademark.i-assist.jp/data/china/image_1918th/81297581.pdf","81297581")</f>
        <v>81297581</v>
      </c>
      <c r="F787" s="12" t="s">
        <v>2205</v>
      </c>
      <c r="G787" s="12" t="s">
        <v>2206</v>
      </c>
      <c r="H787" s="9" t="s">
        <v>2207</v>
      </c>
      <c r="I787" s="10">
        <v>45575</v>
      </c>
    </row>
    <row r="788" spans="1:9" x14ac:dyDescent="0.15">
      <c r="A788" s="9">
        <v>787</v>
      </c>
      <c r="B788" s="9" t="s">
        <v>9</v>
      </c>
      <c r="C788" s="9">
        <v>1918</v>
      </c>
      <c r="D788" s="10">
        <v>45663</v>
      </c>
      <c r="E788" s="13" t="str">
        <f>+HYPERLINK("http://trademark.i-assist.jp/data/china/image_1918th/81298589.pdf","81298589")</f>
        <v>81298589</v>
      </c>
      <c r="F788" s="9" t="s">
        <v>2186</v>
      </c>
      <c r="G788" s="12" t="s">
        <v>2187</v>
      </c>
      <c r="H788" s="9" t="s">
        <v>2208</v>
      </c>
      <c r="I788" s="10">
        <v>45575</v>
      </c>
    </row>
    <row r="789" spans="1:9" x14ac:dyDescent="0.15">
      <c r="A789" s="9">
        <v>788</v>
      </c>
      <c r="B789" s="9" t="s">
        <v>9</v>
      </c>
      <c r="C789" s="9">
        <v>1918</v>
      </c>
      <c r="D789" s="10">
        <v>45663</v>
      </c>
      <c r="E789" s="13" t="str">
        <f>+HYPERLINK("http://trademark.i-assist.jp/data/china/image_1918th/81298741.pdf","81298741")</f>
        <v>81298741</v>
      </c>
      <c r="F789" s="9" t="s">
        <v>2209</v>
      </c>
      <c r="G789" s="9" t="s">
        <v>2210</v>
      </c>
      <c r="H789" s="9" t="s">
        <v>2211</v>
      </c>
      <c r="I789" s="10">
        <v>45575</v>
      </c>
    </row>
    <row r="790" spans="1:9" x14ac:dyDescent="0.15">
      <c r="A790" s="9">
        <v>789</v>
      </c>
      <c r="B790" s="9" t="s">
        <v>9</v>
      </c>
      <c r="C790" s="9">
        <v>1918</v>
      </c>
      <c r="D790" s="10">
        <v>45663</v>
      </c>
      <c r="E790" s="13" t="str">
        <f>+HYPERLINK("http://trademark.i-assist.jp/data/china/image_1918th/81299365.pdf","81299365")</f>
        <v>81299365</v>
      </c>
      <c r="F790" s="12" t="s">
        <v>2212</v>
      </c>
      <c r="G790" s="9" t="s">
        <v>2155</v>
      </c>
      <c r="H790" s="12" t="s">
        <v>2213</v>
      </c>
      <c r="I790" s="10">
        <v>45575</v>
      </c>
    </row>
    <row r="791" spans="1:9" x14ac:dyDescent="0.15">
      <c r="A791" s="9">
        <v>790</v>
      </c>
      <c r="B791" s="9" t="s">
        <v>9</v>
      </c>
      <c r="C791" s="9">
        <v>1918</v>
      </c>
      <c r="D791" s="10">
        <v>45663</v>
      </c>
      <c r="E791" s="13" t="str">
        <f>+HYPERLINK("http://trademark.i-assist.jp/data/china/image_1918th/81300209.pdf","81300209")</f>
        <v>81300209</v>
      </c>
      <c r="F791" s="9" t="s">
        <v>2214</v>
      </c>
      <c r="G791" s="9" t="s">
        <v>2215</v>
      </c>
      <c r="H791" s="9" t="s">
        <v>2216</v>
      </c>
      <c r="I791" s="10">
        <v>45575</v>
      </c>
    </row>
    <row r="792" spans="1:9" x14ac:dyDescent="0.15">
      <c r="A792" s="9">
        <v>791</v>
      </c>
      <c r="B792" s="9" t="s">
        <v>9</v>
      </c>
      <c r="C792" s="9">
        <v>1918</v>
      </c>
      <c r="D792" s="10">
        <v>45663</v>
      </c>
      <c r="E792" s="13" t="str">
        <f>+HYPERLINK("http://trademark.i-assist.jp/data/china/image_1918th/81300688.pdf","81300688")</f>
        <v>81300688</v>
      </c>
      <c r="F792" s="12" t="s">
        <v>2217</v>
      </c>
      <c r="G792" s="9" t="s">
        <v>2135</v>
      </c>
      <c r="H792" s="9" t="s">
        <v>2218</v>
      </c>
      <c r="I792" s="10">
        <v>45575</v>
      </c>
    </row>
    <row r="793" spans="1:9" x14ac:dyDescent="0.15">
      <c r="A793" s="9">
        <v>792</v>
      </c>
      <c r="B793" s="9" t="s">
        <v>9</v>
      </c>
      <c r="C793" s="9">
        <v>1918</v>
      </c>
      <c r="D793" s="10">
        <v>45663</v>
      </c>
      <c r="E793" s="13" t="str">
        <f>+HYPERLINK("http://trademark.i-assist.jp/data/china/image_1918th/81301786.pdf","81301786")</f>
        <v>81301786</v>
      </c>
      <c r="F793" s="9" t="s">
        <v>2219</v>
      </c>
      <c r="G793" s="9" t="s">
        <v>2220</v>
      </c>
      <c r="H793" s="9" t="s">
        <v>2221</v>
      </c>
      <c r="I793" s="10">
        <v>45575</v>
      </c>
    </row>
    <row r="794" spans="1:9" x14ac:dyDescent="0.15">
      <c r="A794" s="9">
        <v>793</v>
      </c>
      <c r="B794" s="9" t="s">
        <v>9</v>
      </c>
      <c r="C794" s="9">
        <v>1918</v>
      </c>
      <c r="D794" s="10">
        <v>45663</v>
      </c>
      <c r="E794" s="13" t="str">
        <f>+HYPERLINK("http://trademark.i-assist.jp/data/china/image_1918th/81301858.pdf","81301858")</f>
        <v>81301858</v>
      </c>
      <c r="F794" s="9" t="s">
        <v>2222</v>
      </c>
      <c r="G794" s="9" t="s">
        <v>2223</v>
      </c>
      <c r="H794" s="9" t="s">
        <v>2224</v>
      </c>
      <c r="I794" s="10">
        <v>45575</v>
      </c>
    </row>
    <row r="795" spans="1:9" x14ac:dyDescent="0.15">
      <c r="A795" s="9">
        <v>794</v>
      </c>
      <c r="B795" s="9" t="s">
        <v>9</v>
      </c>
      <c r="C795" s="9">
        <v>1918</v>
      </c>
      <c r="D795" s="10">
        <v>45663</v>
      </c>
      <c r="E795" s="13" t="str">
        <f>+HYPERLINK("http://trademark.i-assist.jp/data/china/image_1918th/81302094.pdf","81302094")</f>
        <v>81302094</v>
      </c>
      <c r="F795" s="9" t="s">
        <v>2225</v>
      </c>
      <c r="G795" s="9" t="s">
        <v>2096</v>
      </c>
      <c r="H795" s="9" t="s">
        <v>2226</v>
      </c>
      <c r="I795" s="10">
        <v>45575</v>
      </c>
    </row>
    <row r="796" spans="1:9" x14ac:dyDescent="0.15">
      <c r="A796" s="9">
        <v>795</v>
      </c>
      <c r="B796" s="9" t="s">
        <v>9</v>
      </c>
      <c r="C796" s="9">
        <v>1918</v>
      </c>
      <c r="D796" s="10">
        <v>45663</v>
      </c>
      <c r="E796" s="13" t="str">
        <f>+HYPERLINK("http://trademark.i-assist.jp/data/china/image_1918th/81302126.pdf","81302126")</f>
        <v>81302126</v>
      </c>
      <c r="F796" s="12" t="s">
        <v>2227</v>
      </c>
      <c r="G796" s="12" t="s">
        <v>2228</v>
      </c>
      <c r="H796" s="9" t="s">
        <v>2229</v>
      </c>
      <c r="I796" s="10">
        <v>45575</v>
      </c>
    </row>
    <row r="797" spans="1:9" x14ac:dyDescent="0.15">
      <c r="A797" s="9">
        <v>796</v>
      </c>
      <c r="B797" s="9" t="s">
        <v>9</v>
      </c>
      <c r="C797" s="9">
        <v>1918</v>
      </c>
      <c r="D797" s="10">
        <v>45663</v>
      </c>
      <c r="E797" s="13" t="str">
        <f>+HYPERLINK("http://trademark.i-assist.jp/data/china/image_1918th/81302169.pdf","81302169")</f>
        <v>81302169</v>
      </c>
      <c r="F797" s="12" t="s">
        <v>12</v>
      </c>
      <c r="G797" s="9" t="s">
        <v>2230</v>
      </c>
      <c r="H797" s="9" t="s">
        <v>2231</v>
      </c>
      <c r="I797" s="10">
        <v>45575</v>
      </c>
    </row>
    <row r="798" spans="1:9" x14ac:dyDescent="0.15">
      <c r="A798" s="9">
        <v>797</v>
      </c>
      <c r="B798" s="9" t="s">
        <v>9</v>
      </c>
      <c r="C798" s="9">
        <v>1918</v>
      </c>
      <c r="D798" s="10">
        <v>45663</v>
      </c>
      <c r="E798" s="13" t="str">
        <f>+HYPERLINK("http://trademark.i-assist.jp/data/china/image_1918th/81302510.pdf","81302510")</f>
        <v>81302510</v>
      </c>
      <c r="F798" s="9" t="s">
        <v>2232</v>
      </c>
      <c r="G798" s="9" t="s">
        <v>2233</v>
      </c>
      <c r="H798" s="9" t="s">
        <v>2234</v>
      </c>
      <c r="I798" s="10">
        <v>45575</v>
      </c>
    </row>
    <row r="799" spans="1:9" x14ac:dyDescent="0.15">
      <c r="A799" s="9">
        <v>798</v>
      </c>
      <c r="B799" s="9" t="s">
        <v>9</v>
      </c>
      <c r="C799" s="9">
        <v>1918</v>
      </c>
      <c r="D799" s="10">
        <v>45663</v>
      </c>
      <c r="E799" s="13" t="str">
        <f>+HYPERLINK("http://trademark.i-assist.jp/data/china/image_1918th/81303396.pdf","81303396")</f>
        <v>81303396</v>
      </c>
      <c r="F799" s="9" t="s">
        <v>2235</v>
      </c>
      <c r="G799" s="9" t="s">
        <v>2236</v>
      </c>
      <c r="H799" s="9" t="s">
        <v>2237</v>
      </c>
      <c r="I799" s="10">
        <v>45575</v>
      </c>
    </row>
    <row r="800" spans="1:9" x14ac:dyDescent="0.15">
      <c r="A800" s="9">
        <v>799</v>
      </c>
      <c r="B800" s="9" t="s">
        <v>9</v>
      </c>
      <c r="C800" s="9">
        <v>1918</v>
      </c>
      <c r="D800" s="10">
        <v>45663</v>
      </c>
      <c r="E800" s="13" t="str">
        <f>+HYPERLINK("http://trademark.i-assist.jp/data/china/image_1918th/81304549.pdf","81304549")</f>
        <v>81304549</v>
      </c>
      <c r="F800" s="9" t="s">
        <v>2238</v>
      </c>
      <c r="G800" s="9" t="s">
        <v>2239</v>
      </c>
      <c r="H800" s="9" t="s">
        <v>2240</v>
      </c>
      <c r="I800" s="10">
        <v>45575</v>
      </c>
    </row>
    <row r="801" spans="1:9" x14ac:dyDescent="0.15">
      <c r="A801" s="9">
        <v>800</v>
      </c>
      <c r="B801" s="9" t="s">
        <v>9</v>
      </c>
      <c r="C801" s="9">
        <v>1918</v>
      </c>
      <c r="D801" s="10">
        <v>45663</v>
      </c>
      <c r="E801" s="13" t="str">
        <f>+HYPERLINK("http://trademark.i-assist.jp/data/china/image_1918th/81304762.pdf","81304762")</f>
        <v>81304762</v>
      </c>
      <c r="F801" s="9" t="s">
        <v>2241</v>
      </c>
      <c r="G801" s="9" t="s">
        <v>2242</v>
      </c>
      <c r="H801" s="9" t="s">
        <v>2243</v>
      </c>
      <c r="I801" s="10">
        <v>45575</v>
      </c>
    </row>
    <row r="802" spans="1:9" x14ac:dyDescent="0.15">
      <c r="A802" s="9">
        <v>801</v>
      </c>
      <c r="B802" s="9" t="s">
        <v>9</v>
      </c>
      <c r="C802" s="9">
        <v>1918</v>
      </c>
      <c r="D802" s="10">
        <v>45663</v>
      </c>
      <c r="E802" s="13" t="str">
        <f>+HYPERLINK("http://trademark.i-assist.jp/data/china/image_1918th/81304934.pdf","81304934")</f>
        <v>81304934</v>
      </c>
      <c r="F802" s="12" t="s">
        <v>2244</v>
      </c>
      <c r="G802" s="9" t="s">
        <v>80</v>
      </c>
      <c r="H802" s="9" t="s">
        <v>2245</v>
      </c>
      <c r="I802" s="10">
        <v>45575</v>
      </c>
    </row>
    <row r="803" spans="1:9" x14ac:dyDescent="0.15">
      <c r="A803" s="9">
        <v>802</v>
      </c>
      <c r="B803" s="9" t="s">
        <v>9</v>
      </c>
      <c r="C803" s="9">
        <v>1918</v>
      </c>
      <c r="D803" s="10">
        <v>45663</v>
      </c>
      <c r="E803" s="13" t="str">
        <f>+HYPERLINK("http://trademark.i-assist.jp/data/china/image_1918th/81305130.pdf","81305130")</f>
        <v>81305130</v>
      </c>
      <c r="F803" s="9" t="s">
        <v>2246</v>
      </c>
      <c r="G803" s="9" t="s">
        <v>2247</v>
      </c>
      <c r="H803" s="9" t="s">
        <v>2248</v>
      </c>
      <c r="I803" s="10">
        <v>45575</v>
      </c>
    </row>
    <row r="804" spans="1:9" x14ac:dyDescent="0.15">
      <c r="A804" s="9">
        <v>803</v>
      </c>
      <c r="B804" s="9" t="s">
        <v>9</v>
      </c>
      <c r="C804" s="9">
        <v>1918</v>
      </c>
      <c r="D804" s="10">
        <v>45663</v>
      </c>
      <c r="E804" s="13" t="str">
        <f>+HYPERLINK("http://trademark.i-assist.jp/data/china/image_1918th/81305378.pdf","81305378")</f>
        <v>81305378</v>
      </c>
      <c r="F804" s="9" t="s">
        <v>2249</v>
      </c>
      <c r="G804" s="9" t="s">
        <v>2250</v>
      </c>
      <c r="H804" s="9" t="s">
        <v>2251</v>
      </c>
      <c r="I804" s="10">
        <v>45575</v>
      </c>
    </row>
    <row r="805" spans="1:9" x14ac:dyDescent="0.15">
      <c r="A805" s="9">
        <v>804</v>
      </c>
      <c r="B805" s="9" t="s">
        <v>9</v>
      </c>
      <c r="C805" s="9">
        <v>1918</v>
      </c>
      <c r="D805" s="10">
        <v>45663</v>
      </c>
      <c r="E805" s="13" t="str">
        <f>+HYPERLINK("http://trademark.i-assist.jp/data/china/image_1918th/81305405.pdf","81305405")</f>
        <v>81305405</v>
      </c>
      <c r="F805" s="9" t="s">
        <v>2252</v>
      </c>
      <c r="G805" s="9" t="s">
        <v>78</v>
      </c>
      <c r="H805" s="9" t="s">
        <v>2253</v>
      </c>
      <c r="I805" s="10">
        <v>45575</v>
      </c>
    </row>
    <row r="806" spans="1:9" x14ac:dyDescent="0.15">
      <c r="A806" s="9">
        <v>805</v>
      </c>
      <c r="B806" s="9" t="s">
        <v>9</v>
      </c>
      <c r="C806" s="9">
        <v>1918</v>
      </c>
      <c r="D806" s="10">
        <v>45663</v>
      </c>
      <c r="E806" s="13" t="str">
        <f>+HYPERLINK("http://trademark.i-assist.jp/data/china/image_1918th/81305533.pdf","81305533")</f>
        <v>81305533</v>
      </c>
      <c r="F806" s="12" t="s">
        <v>12</v>
      </c>
      <c r="G806" s="12" t="s">
        <v>379</v>
      </c>
      <c r="H806" s="9" t="s">
        <v>2254</v>
      </c>
      <c r="I806" s="10">
        <v>45575</v>
      </c>
    </row>
    <row r="807" spans="1:9" x14ac:dyDescent="0.15">
      <c r="A807" s="9">
        <v>806</v>
      </c>
      <c r="B807" s="9" t="s">
        <v>9</v>
      </c>
      <c r="C807" s="9">
        <v>1918</v>
      </c>
      <c r="D807" s="10">
        <v>45663</v>
      </c>
      <c r="E807" s="13" t="str">
        <f>+HYPERLINK("http://trademark.i-assist.jp/data/china/image_1918th/81305785.pdf","81305785")</f>
        <v>81305785</v>
      </c>
      <c r="F807" s="9" t="s">
        <v>2255</v>
      </c>
      <c r="G807" s="9" t="s">
        <v>2256</v>
      </c>
      <c r="H807" s="9" t="s">
        <v>2257</v>
      </c>
      <c r="I807" s="10">
        <v>45575</v>
      </c>
    </row>
    <row r="808" spans="1:9" x14ac:dyDescent="0.15">
      <c r="A808" s="9">
        <v>807</v>
      </c>
      <c r="B808" s="9" t="s">
        <v>9</v>
      </c>
      <c r="C808" s="9">
        <v>1918</v>
      </c>
      <c r="D808" s="10">
        <v>45663</v>
      </c>
      <c r="E808" s="13" t="str">
        <f>+HYPERLINK("http://trademark.i-assist.jp/data/china/image_1918th/81306387.pdf","81306387")</f>
        <v>81306387</v>
      </c>
      <c r="F808" s="9" t="s">
        <v>2258</v>
      </c>
      <c r="G808" s="12" t="s">
        <v>38</v>
      </c>
      <c r="H808" s="9" t="s">
        <v>2259</v>
      </c>
      <c r="I808" s="10">
        <v>45575</v>
      </c>
    </row>
    <row r="809" spans="1:9" x14ac:dyDescent="0.15">
      <c r="A809" s="9">
        <v>808</v>
      </c>
      <c r="B809" s="9" t="s">
        <v>9</v>
      </c>
      <c r="C809" s="9">
        <v>1918</v>
      </c>
      <c r="D809" s="10">
        <v>45663</v>
      </c>
      <c r="E809" s="13" t="str">
        <f>+HYPERLINK("http://trademark.i-assist.jp/data/china/image_1918th/81307770.pdf","81307770")</f>
        <v>81307770</v>
      </c>
      <c r="F809" s="9" t="s">
        <v>2260</v>
      </c>
      <c r="G809" s="12" t="s">
        <v>2261</v>
      </c>
      <c r="H809" s="9" t="s">
        <v>2262</v>
      </c>
      <c r="I809" s="10">
        <v>45575</v>
      </c>
    </row>
    <row r="810" spans="1:9" x14ac:dyDescent="0.15">
      <c r="A810" s="9">
        <v>809</v>
      </c>
      <c r="B810" s="9" t="s">
        <v>9</v>
      </c>
      <c r="C810" s="9">
        <v>1918</v>
      </c>
      <c r="D810" s="10">
        <v>45663</v>
      </c>
      <c r="E810" s="13" t="str">
        <f>+HYPERLINK("http://trademark.i-assist.jp/data/china/image_1918th/81307992.pdf","81307992")</f>
        <v>81307992</v>
      </c>
      <c r="F810" s="9" t="s">
        <v>2263</v>
      </c>
      <c r="G810" s="9" t="s">
        <v>2264</v>
      </c>
      <c r="H810" s="9" t="s">
        <v>2265</v>
      </c>
      <c r="I810" s="10">
        <v>45575</v>
      </c>
    </row>
    <row r="811" spans="1:9" x14ac:dyDescent="0.15">
      <c r="A811" s="9">
        <v>810</v>
      </c>
      <c r="B811" s="9" t="s">
        <v>9</v>
      </c>
      <c r="C811" s="9">
        <v>1918</v>
      </c>
      <c r="D811" s="10">
        <v>45663</v>
      </c>
      <c r="E811" s="13" t="str">
        <f>+HYPERLINK("http://trademark.i-assist.jp/data/china/image_1918th/81308132.pdf","81308132")</f>
        <v>81308132</v>
      </c>
      <c r="F811" s="9" t="s">
        <v>2266</v>
      </c>
      <c r="G811" s="9" t="s">
        <v>2267</v>
      </c>
      <c r="H811" s="9" t="s">
        <v>2268</v>
      </c>
      <c r="I811" s="10">
        <v>45575</v>
      </c>
    </row>
    <row r="812" spans="1:9" x14ac:dyDescent="0.15">
      <c r="A812" s="9">
        <v>811</v>
      </c>
      <c r="B812" s="9" t="s">
        <v>9</v>
      </c>
      <c r="C812" s="9">
        <v>1918</v>
      </c>
      <c r="D812" s="10">
        <v>45663</v>
      </c>
      <c r="E812" s="13" t="str">
        <f>+HYPERLINK("http://trademark.i-assist.jp/data/china/image_1918th/81308264.pdf","81308264")</f>
        <v>81308264</v>
      </c>
      <c r="F812" s="12" t="s">
        <v>2269</v>
      </c>
      <c r="G812" s="9" t="s">
        <v>2270</v>
      </c>
      <c r="H812" s="9" t="s">
        <v>2271</v>
      </c>
      <c r="I812" s="10">
        <v>45575</v>
      </c>
    </row>
    <row r="813" spans="1:9" x14ac:dyDescent="0.15">
      <c r="A813" s="9">
        <v>812</v>
      </c>
      <c r="B813" s="9" t="s">
        <v>9</v>
      </c>
      <c r="C813" s="9">
        <v>1918</v>
      </c>
      <c r="D813" s="10">
        <v>45663</v>
      </c>
      <c r="E813" s="13" t="str">
        <f>+HYPERLINK("http://trademark.i-assist.jp/data/china/image_1918th/81309120.pdf","81309120")</f>
        <v>81309120</v>
      </c>
      <c r="F813" s="9" t="s">
        <v>2272</v>
      </c>
      <c r="G813" s="9" t="s">
        <v>2273</v>
      </c>
      <c r="H813" s="9" t="s">
        <v>2274</v>
      </c>
      <c r="I813" s="10">
        <v>45575</v>
      </c>
    </row>
    <row r="814" spans="1:9" x14ac:dyDescent="0.15">
      <c r="A814" s="9">
        <v>813</v>
      </c>
      <c r="B814" s="9" t="s">
        <v>9</v>
      </c>
      <c r="C814" s="9">
        <v>1918</v>
      </c>
      <c r="D814" s="10">
        <v>45663</v>
      </c>
      <c r="E814" s="13" t="str">
        <f>+HYPERLINK("http://trademark.i-assist.jp/data/china/image_1918th/81309292.pdf","81309292")</f>
        <v>81309292</v>
      </c>
      <c r="F814" s="12" t="s">
        <v>2275</v>
      </c>
      <c r="G814" s="12" t="s">
        <v>2276</v>
      </c>
      <c r="H814" s="9" t="s">
        <v>2277</v>
      </c>
      <c r="I814" s="10">
        <v>45575</v>
      </c>
    </row>
    <row r="815" spans="1:9" x14ac:dyDescent="0.15">
      <c r="A815" s="9">
        <v>814</v>
      </c>
      <c r="B815" s="9" t="s">
        <v>9</v>
      </c>
      <c r="C815" s="9">
        <v>1918</v>
      </c>
      <c r="D815" s="10">
        <v>45663</v>
      </c>
      <c r="E815" s="13" t="str">
        <f>+HYPERLINK("http://trademark.i-assist.jp/data/china/image_1918th/81309459.pdf","81309459")</f>
        <v>81309459</v>
      </c>
      <c r="F815" s="12" t="s">
        <v>2278</v>
      </c>
      <c r="G815" s="9" t="s">
        <v>2279</v>
      </c>
      <c r="H815" s="9" t="s">
        <v>2280</v>
      </c>
      <c r="I815" s="10">
        <v>45575</v>
      </c>
    </row>
    <row r="816" spans="1:9" x14ac:dyDescent="0.15">
      <c r="A816" s="9">
        <v>815</v>
      </c>
      <c r="B816" s="9" t="s">
        <v>9</v>
      </c>
      <c r="C816" s="9">
        <v>1918</v>
      </c>
      <c r="D816" s="10">
        <v>45663</v>
      </c>
      <c r="E816" s="13" t="str">
        <f>+HYPERLINK("http://trademark.i-assist.jp/data/china/image_1918th/81309607.pdf","81309607")</f>
        <v>81309607</v>
      </c>
      <c r="F816" s="9" t="s">
        <v>2281</v>
      </c>
      <c r="G816" s="9" t="s">
        <v>2282</v>
      </c>
      <c r="H816" s="9" t="s">
        <v>2283</v>
      </c>
      <c r="I816" s="10">
        <v>45575</v>
      </c>
    </row>
    <row r="817" spans="1:9" x14ac:dyDescent="0.15">
      <c r="A817" s="9">
        <v>816</v>
      </c>
      <c r="B817" s="9" t="s">
        <v>9</v>
      </c>
      <c r="C817" s="9">
        <v>1918</v>
      </c>
      <c r="D817" s="10">
        <v>45663</v>
      </c>
      <c r="E817" s="13" t="str">
        <f>+HYPERLINK("http://trademark.i-assist.jp/data/china/image_1918th/81309807.pdf","81309807")</f>
        <v>81309807</v>
      </c>
      <c r="F817" s="9" t="s">
        <v>2284</v>
      </c>
      <c r="G817" s="9" t="s">
        <v>2285</v>
      </c>
      <c r="H817" s="9" t="s">
        <v>2286</v>
      </c>
      <c r="I817" s="10">
        <v>45575</v>
      </c>
    </row>
    <row r="818" spans="1:9" x14ac:dyDescent="0.15">
      <c r="A818" s="9">
        <v>817</v>
      </c>
      <c r="B818" s="9" t="s">
        <v>9</v>
      </c>
      <c r="C818" s="9">
        <v>1918</v>
      </c>
      <c r="D818" s="10">
        <v>45663</v>
      </c>
      <c r="E818" s="13" t="str">
        <f>+HYPERLINK("http://trademark.i-assist.jp/data/china/image_1918th/81310463.pdf","81310463")</f>
        <v>81310463</v>
      </c>
      <c r="F818" s="12" t="s">
        <v>2287</v>
      </c>
      <c r="G818" s="12" t="s">
        <v>2288</v>
      </c>
      <c r="H818" s="9" t="s">
        <v>2289</v>
      </c>
      <c r="I818" s="10">
        <v>45576</v>
      </c>
    </row>
    <row r="819" spans="1:9" x14ac:dyDescent="0.15">
      <c r="A819" s="9">
        <v>818</v>
      </c>
      <c r="B819" s="9" t="s">
        <v>9</v>
      </c>
      <c r="C819" s="9">
        <v>1918</v>
      </c>
      <c r="D819" s="10">
        <v>45663</v>
      </c>
      <c r="E819" s="13" t="str">
        <f>+HYPERLINK("http://trademark.i-assist.jp/data/china/image_1918th/81310669.pdf","81310669")</f>
        <v>81310669</v>
      </c>
      <c r="F819" s="9" t="s">
        <v>2290</v>
      </c>
      <c r="G819" s="12" t="s">
        <v>2291</v>
      </c>
      <c r="H819" s="9" t="s">
        <v>2292</v>
      </c>
      <c r="I819" s="10">
        <v>45576</v>
      </c>
    </row>
    <row r="820" spans="1:9" x14ac:dyDescent="0.15">
      <c r="A820" s="9">
        <v>819</v>
      </c>
      <c r="B820" s="9" t="s">
        <v>9</v>
      </c>
      <c r="C820" s="9">
        <v>1918</v>
      </c>
      <c r="D820" s="10">
        <v>45663</v>
      </c>
      <c r="E820" s="13" t="str">
        <f>+HYPERLINK("http://trademark.i-assist.jp/data/china/image_1918th/81310852.pdf","81310852")</f>
        <v>81310852</v>
      </c>
      <c r="F820" s="9" t="s">
        <v>2293</v>
      </c>
      <c r="G820" s="9" t="s">
        <v>2294</v>
      </c>
      <c r="H820" s="9" t="s">
        <v>2295</v>
      </c>
      <c r="I820" s="10">
        <v>45576</v>
      </c>
    </row>
    <row r="821" spans="1:9" x14ac:dyDescent="0.15">
      <c r="A821" s="9">
        <v>820</v>
      </c>
      <c r="B821" s="9" t="s">
        <v>9</v>
      </c>
      <c r="C821" s="9">
        <v>1918</v>
      </c>
      <c r="D821" s="10">
        <v>45663</v>
      </c>
      <c r="E821" s="13" t="str">
        <f>+HYPERLINK("http://trademark.i-assist.jp/data/china/image_1918th/81310997.pdf","81310997")</f>
        <v>81310997</v>
      </c>
      <c r="F821" s="12" t="s">
        <v>12</v>
      </c>
      <c r="G821" s="9" t="s">
        <v>84</v>
      </c>
      <c r="H821" s="9" t="s">
        <v>2296</v>
      </c>
      <c r="I821" s="10">
        <v>45576</v>
      </c>
    </row>
    <row r="822" spans="1:9" x14ac:dyDescent="0.15">
      <c r="A822" s="9">
        <v>821</v>
      </c>
      <c r="B822" s="9" t="s">
        <v>9</v>
      </c>
      <c r="C822" s="9">
        <v>1918</v>
      </c>
      <c r="D822" s="10">
        <v>45663</v>
      </c>
      <c r="E822" s="13" t="str">
        <f>+HYPERLINK("http://trademark.i-assist.jp/data/china/image_1918th/81311211.pdf","81311211")</f>
        <v>81311211</v>
      </c>
      <c r="F822" s="12" t="s">
        <v>2297</v>
      </c>
      <c r="G822" s="9" t="s">
        <v>2298</v>
      </c>
      <c r="H822" s="12" t="s">
        <v>2299</v>
      </c>
      <c r="I822" s="10">
        <v>45576</v>
      </c>
    </row>
    <row r="823" spans="1:9" x14ac:dyDescent="0.15">
      <c r="A823" s="9">
        <v>822</v>
      </c>
      <c r="B823" s="9" t="s">
        <v>9</v>
      </c>
      <c r="C823" s="9">
        <v>1918</v>
      </c>
      <c r="D823" s="10">
        <v>45663</v>
      </c>
      <c r="E823" s="13" t="str">
        <f>+HYPERLINK("http://trademark.i-assist.jp/data/china/image_1918th/81311920.pdf","81311920")</f>
        <v>81311920</v>
      </c>
      <c r="F823" s="9" t="s">
        <v>2300</v>
      </c>
      <c r="G823" s="12" t="s">
        <v>44</v>
      </c>
      <c r="H823" s="9" t="s">
        <v>2301</v>
      </c>
      <c r="I823" s="10">
        <v>45576</v>
      </c>
    </row>
    <row r="824" spans="1:9" x14ac:dyDescent="0.15">
      <c r="A824" s="9">
        <v>823</v>
      </c>
      <c r="B824" s="9" t="s">
        <v>9</v>
      </c>
      <c r="C824" s="9">
        <v>1918</v>
      </c>
      <c r="D824" s="10">
        <v>45663</v>
      </c>
      <c r="E824" s="13" t="str">
        <f>+HYPERLINK("http://trademark.i-assist.jp/data/china/image_1918th/81312558.pdf","81312558")</f>
        <v>81312558</v>
      </c>
      <c r="F824" s="12" t="s">
        <v>12</v>
      </c>
      <c r="G824" s="9" t="s">
        <v>2302</v>
      </c>
      <c r="H824" s="9" t="s">
        <v>2303</v>
      </c>
      <c r="I824" s="10">
        <v>45576</v>
      </c>
    </row>
    <row r="825" spans="1:9" x14ac:dyDescent="0.15">
      <c r="A825" s="9">
        <v>824</v>
      </c>
      <c r="B825" s="9" t="s">
        <v>9</v>
      </c>
      <c r="C825" s="9">
        <v>1918</v>
      </c>
      <c r="D825" s="10">
        <v>45663</v>
      </c>
      <c r="E825" s="13" t="str">
        <f>+HYPERLINK("http://trademark.i-assist.jp/data/china/image_1918th/81312634.pdf","81312634")</f>
        <v>81312634</v>
      </c>
      <c r="F825" s="12" t="s">
        <v>12</v>
      </c>
      <c r="G825" s="9" t="s">
        <v>2304</v>
      </c>
      <c r="H825" s="9" t="s">
        <v>2305</v>
      </c>
      <c r="I825" s="10">
        <v>45576</v>
      </c>
    </row>
    <row r="826" spans="1:9" x14ac:dyDescent="0.15">
      <c r="A826" s="9">
        <v>825</v>
      </c>
      <c r="B826" s="9" t="s">
        <v>9</v>
      </c>
      <c r="C826" s="9">
        <v>1918</v>
      </c>
      <c r="D826" s="10">
        <v>45663</v>
      </c>
      <c r="E826" s="13" t="str">
        <f>+HYPERLINK("http://trademark.i-assist.jp/data/china/image_1918th/81312935.pdf","81312935")</f>
        <v>81312935</v>
      </c>
      <c r="F826" s="9" t="s">
        <v>2306</v>
      </c>
      <c r="G826" s="9" t="s">
        <v>84</v>
      </c>
      <c r="H826" s="9" t="s">
        <v>2307</v>
      </c>
      <c r="I826" s="10">
        <v>45576</v>
      </c>
    </row>
    <row r="827" spans="1:9" x14ac:dyDescent="0.15">
      <c r="A827" s="9">
        <v>826</v>
      </c>
      <c r="B827" s="9" t="s">
        <v>9</v>
      </c>
      <c r="C827" s="9">
        <v>1918</v>
      </c>
      <c r="D827" s="10">
        <v>45663</v>
      </c>
      <c r="E827" s="13" t="str">
        <f>+HYPERLINK("http://trademark.i-assist.jp/data/china/image_1918th/81313327.pdf","81313327")</f>
        <v>81313327</v>
      </c>
      <c r="F827" s="9" t="s">
        <v>2308</v>
      </c>
      <c r="G827" s="12" t="s">
        <v>2309</v>
      </c>
      <c r="H827" s="9" t="s">
        <v>2310</v>
      </c>
      <c r="I827" s="10">
        <v>45576</v>
      </c>
    </row>
    <row r="828" spans="1:9" x14ac:dyDescent="0.15">
      <c r="A828" s="9">
        <v>827</v>
      </c>
      <c r="B828" s="9" t="s">
        <v>9</v>
      </c>
      <c r="C828" s="9">
        <v>1918</v>
      </c>
      <c r="D828" s="10">
        <v>45663</v>
      </c>
      <c r="E828" s="13" t="str">
        <f>+HYPERLINK("http://trademark.i-assist.jp/data/china/image_1918th/81313501.pdf","81313501")</f>
        <v>81313501</v>
      </c>
      <c r="F828" s="12" t="s">
        <v>2311</v>
      </c>
      <c r="G828" s="12" t="s">
        <v>2312</v>
      </c>
      <c r="H828" s="9" t="s">
        <v>2313</v>
      </c>
      <c r="I828" s="10">
        <v>45576</v>
      </c>
    </row>
    <row r="829" spans="1:9" x14ac:dyDescent="0.15">
      <c r="A829" s="9">
        <v>828</v>
      </c>
      <c r="B829" s="9" t="s">
        <v>9</v>
      </c>
      <c r="C829" s="9">
        <v>1918</v>
      </c>
      <c r="D829" s="10">
        <v>45663</v>
      </c>
      <c r="E829" s="13" t="str">
        <f>+HYPERLINK("http://trademark.i-assist.jp/data/china/image_1918th/81313625.pdf","81313625")</f>
        <v>81313625</v>
      </c>
      <c r="F829" s="12" t="s">
        <v>12</v>
      </c>
      <c r="G829" s="9" t="s">
        <v>2314</v>
      </c>
      <c r="H829" s="9" t="s">
        <v>2315</v>
      </c>
      <c r="I829" s="10">
        <v>45576</v>
      </c>
    </row>
    <row r="830" spans="1:9" x14ac:dyDescent="0.15">
      <c r="A830" s="9">
        <v>829</v>
      </c>
      <c r="B830" s="9" t="s">
        <v>9</v>
      </c>
      <c r="C830" s="9">
        <v>1918</v>
      </c>
      <c r="D830" s="10">
        <v>45663</v>
      </c>
      <c r="E830" s="13" t="str">
        <f>+HYPERLINK("http://trademark.i-assist.jp/data/china/image_1918th/81313674.pdf","81313674")</f>
        <v>81313674</v>
      </c>
      <c r="F830" s="9" t="s">
        <v>2316</v>
      </c>
      <c r="G830" s="9" t="s">
        <v>2317</v>
      </c>
      <c r="H830" s="9" t="s">
        <v>2318</v>
      </c>
      <c r="I830" s="10">
        <v>45576</v>
      </c>
    </row>
    <row r="831" spans="1:9" x14ac:dyDescent="0.15">
      <c r="A831" s="9">
        <v>830</v>
      </c>
      <c r="B831" s="9" t="s">
        <v>9</v>
      </c>
      <c r="C831" s="9">
        <v>1918</v>
      </c>
      <c r="D831" s="10">
        <v>45663</v>
      </c>
      <c r="E831" s="13" t="str">
        <f>+HYPERLINK("http://trademark.i-assist.jp/data/china/image_1918th/81313699.pdf","81313699")</f>
        <v>81313699</v>
      </c>
      <c r="F831" s="9" t="s">
        <v>2319</v>
      </c>
      <c r="G831" s="12" t="s">
        <v>2320</v>
      </c>
      <c r="H831" s="9" t="s">
        <v>2321</v>
      </c>
      <c r="I831" s="10">
        <v>45576</v>
      </c>
    </row>
    <row r="832" spans="1:9" x14ac:dyDescent="0.15">
      <c r="A832" s="9">
        <v>831</v>
      </c>
      <c r="B832" s="9" t="s">
        <v>9</v>
      </c>
      <c r="C832" s="9">
        <v>1918</v>
      </c>
      <c r="D832" s="10">
        <v>45663</v>
      </c>
      <c r="E832" s="13" t="str">
        <f>+HYPERLINK("http://trademark.i-assist.jp/data/china/image_1918th/81313946.pdf","81313946")</f>
        <v>81313946</v>
      </c>
      <c r="F832" s="9" t="s">
        <v>2322</v>
      </c>
      <c r="G832" s="9" t="s">
        <v>2323</v>
      </c>
      <c r="H832" s="9" t="s">
        <v>2324</v>
      </c>
      <c r="I832" s="10">
        <v>45576</v>
      </c>
    </row>
    <row r="833" spans="1:9" x14ac:dyDescent="0.15">
      <c r="A833" s="9">
        <v>832</v>
      </c>
      <c r="B833" s="9" t="s">
        <v>9</v>
      </c>
      <c r="C833" s="9">
        <v>1918</v>
      </c>
      <c r="D833" s="10">
        <v>45663</v>
      </c>
      <c r="E833" s="13" t="str">
        <f>+HYPERLINK("http://trademark.i-assist.jp/data/china/image_1918th/81314002.pdf","81314002")</f>
        <v>81314002</v>
      </c>
      <c r="F833" s="9" t="s">
        <v>2325</v>
      </c>
      <c r="G833" s="12" t="s">
        <v>2326</v>
      </c>
      <c r="H833" s="9" t="s">
        <v>2327</v>
      </c>
      <c r="I833" s="10">
        <v>45576</v>
      </c>
    </row>
    <row r="834" spans="1:9" x14ac:dyDescent="0.15">
      <c r="A834" s="9">
        <v>833</v>
      </c>
      <c r="B834" s="9" t="s">
        <v>9</v>
      </c>
      <c r="C834" s="9">
        <v>1918</v>
      </c>
      <c r="D834" s="10">
        <v>45663</v>
      </c>
      <c r="E834" s="13" t="str">
        <f>+HYPERLINK("http://trademark.i-assist.jp/data/china/image_1918th/81314165.pdf","81314165")</f>
        <v>81314165</v>
      </c>
      <c r="F834" s="12" t="s">
        <v>2328</v>
      </c>
      <c r="G834" s="9" t="s">
        <v>2329</v>
      </c>
      <c r="H834" s="9" t="s">
        <v>2330</v>
      </c>
      <c r="I834" s="10">
        <v>45576</v>
      </c>
    </row>
    <row r="835" spans="1:9" x14ac:dyDescent="0.15">
      <c r="A835" s="9">
        <v>834</v>
      </c>
      <c r="B835" s="9" t="s">
        <v>9</v>
      </c>
      <c r="C835" s="9">
        <v>1918</v>
      </c>
      <c r="D835" s="10">
        <v>45663</v>
      </c>
      <c r="E835" s="13" t="str">
        <f>+HYPERLINK("http://trademark.i-assist.jp/data/china/image_1918th/81314471.pdf","81314471")</f>
        <v>81314471</v>
      </c>
      <c r="F835" s="9" t="s">
        <v>2331</v>
      </c>
      <c r="G835" s="9" t="s">
        <v>2332</v>
      </c>
      <c r="H835" s="9" t="s">
        <v>2333</v>
      </c>
      <c r="I835" s="10">
        <v>45576</v>
      </c>
    </row>
    <row r="836" spans="1:9" x14ac:dyDescent="0.15">
      <c r="A836" s="9">
        <v>835</v>
      </c>
      <c r="B836" s="9" t="s">
        <v>9</v>
      </c>
      <c r="C836" s="9">
        <v>1918</v>
      </c>
      <c r="D836" s="10">
        <v>45663</v>
      </c>
      <c r="E836" s="13" t="str">
        <f>+HYPERLINK("http://trademark.i-assist.jp/data/china/image_1918th/81314606.pdf","81314606")</f>
        <v>81314606</v>
      </c>
      <c r="F836" s="9" t="s">
        <v>2334</v>
      </c>
      <c r="G836" s="9" t="s">
        <v>2335</v>
      </c>
      <c r="H836" s="9" t="s">
        <v>2336</v>
      </c>
      <c r="I836" s="10">
        <v>45576</v>
      </c>
    </row>
    <row r="837" spans="1:9" x14ac:dyDescent="0.15">
      <c r="A837" s="9">
        <v>836</v>
      </c>
      <c r="B837" s="9" t="s">
        <v>9</v>
      </c>
      <c r="C837" s="9">
        <v>1918</v>
      </c>
      <c r="D837" s="10">
        <v>45663</v>
      </c>
      <c r="E837" s="13" t="str">
        <f>+HYPERLINK("http://trademark.i-assist.jp/data/china/image_1918th/81314642.pdf","81314642")</f>
        <v>81314642</v>
      </c>
      <c r="F837" s="12" t="s">
        <v>2337</v>
      </c>
      <c r="G837" s="9" t="s">
        <v>2338</v>
      </c>
      <c r="H837" s="9" t="s">
        <v>2339</v>
      </c>
      <c r="I837" s="10">
        <v>45576</v>
      </c>
    </row>
    <row r="838" spans="1:9" x14ac:dyDescent="0.15">
      <c r="A838" s="9">
        <v>837</v>
      </c>
      <c r="B838" s="9" t="s">
        <v>9</v>
      </c>
      <c r="C838" s="9">
        <v>1918</v>
      </c>
      <c r="D838" s="10">
        <v>45663</v>
      </c>
      <c r="E838" s="13" t="str">
        <f>+HYPERLINK("http://trademark.i-assist.jp/data/china/image_1918th/81314847.pdf","81314847")</f>
        <v>81314847</v>
      </c>
      <c r="F838" s="12" t="s">
        <v>2340</v>
      </c>
      <c r="G838" s="9" t="s">
        <v>80</v>
      </c>
      <c r="H838" s="9" t="s">
        <v>2341</v>
      </c>
      <c r="I838" s="10">
        <v>45576</v>
      </c>
    </row>
    <row r="839" spans="1:9" x14ac:dyDescent="0.15">
      <c r="A839" s="9">
        <v>838</v>
      </c>
      <c r="B839" s="9" t="s">
        <v>9</v>
      </c>
      <c r="C839" s="9">
        <v>1918</v>
      </c>
      <c r="D839" s="10">
        <v>45663</v>
      </c>
      <c r="E839" s="13" t="str">
        <f>+HYPERLINK("http://trademark.i-assist.jp/data/china/image_1918th/81315128.pdf","81315128")</f>
        <v>81315128</v>
      </c>
      <c r="F839" s="9" t="s">
        <v>2342</v>
      </c>
      <c r="G839" s="9" t="s">
        <v>2343</v>
      </c>
      <c r="H839" s="9" t="s">
        <v>2344</v>
      </c>
      <c r="I839" s="10">
        <v>45576</v>
      </c>
    </row>
    <row r="840" spans="1:9" x14ac:dyDescent="0.15">
      <c r="A840" s="9">
        <v>839</v>
      </c>
      <c r="B840" s="9" t="s">
        <v>9</v>
      </c>
      <c r="C840" s="9">
        <v>1918</v>
      </c>
      <c r="D840" s="10">
        <v>45663</v>
      </c>
      <c r="E840" s="13" t="str">
        <f>+HYPERLINK("http://trademark.i-assist.jp/data/china/image_1918th/81315439.pdf","81315439")</f>
        <v>81315439</v>
      </c>
      <c r="F840" s="9" t="s">
        <v>2345</v>
      </c>
      <c r="G840" s="9" t="s">
        <v>2346</v>
      </c>
      <c r="H840" s="9" t="s">
        <v>2347</v>
      </c>
      <c r="I840" s="10">
        <v>45576</v>
      </c>
    </row>
    <row r="841" spans="1:9" x14ac:dyDescent="0.15">
      <c r="A841" s="9">
        <v>840</v>
      </c>
      <c r="B841" s="9" t="s">
        <v>9</v>
      </c>
      <c r="C841" s="9">
        <v>1918</v>
      </c>
      <c r="D841" s="10">
        <v>45663</v>
      </c>
      <c r="E841" s="13" t="str">
        <f>+HYPERLINK("http://trademark.i-assist.jp/data/china/image_1918th/81315505.pdf","81315505")</f>
        <v>81315505</v>
      </c>
      <c r="F841" s="9" t="s">
        <v>2348</v>
      </c>
      <c r="G841" s="12" t="s">
        <v>86</v>
      </c>
      <c r="H841" s="9" t="s">
        <v>2349</v>
      </c>
      <c r="I841" s="10">
        <v>45576</v>
      </c>
    </row>
    <row r="842" spans="1:9" x14ac:dyDescent="0.15">
      <c r="A842" s="9">
        <v>841</v>
      </c>
      <c r="B842" s="9" t="s">
        <v>9</v>
      </c>
      <c r="C842" s="9">
        <v>1918</v>
      </c>
      <c r="D842" s="10">
        <v>45663</v>
      </c>
      <c r="E842" s="13" t="str">
        <f>+HYPERLINK("http://trademark.i-assist.jp/data/china/image_1918th/81315593.pdf","81315593")</f>
        <v>81315593</v>
      </c>
      <c r="F842" s="12" t="s">
        <v>2350</v>
      </c>
      <c r="G842" s="12" t="s">
        <v>2351</v>
      </c>
      <c r="H842" s="9" t="s">
        <v>2352</v>
      </c>
      <c r="I842" s="10">
        <v>45576</v>
      </c>
    </row>
    <row r="843" spans="1:9" x14ac:dyDescent="0.15">
      <c r="A843" s="9">
        <v>842</v>
      </c>
      <c r="B843" s="9" t="s">
        <v>9</v>
      </c>
      <c r="C843" s="9">
        <v>1918</v>
      </c>
      <c r="D843" s="10">
        <v>45663</v>
      </c>
      <c r="E843" s="13" t="str">
        <f>+HYPERLINK("http://trademark.i-assist.jp/data/china/image_1918th/81316049.pdf","81316049")</f>
        <v>81316049</v>
      </c>
      <c r="F843" s="9" t="s">
        <v>2353</v>
      </c>
      <c r="G843" s="9" t="s">
        <v>2354</v>
      </c>
      <c r="H843" s="9" t="s">
        <v>2355</v>
      </c>
      <c r="I843" s="10">
        <v>45576</v>
      </c>
    </row>
    <row r="844" spans="1:9" x14ac:dyDescent="0.15">
      <c r="A844" s="9">
        <v>843</v>
      </c>
      <c r="B844" s="9" t="s">
        <v>9</v>
      </c>
      <c r="C844" s="9">
        <v>1918</v>
      </c>
      <c r="D844" s="10">
        <v>45663</v>
      </c>
      <c r="E844" s="13" t="str">
        <f>+HYPERLINK("http://trademark.i-assist.jp/data/china/image_1918th/81316943.pdf","81316943")</f>
        <v>81316943</v>
      </c>
      <c r="F844" s="9" t="s">
        <v>2356</v>
      </c>
      <c r="G844" s="12" t="s">
        <v>2357</v>
      </c>
      <c r="H844" s="12" t="s">
        <v>2358</v>
      </c>
      <c r="I844" s="10">
        <v>45576</v>
      </c>
    </row>
    <row r="845" spans="1:9" x14ac:dyDescent="0.15">
      <c r="A845" s="9">
        <v>844</v>
      </c>
      <c r="B845" s="9" t="s">
        <v>9</v>
      </c>
      <c r="C845" s="9">
        <v>1918</v>
      </c>
      <c r="D845" s="10">
        <v>45663</v>
      </c>
      <c r="E845" s="13" t="str">
        <f>+HYPERLINK("http://trademark.i-assist.jp/data/china/image_1918th/81317009.pdf","81317009")</f>
        <v>81317009</v>
      </c>
      <c r="F845" s="9" t="s">
        <v>2359</v>
      </c>
      <c r="G845" s="9" t="s">
        <v>2360</v>
      </c>
      <c r="H845" s="9" t="s">
        <v>2361</v>
      </c>
      <c r="I845" s="10">
        <v>45576</v>
      </c>
    </row>
    <row r="846" spans="1:9" x14ac:dyDescent="0.15">
      <c r="A846" s="9">
        <v>845</v>
      </c>
      <c r="B846" s="9" t="s">
        <v>9</v>
      </c>
      <c r="C846" s="9">
        <v>1918</v>
      </c>
      <c r="D846" s="10">
        <v>45663</v>
      </c>
      <c r="E846" s="13" t="str">
        <f>+HYPERLINK("http://trademark.i-assist.jp/data/china/image_1918th/81317043.pdf","81317043")</f>
        <v>81317043</v>
      </c>
      <c r="F846" s="12" t="s">
        <v>12</v>
      </c>
      <c r="G846" s="12" t="s">
        <v>2362</v>
      </c>
      <c r="H846" s="9" t="s">
        <v>2363</v>
      </c>
      <c r="I846" s="10">
        <v>45576</v>
      </c>
    </row>
    <row r="847" spans="1:9" x14ac:dyDescent="0.15">
      <c r="A847" s="9">
        <v>846</v>
      </c>
      <c r="B847" s="9" t="s">
        <v>9</v>
      </c>
      <c r="C847" s="9">
        <v>1918</v>
      </c>
      <c r="D847" s="10">
        <v>45663</v>
      </c>
      <c r="E847" s="13" t="str">
        <f>+HYPERLINK("http://trademark.i-assist.jp/data/china/image_1918th/81317703.pdf","81317703")</f>
        <v>81317703</v>
      </c>
      <c r="F847" s="9" t="s">
        <v>2364</v>
      </c>
      <c r="G847" s="9" t="s">
        <v>2365</v>
      </c>
      <c r="H847" s="9" t="s">
        <v>2366</v>
      </c>
      <c r="I847" s="10">
        <v>45576</v>
      </c>
    </row>
    <row r="848" spans="1:9" x14ac:dyDescent="0.15">
      <c r="A848" s="9">
        <v>847</v>
      </c>
      <c r="B848" s="9" t="s">
        <v>9</v>
      </c>
      <c r="C848" s="9">
        <v>1918</v>
      </c>
      <c r="D848" s="10">
        <v>45663</v>
      </c>
      <c r="E848" s="13" t="str">
        <f>+HYPERLINK("http://trademark.i-assist.jp/data/china/image_1918th/81317888.pdf","81317888")</f>
        <v>81317888</v>
      </c>
      <c r="F848" s="9" t="s">
        <v>2367</v>
      </c>
      <c r="G848" s="12" t="s">
        <v>2368</v>
      </c>
      <c r="H848" s="9" t="s">
        <v>2369</v>
      </c>
      <c r="I848" s="10">
        <v>45576</v>
      </c>
    </row>
    <row r="849" spans="1:9" x14ac:dyDescent="0.15">
      <c r="A849" s="9">
        <v>848</v>
      </c>
      <c r="B849" s="9" t="s">
        <v>9</v>
      </c>
      <c r="C849" s="9">
        <v>1918</v>
      </c>
      <c r="D849" s="10">
        <v>45663</v>
      </c>
      <c r="E849" s="13" t="str">
        <f>+HYPERLINK("http://trademark.i-assist.jp/data/china/image_1918th/81318075.pdf","81318075")</f>
        <v>81318075</v>
      </c>
      <c r="F849" s="9" t="s">
        <v>2370</v>
      </c>
      <c r="G849" s="9" t="s">
        <v>2371</v>
      </c>
      <c r="H849" s="9" t="s">
        <v>2372</v>
      </c>
      <c r="I849" s="10">
        <v>45576</v>
      </c>
    </row>
    <row r="850" spans="1:9" x14ac:dyDescent="0.15">
      <c r="A850" s="9">
        <v>849</v>
      </c>
      <c r="B850" s="9" t="s">
        <v>9</v>
      </c>
      <c r="C850" s="9">
        <v>1918</v>
      </c>
      <c r="D850" s="10">
        <v>45663</v>
      </c>
      <c r="E850" s="13" t="str">
        <f>+HYPERLINK("http://trademark.i-assist.jp/data/china/image_1918th/81318140.pdf","81318140")</f>
        <v>81318140</v>
      </c>
      <c r="F850" s="9" t="s">
        <v>2373</v>
      </c>
      <c r="G850" s="9" t="s">
        <v>2374</v>
      </c>
      <c r="H850" s="9" t="s">
        <v>2375</v>
      </c>
      <c r="I850" s="10">
        <v>45576</v>
      </c>
    </row>
    <row r="851" spans="1:9" x14ac:dyDescent="0.15">
      <c r="A851" s="9">
        <v>850</v>
      </c>
      <c r="B851" s="9" t="s">
        <v>9</v>
      </c>
      <c r="C851" s="9">
        <v>1918</v>
      </c>
      <c r="D851" s="10">
        <v>45663</v>
      </c>
      <c r="E851" s="13" t="str">
        <f>+HYPERLINK("http://trademark.i-assist.jp/data/china/image_1918th/81318186.pdf","81318186")</f>
        <v>81318186</v>
      </c>
      <c r="F851" s="9" t="s">
        <v>2376</v>
      </c>
      <c r="G851" s="9" t="s">
        <v>2374</v>
      </c>
      <c r="H851" s="9" t="s">
        <v>2377</v>
      </c>
      <c r="I851" s="10">
        <v>45576</v>
      </c>
    </row>
    <row r="852" spans="1:9" x14ac:dyDescent="0.15">
      <c r="A852" s="9">
        <v>851</v>
      </c>
      <c r="B852" s="9" t="s">
        <v>9</v>
      </c>
      <c r="C852" s="9">
        <v>1918</v>
      </c>
      <c r="D852" s="10">
        <v>45663</v>
      </c>
      <c r="E852" s="13" t="str">
        <f>+HYPERLINK("http://trademark.i-assist.jp/data/china/image_1918th/81318225.pdf","81318225")</f>
        <v>81318225</v>
      </c>
      <c r="F852" s="9" t="s">
        <v>2378</v>
      </c>
      <c r="G852" s="9" t="s">
        <v>82</v>
      </c>
      <c r="H852" s="12" t="s">
        <v>2379</v>
      </c>
      <c r="I852" s="10">
        <v>45576</v>
      </c>
    </row>
    <row r="853" spans="1:9" x14ac:dyDescent="0.15">
      <c r="A853" s="9">
        <v>852</v>
      </c>
      <c r="B853" s="9" t="s">
        <v>9</v>
      </c>
      <c r="C853" s="9">
        <v>1918</v>
      </c>
      <c r="D853" s="10">
        <v>45663</v>
      </c>
      <c r="E853" s="13" t="str">
        <f>+HYPERLINK("http://trademark.i-assist.jp/data/china/image_1918th/81318320.pdf","81318320")</f>
        <v>81318320</v>
      </c>
      <c r="F853" s="9" t="s">
        <v>2380</v>
      </c>
      <c r="G853" s="9" t="s">
        <v>2381</v>
      </c>
      <c r="H853" s="9" t="s">
        <v>2382</v>
      </c>
      <c r="I853" s="10">
        <v>45576</v>
      </c>
    </row>
    <row r="854" spans="1:9" x14ac:dyDescent="0.15">
      <c r="A854" s="9">
        <v>853</v>
      </c>
      <c r="B854" s="9" t="s">
        <v>9</v>
      </c>
      <c r="C854" s="9">
        <v>1918</v>
      </c>
      <c r="D854" s="10">
        <v>45663</v>
      </c>
      <c r="E854" s="13" t="str">
        <f>+HYPERLINK("http://trademark.i-assist.jp/data/china/image_1918th/81319003.pdf","81319003")</f>
        <v>81319003</v>
      </c>
      <c r="F854" s="9" t="s">
        <v>2383</v>
      </c>
      <c r="G854" s="9" t="s">
        <v>2329</v>
      </c>
      <c r="H854" s="9" t="s">
        <v>2384</v>
      </c>
      <c r="I854" s="10">
        <v>45576</v>
      </c>
    </row>
    <row r="855" spans="1:9" x14ac:dyDescent="0.15">
      <c r="A855" s="9">
        <v>854</v>
      </c>
      <c r="B855" s="9" t="s">
        <v>9</v>
      </c>
      <c r="C855" s="9">
        <v>1918</v>
      </c>
      <c r="D855" s="10">
        <v>45663</v>
      </c>
      <c r="E855" s="13" t="str">
        <f>+HYPERLINK("http://trademark.i-assist.jp/data/china/image_1918th/81319042.pdf","81319042")</f>
        <v>81319042</v>
      </c>
      <c r="F855" s="9" t="s">
        <v>2385</v>
      </c>
      <c r="G855" s="12" t="s">
        <v>2386</v>
      </c>
      <c r="H855" s="9" t="s">
        <v>2387</v>
      </c>
      <c r="I855" s="10">
        <v>45576</v>
      </c>
    </row>
    <row r="856" spans="1:9" x14ac:dyDescent="0.15">
      <c r="A856" s="9">
        <v>855</v>
      </c>
      <c r="B856" s="9" t="s">
        <v>9</v>
      </c>
      <c r="C856" s="9">
        <v>1918</v>
      </c>
      <c r="D856" s="10">
        <v>45663</v>
      </c>
      <c r="E856" s="13" t="str">
        <f>+HYPERLINK("http://trademark.i-assist.jp/data/china/image_1918th/81319162.pdf","81319162")</f>
        <v>81319162</v>
      </c>
      <c r="F856" s="9" t="s">
        <v>2388</v>
      </c>
      <c r="G856" s="9" t="s">
        <v>2389</v>
      </c>
      <c r="H856" s="9" t="s">
        <v>2390</v>
      </c>
      <c r="I856" s="10">
        <v>45576</v>
      </c>
    </row>
    <row r="857" spans="1:9" x14ac:dyDescent="0.15">
      <c r="A857" s="9">
        <v>856</v>
      </c>
      <c r="B857" s="9" t="s">
        <v>9</v>
      </c>
      <c r="C857" s="9">
        <v>1918</v>
      </c>
      <c r="D857" s="10">
        <v>45663</v>
      </c>
      <c r="E857" s="13" t="str">
        <f>+HYPERLINK("http://trademark.i-assist.jp/data/china/image_1918th/81319313.pdf","81319313")</f>
        <v>81319313</v>
      </c>
      <c r="F857" s="9" t="s">
        <v>2391</v>
      </c>
      <c r="G857" s="9" t="s">
        <v>2392</v>
      </c>
      <c r="H857" s="9" t="s">
        <v>2393</v>
      </c>
      <c r="I857" s="10">
        <v>45576</v>
      </c>
    </row>
    <row r="858" spans="1:9" x14ac:dyDescent="0.15">
      <c r="A858" s="9">
        <v>857</v>
      </c>
      <c r="B858" s="9" t="s">
        <v>9</v>
      </c>
      <c r="C858" s="9">
        <v>1918</v>
      </c>
      <c r="D858" s="10">
        <v>45663</v>
      </c>
      <c r="E858" s="13" t="str">
        <f>+HYPERLINK("http://trademark.i-assist.jp/data/china/image_1918th/81319889.pdf","81319889")</f>
        <v>81319889</v>
      </c>
      <c r="F858" s="9" t="s">
        <v>2394</v>
      </c>
      <c r="G858" s="9" t="s">
        <v>2395</v>
      </c>
      <c r="H858" s="9" t="s">
        <v>2396</v>
      </c>
      <c r="I858" s="10">
        <v>45576</v>
      </c>
    </row>
    <row r="859" spans="1:9" x14ac:dyDescent="0.15">
      <c r="A859" s="9">
        <v>858</v>
      </c>
      <c r="B859" s="9" t="s">
        <v>9</v>
      </c>
      <c r="C859" s="9">
        <v>1918</v>
      </c>
      <c r="D859" s="10">
        <v>45663</v>
      </c>
      <c r="E859" s="13" t="str">
        <f>+HYPERLINK("http://trademark.i-assist.jp/data/china/image_1918th/81320031.pdf","81320031")</f>
        <v>81320031</v>
      </c>
      <c r="F859" s="9" t="s">
        <v>2397</v>
      </c>
      <c r="G859" s="9" t="s">
        <v>2398</v>
      </c>
      <c r="H859" s="9" t="s">
        <v>2399</v>
      </c>
      <c r="I859" s="10">
        <v>45576</v>
      </c>
    </row>
    <row r="860" spans="1:9" x14ac:dyDescent="0.15">
      <c r="A860" s="9">
        <v>859</v>
      </c>
      <c r="B860" s="9" t="s">
        <v>9</v>
      </c>
      <c r="C860" s="9">
        <v>1918</v>
      </c>
      <c r="D860" s="10">
        <v>45663</v>
      </c>
      <c r="E860" s="13" t="str">
        <f>+HYPERLINK("http://trademark.i-assist.jp/data/china/image_1918th/81320471.pdf","81320471")</f>
        <v>81320471</v>
      </c>
      <c r="F860" s="12" t="s">
        <v>2400</v>
      </c>
      <c r="G860" s="9" t="s">
        <v>2401</v>
      </c>
      <c r="H860" s="9" t="s">
        <v>2402</v>
      </c>
      <c r="I860" s="10">
        <v>45576</v>
      </c>
    </row>
    <row r="861" spans="1:9" x14ac:dyDescent="0.15">
      <c r="A861" s="9">
        <v>860</v>
      </c>
      <c r="B861" s="9" t="s">
        <v>9</v>
      </c>
      <c r="C861" s="9">
        <v>1918</v>
      </c>
      <c r="D861" s="10">
        <v>45663</v>
      </c>
      <c r="E861" s="13" t="str">
        <f>+HYPERLINK("http://trademark.i-assist.jp/data/china/image_1918th/81320754.pdf","81320754")</f>
        <v>81320754</v>
      </c>
      <c r="F861" s="9" t="s">
        <v>2403</v>
      </c>
      <c r="G861" s="9" t="s">
        <v>2404</v>
      </c>
      <c r="H861" s="12" t="s">
        <v>2405</v>
      </c>
      <c r="I861" s="10">
        <v>45576</v>
      </c>
    </row>
    <row r="862" spans="1:9" x14ac:dyDescent="0.15">
      <c r="A862" s="9">
        <v>861</v>
      </c>
      <c r="B862" s="9" t="s">
        <v>9</v>
      </c>
      <c r="C862" s="9">
        <v>1918</v>
      </c>
      <c r="D862" s="10">
        <v>45663</v>
      </c>
      <c r="E862" s="13" t="str">
        <f>+HYPERLINK("http://trademark.i-assist.jp/data/china/image_1918th/81320880.pdf","81320880")</f>
        <v>81320880</v>
      </c>
      <c r="F862" s="12" t="s">
        <v>2406</v>
      </c>
      <c r="G862" s="12" t="s">
        <v>2407</v>
      </c>
      <c r="H862" s="9" t="s">
        <v>2408</v>
      </c>
      <c r="I862" s="10">
        <v>45576</v>
      </c>
    </row>
    <row r="863" spans="1:9" x14ac:dyDescent="0.15">
      <c r="A863" s="9">
        <v>862</v>
      </c>
      <c r="B863" s="9" t="s">
        <v>9</v>
      </c>
      <c r="C863" s="9">
        <v>1918</v>
      </c>
      <c r="D863" s="10">
        <v>45663</v>
      </c>
      <c r="E863" s="13" t="str">
        <f>+HYPERLINK("http://trademark.i-assist.jp/data/china/image_1918th/81321780.pdf","81321780")</f>
        <v>81321780</v>
      </c>
      <c r="F863" s="9" t="s">
        <v>2409</v>
      </c>
      <c r="G863" s="9" t="s">
        <v>2410</v>
      </c>
      <c r="H863" s="9" t="s">
        <v>2411</v>
      </c>
      <c r="I863" s="10">
        <v>45576</v>
      </c>
    </row>
    <row r="864" spans="1:9" x14ac:dyDescent="0.15">
      <c r="A864" s="9">
        <v>863</v>
      </c>
      <c r="B864" s="9" t="s">
        <v>9</v>
      </c>
      <c r="C864" s="9">
        <v>1918</v>
      </c>
      <c r="D864" s="10">
        <v>45663</v>
      </c>
      <c r="E864" s="13" t="str">
        <f>+HYPERLINK("http://trademark.i-assist.jp/data/china/image_1918th/81322110.pdf","81322110")</f>
        <v>81322110</v>
      </c>
      <c r="F864" s="9" t="s">
        <v>2412</v>
      </c>
      <c r="G864" s="9" t="s">
        <v>2413</v>
      </c>
      <c r="H864" s="9" t="s">
        <v>2414</v>
      </c>
      <c r="I864" s="10">
        <v>45576</v>
      </c>
    </row>
    <row r="865" spans="1:9" x14ac:dyDescent="0.15">
      <c r="A865" s="9">
        <v>864</v>
      </c>
      <c r="B865" s="9" t="s">
        <v>9</v>
      </c>
      <c r="C865" s="9">
        <v>1918</v>
      </c>
      <c r="D865" s="10">
        <v>45663</v>
      </c>
      <c r="E865" s="13" t="str">
        <f>+HYPERLINK("http://trademark.i-assist.jp/data/china/image_1918th/81322196.pdf","81322196")</f>
        <v>81322196</v>
      </c>
      <c r="F865" s="9" t="s">
        <v>2415</v>
      </c>
      <c r="G865" s="9" t="s">
        <v>2416</v>
      </c>
      <c r="H865" s="9" t="s">
        <v>2417</v>
      </c>
      <c r="I865" s="10">
        <v>45576</v>
      </c>
    </row>
    <row r="866" spans="1:9" x14ac:dyDescent="0.15">
      <c r="A866" s="9">
        <v>865</v>
      </c>
      <c r="B866" s="9" t="s">
        <v>9</v>
      </c>
      <c r="C866" s="9">
        <v>1918</v>
      </c>
      <c r="D866" s="10">
        <v>45663</v>
      </c>
      <c r="E866" s="13" t="str">
        <f>+HYPERLINK("http://trademark.i-assist.jp/data/china/image_1918th/81322558.pdf","81322558")</f>
        <v>81322558</v>
      </c>
      <c r="F866" s="9" t="s">
        <v>2418</v>
      </c>
      <c r="G866" s="9" t="s">
        <v>2419</v>
      </c>
      <c r="H866" s="9" t="s">
        <v>2420</v>
      </c>
      <c r="I866" s="10">
        <v>45576</v>
      </c>
    </row>
    <row r="867" spans="1:9" x14ac:dyDescent="0.15">
      <c r="A867" s="9">
        <v>866</v>
      </c>
      <c r="B867" s="9" t="s">
        <v>9</v>
      </c>
      <c r="C867" s="9">
        <v>1918</v>
      </c>
      <c r="D867" s="10">
        <v>45663</v>
      </c>
      <c r="E867" s="13" t="str">
        <f>+HYPERLINK("http://trademark.i-assist.jp/data/china/image_1918th/81322746.pdf","81322746")</f>
        <v>81322746</v>
      </c>
      <c r="F867" s="9" t="s">
        <v>2421</v>
      </c>
      <c r="G867" s="12" t="s">
        <v>2422</v>
      </c>
      <c r="H867" s="9" t="s">
        <v>2423</v>
      </c>
      <c r="I867" s="10">
        <v>45576</v>
      </c>
    </row>
    <row r="868" spans="1:9" x14ac:dyDescent="0.15">
      <c r="A868" s="9">
        <v>867</v>
      </c>
      <c r="B868" s="9" t="s">
        <v>9</v>
      </c>
      <c r="C868" s="9">
        <v>1918</v>
      </c>
      <c r="D868" s="10">
        <v>45663</v>
      </c>
      <c r="E868" s="13" t="str">
        <f>+HYPERLINK("http://trademark.i-assist.jp/data/china/image_1918th/81322851.pdf","81322851")</f>
        <v>81322851</v>
      </c>
      <c r="F868" s="9" t="s">
        <v>2424</v>
      </c>
      <c r="G868" s="9" t="s">
        <v>2401</v>
      </c>
      <c r="H868" s="9" t="s">
        <v>2425</v>
      </c>
      <c r="I868" s="10">
        <v>45576</v>
      </c>
    </row>
    <row r="869" spans="1:9" x14ac:dyDescent="0.15">
      <c r="A869" s="9">
        <v>868</v>
      </c>
      <c r="B869" s="9" t="s">
        <v>9</v>
      </c>
      <c r="C869" s="9">
        <v>1918</v>
      </c>
      <c r="D869" s="10">
        <v>45663</v>
      </c>
      <c r="E869" s="13" t="str">
        <f>+HYPERLINK("http://trademark.i-assist.jp/data/china/image_1918th/81323375.pdf","81323375")</f>
        <v>81323375</v>
      </c>
      <c r="F869" s="9" t="s">
        <v>2426</v>
      </c>
      <c r="G869" s="9" t="s">
        <v>2427</v>
      </c>
      <c r="H869" s="9" t="s">
        <v>2428</v>
      </c>
      <c r="I869" s="10">
        <v>45576</v>
      </c>
    </row>
    <row r="870" spans="1:9" x14ac:dyDescent="0.15">
      <c r="A870" s="9">
        <v>869</v>
      </c>
      <c r="B870" s="9" t="s">
        <v>9</v>
      </c>
      <c r="C870" s="9">
        <v>1918</v>
      </c>
      <c r="D870" s="10">
        <v>45663</v>
      </c>
      <c r="E870" s="13" t="str">
        <f>+HYPERLINK("http://trademark.i-assist.jp/data/china/image_1918th/81323812.pdf","81323812")</f>
        <v>81323812</v>
      </c>
      <c r="F870" s="12" t="s">
        <v>2429</v>
      </c>
      <c r="G870" s="12" t="s">
        <v>2430</v>
      </c>
      <c r="H870" s="9" t="s">
        <v>2431</v>
      </c>
      <c r="I870" s="10">
        <v>45576</v>
      </c>
    </row>
    <row r="871" spans="1:9" x14ac:dyDescent="0.15">
      <c r="A871" s="9">
        <v>870</v>
      </c>
      <c r="B871" s="9" t="s">
        <v>9</v>
      </c>
      <c r="C871" s="9">
        <v>1918</v>
      </c>
      <c r="D871" s="10">
        <v>45663</v>
      </c>
      <c r="E871" s="13" t="str">
        <f>+HYPERLINK("http://trademark.i-assist.jp/data/china/image_1918th/81324128.pdf","81324128")</f>
        <v>81324128</v>
      </c>
      <c r="F871" s="9" t="s">
        <v>2432</v>
      </c>
      <c r="G871" s="9" t="s">
        <v>20</v>
      </c>
      <c r="H871" s="9" t="s">
        <v>2433</v>
      </c>
      <c r="I871" s="10">
        <v>45576</v>
      </c>
    </row>
    <row r="872" spans="1:9" x14ac:dyDescent="0.15">
      <c r="A872" s="9">
        <v>871</v>
      </c>
      <c r="B872" s="9" t="s">
        <v>9</v>
      </c>
      <c r="C872" s="9">
        <v>1918</v>
      </c>
      <c r="D872" s="10">
        <v>45663</v>
      </c>
      <c r="E872" s="13" t="str">
        <f>+HYPERLINK("http://trademark.i-assist.jp/data/china/image_1918th/81324215.pdf","81324215")</f>
        <v>81324215</v>
      </c>
      <c r="F872" s="9" t="s">
        <v>2434</v>
      </c>
      <c r="G872" s="9" t="s">
        <v>2435</v>
      </c>
      <c r="H872" s="9" t="s">
        <v>2436</v>
      </c>
      <c r="I872" s="10">
        <v>45576</v>
      </c>
    </row>
    <row r="873" spans="1:9" x14ac:dyDescent="0.15">
      <c r="A873" s="9">
        <v>872</v>
      </c>
      <c r="B873" s="9" t="s">
        <v>9</v>
      </c>
      <c r="C873" s="9">
        <v>1918</v>
      </c>
      <c r="D873" s="10">
        <v>45663</v>
      </c>
      <c r="E873" s="13" t="str">
        <f>+HYPERLINK("http://trademark.i-assist.jp/data/china/image_1918th/81324496.pdf","81324496")</f>
        <v>81324496</v>
      </c>
      <c r="F873" s="12" t="s">
        <v>2437</v>
      </c>
      <c r="G873" s="12" t="s">
        <v>2438</v>
      </c>
      <c r="H873" s="9" t="s">
        <v>2439</v>
      </c>
      <c r="I873" s="10">
        <v>45576</v>
      </c>
    </row>
    <row r="874" spans="1:9" x14ac:dyDescent="0.15">
      <c r="A874" s="9">
        <v>873</v>
      </c>
      <c r="B874" s="9" t="s">
        <v>9</v>
      </c>
      <c r="C874" s="9">
        <v>1918</v>
      </c>
      <c r="D874" s="10">
        <v>45663</v>
      </c>
      <c r="E874" s="13" t="str">
        <f>+HYPERLINK("http://trademark.i-assist.jp/data/china/image_1918th/81324560.pdf","81324560")</f>
        <v>81324560</v>
      </c>
      <c r="F874" s="9" t="s">
        <v>2440</v>
      </c>
      <c r="G874" s="9" t="s">
        <v>2298</v>
      </c>
      <c r="H874" s="9" t="s">
        <v>2441</v>
      </c>
      <c r="I874" s="10">
        <v>45576</v>
      </c>
    </row>
    <row r="875" spans="1:9" x14ac:dyDescent="0.15">
      <c r="A875" s="9">
        <v>874</v>
      </c>
      <c r="B875" s="9" t="s">
        <v>9</v>
      </c>
      <c r="C875" s="9">
        <v>1918</v>
      </c>
      <c r="D875" s="10">
        <v>45663</v>
      </c>
      <c r="E875" s="13" t="str">
        <f>+HYPERLINK("http://trademark.i-assist.jp/data/china/image_1918th/81324794.pdf","81324794")</f>
        <v>81324794</v>
      </c>
      <c r="F875" s="12" t="s">
        <v>2442</v>
      </c>
      <c r="G875" s="9" t="s">
        <v>2443</v>
      </c>
      <c r="H875" s="9" t="s">
        <v>2444</v>
      </c>
      <c r="I875" s="10">
        <v>45576</v>
      </c>
    </row>
    <row r="876" spans="1:9" x14ac:dyDescent="0.15">
      <c r="A876" s="9">
        <v>875</v>
      </c>
      <c r="B876" s="9" t="s">
        <v>9</v>
      </c>
      <c r="C876" s="9">
        <v>1918</v>
      </c>
      <c r="D876" s="10">
        <v>45663</v>
      </c>
      <c r="E876" s="13" t="str">
        <f>+HYPERLINK("http://trademark.i-assist.jp/data/china/image_1918th/81324858.pdf","81324858")</f>
        <v>81324858</v>
      </c>
      <c r="F876" s="12" t="s">
        <v>12</v>
      </c>
      <c r="G876" s="12" t="s">
        <v>2445</v>
      </c>
      <c r="H876" s="9" t="s">
        <v>2446</v>
      </c>
      <c r="I876" s="10">
        <v>45576</v>
      </c>
    </row>
    <row r="877" spans="1:9" x14ac:dyDescent="0.15">
      <c r="A877" s="9">
        <v>876</v>
      </c>
      <c r="B877" s="9" t="s">
        <v>9</v>
      </c>
      <c r="C877" s="9">
        <v>1918</v>
      </c>
      <c r="D877" s="10">
        <v>45663</v>
      </c>
      <c r="E877" s="13" t="str">
        <f>+HYPERLINK("http://trademark.i-assist.jp/data/china/image_1918th/81325039.pdf","81325039")</f>
        <v>81325039</v>
      </c>
      <c r="F877" s="9" t="s">
        <v>2447</v>
      </c>
      <c r="G877" s="9" t="s">
        <v>1846</v>
      </c>
      <c r="H877" s="9" t="s">
        <v>2448</v>
      </c>
      <c r="I877" s="10">
        <v>45576</v>
      </c>
    </row>
    <row r="878" spans="1:9" x14ac:dyDescent="0.15">
      <c r="A878" s="9">
        <v>877</v>
      </c>
      <c r="B878" s="9" t="s">
        <v>9</v>
      </c>
      <c r="C878" s="9">
        <v>1918</v>
      </c>
      <c r="D878" s="10">
        <v>45663</v>
      </c>
      <c r="E878" s="13" t="str">
        <f>+HYPERLINK("http://trademark.i-assist.jp/data/china/image_1918th/81325379.pdf","81325379")</f>
        <v>81325379</v>
      </c>
      <c r="F878" s="9" t="s">
        <v>2449</v>
      </c>
      <c r="G878" s="9" t="s">
        <v>2450</v>
      </c>
      <c r="H878" s="9" t="s">
        <v>2451</v>
      </c>
      <c r="I878" s="10">
        <v>45576</v>
      </c>
    </row>
    <row r="879" spans="1:9" x14ac:dyDescent="0.15">
      <c r="A879" s="9">
        <v>878</v>
      </c>
      <c r="B879" s="9" t="s">
        <v>9</v>
      </c>
      <c r="C879" s="9">
        <v>1918</v>
      </c>
      <c r="D879" s="10">
        <v>45663</v>
      </c>
      <c r="E879" s="13" t="str">
        <f>+HYPERLINK("http://trademark.i-assist.jp/data/china/image_1918th/81326226.pdf","81326226")</f>
        <v>81326226</v>
      </c>
      <c r="F879" s="12" t="s">
        <v>2452</v>
      </c>
      <c r="G879" s="9" t="s">
        <v>2453</v>
      </c>
      <c r="H879" s="9" t="s">
        <v>2454</v>
      </c>
      <c r="I879" s="10">
        <v>45576</v>
      </c>
    </row>
    <row r="880" spans="1:9" x14ac:dyDescent="0.15">
      <c r="A880" s="9">
        <v>879</v>
      </c>
      <c r="B880" s="9" t="s">
        <v>9</v>
      </c>
      <c r="C880" s="9">
        <v>1918</v>
      </c>
      <c r="D880" s="10">
        <v>45663</v>
      </c>
      <c r="E880" s="13" t="str">
        <f>+HYPERLINK("http://trademark.i-assist.jp/data/china/image_1918th/81326487.pdf","81326487")</f>
        <v>81326487</v>
      </c>
      <c r="F880" s="12" t="s">
        <v>12</v>
      </c>
      <c r="G880" s="9" t="s">
        <v>2455</v>
      </c>
      <c r="H880" s="9" t="s">
        <v>2456</v>
      </c>
      <c r="I880" s="10">
        <v>45576</v>
      </c>
    </row>
    <row r="881" spans="1:9" x14ac:dyDescent="0.15">
      <c r="A881" s="9">
        <v>880</v>
      </c>
      <c r="B881" s="9" t="s">
        <v>9</v>
      </c>
      <c r="C881" s="9">
        <v>1918</v>
      </c>
      <c r="D881" s="10">
        <v>45663</v>
      </c>
      <c r="E881" s="13" t="str">
        <f>+HYPERLINK("http://trademark.i-assist.jp/data/china/image_1918th/81327039.pdf","81327039")</f>
        <v>81327039</v>
      </c>
      <c r="F881" s="12" t="s">
        <v>12</v>
      </c>
      <c r="G881" s="9" t="s">
        <v>2457</v>
      </c>
      <c r="H881" s="9" t="s">
        <v>2458</v>
      </c>
      <c r="I881" s="10">
        <v>45576</v>
      </c>
    </row>
    <row r="882" spans="1:9" x14ac:dyDescent="0.15">
      <c r="A882" s="9">
        <v>881</v>
      </c>
      <c r="B882" s="9" t="s">
        <v>9</v>
      </c>
      <c r="C882" s="9">
        <v>1918</v>
      </c>
      <c r="D882" s="10">
        <v>45663</v>
      </c>
      <c r="E882" s="13" t="str">
        <f>+HYPERLINK("http://trademark.i-assist.jp/data/china/image_1918th/81327053.pdf","81327053")</f>
        <v>81327053</v>
      </c>
      <c r="F882" s="9" t="s">
        <v>2459</v>
      </c>
      <c r="G882" s="12" t="s">
        <v>2460</v>
      </c>
      <c r="H882" s="9" t="s">
        <v>2461</v>
      </c>
      <c r="I882" s="10">
        <v>45576</v>
      </c>
    </row>
    <row r="883" spans="1:9" x14ac:dyDescent="0.15">
      <c r="A883" s="9">
        <v>882</v>
      </c>
      <c r="B883" s="9" t="s">
        <v>9</v>
      </c>
      <c r="C883" s="9">
        <v>1918</v>
      </c>
      <c r="D883" s="10">
        <v>45663</v>
      </c>
      <c r="E883" s="13" t="str">
        <f>+HYPERLINK("http://trademark.i-assist.jp/data/china/image_1918th/81327064.pdf","81327064")</f>
        <v>81327064</v>
      </c>
      <c r="F883" s="12" t="s">
        <v>2462</v>
      </c>
      <c r="G883" s="12" t="s">
        <v>77</v>
      </c>
      <c r="H883" s="9" t="s">
        <v>2463</v>
      </c>
      <c r="I883" s="10">
        <v>45576</v>
      </c>
    </row>
    <row r="884" spans="1:9" x14ac:dyDescent="0.15">
      <c r="A884" s="9">
        <v>883</v>
      </c>
      <c r="B884" s="9" t="s">
        <v>9</v>
      </c>
      <c r="C884" s="9">
        <v>1918</v>
      </c>
      <c r="D884" s="10">
        <v>45663</v>
      </c>
      <c r="E884" s="13" t="str">
        <f>+HYPERLINK("http://trademark.i-assist.jp/data/china/image_1918th/81327104.pdf","81327104")</f>
        <v>81327104</v>
      </c>
      <c r="F884" s="9" t="s">
        <v>2464</v>
      </c>
      <c r="G884" s="12" t="s">
        <v>2386</v>
      </c>
      <c r="H884" s="9" t="s">
        <v>2465</v>
      </c>
      <c r="I884" s="10">
        <v>45576</v>
      </c>
    </row>
    <row r="885" spans="1:9" x14ac:dyDescent="0.15">
      <c r="A885" s="9">
        <v>884</v>
      </c>
      <c r="B885" s="9" t="s">
        <v>9</v>
      </c>
      <c r="C885" s="9">
        <v>1918</v>
      </c>
      <c r="D885" s="10">
        <v>45663</v>
      </c>
      <c r="E885" s="13" t="str">
        <f>+HYPERLINK("http://trademark.i-assist.jp/data/china/image_1918th/81327235.pdf","81327235")</f>
        <v>81327235</v>
      </c>
      <c r="F885" s="9" t="s">
        <v>2466</v>
      </c>
      <c r="G885" s="9" t="s">
        <v>2467</v>
      </c>
      <c r="H885" s="9" t="s">
        <v>2468</v>
      </c>
      <c r="I885" s="10">
        <v>45576</v>
      </c>
    </row>
    <row r="886" spans="1:9" x14ac:dyDescent="0.15">
      <c r="A886" s="9">
        <v>885</v>
      </c>
      <c r="B886" s="9" t="s">
        <v>9</v>
      </c>
      <c r="C886" s="9">
        <v>1918</v>
      </c>
      <c r="D886" s="10">
        <v>45663</v>
      </c>
      <c r="E886" s="13" t="str">
        <f>+HYPERLINK("http://trademark.i-assist.jp/data/china/image_1918th/81327241.pdf","81327241")</f>
        <v>81327241</v>
      </c>
      <c r="F886" s="9" t="s">
        <v>2469</v>
      </c>
      <c r="G886" s="9" t="s">
        <v>2470</v>
      </c>
      <c r="H886" s="9" t="s">
        <v>2471</v>
      </c>
      <c r="I886" s="10">
        <v>45576</v>
      </c>
    </row>
    <row r="887" spans="1:9" x14ac:dyDescent="0.15">
      <c r="A887" s="9">
        <v>886</v>
      </c>
      <c r="B887" s="9" t="s">
        <v>9</v>
      </c>
      <c r="C887" s="9">
        <v>1918</v>
      </c>
      <c r="D887" s="10">
        <v>45663</v>
      </c>
      <c r="E887" s="13" t="str">
        <f>+HYPERLINK("http://trademark.i-assist.jp/data/china/image_1918th/81327430.pdf","81327430")</f>
        <v>81327430</v>
      </c>
      <c r="F887" s="9" t="s">
        <v>2472</v>
      </c>
      <c r="G887" s="9" t="s">
        <v>2473</v>
      </c>
      <c r="H887" s="9" t="s">
        <v>2474</v>
      </c>
      <c r="I887" s="10">
        <v>45576</v>
      </c>
    </row>
    <row r="888" spans="1:9" x14ac:dyDescent="0.15">
      <c r="A888" s="9">
        <v>887</v>
      </c>
      <c r="B888" s="9" t="s">
        <v>9</v>
      </c>
      <c r="C888" s="9">
        <v>1918</v>
      </c>
      <c r="D888" s="10">
        <v>45663</v>
      </c>
      <c r="E888" s="13" t="str">
        <f>+HYPERLINK("http://trademark.i-assist.jp/data/china/image_1918th/81328445.pdf","81328445")</f>
        <v>81328445</v>
      </c>
      <c r="F888" s="9" t="s">
        <v>2475</v>
      </c>
      <c r="G888" s="9" t="s">
        <v>2476</v>
      </c>
      <c r="H888" s="9" t="s">
        <v>2477</v>
      </c>
      <c r="I888" s="10">
        <v>45576</v>
      </c>
    </row>
    <row r="889" spans="1:9" x14ac:dyDescent="0.15">
      <c r="A889" s="9">
        <v>888</v>
      </c>
      <c r="B889" s="9" t="s">
        <v>9</v>
      </c>
      <c r="C889" s="9">
        <v>1918</v>
      </c>
      <c r="D889" s="10">
        <v>45663</v>
      </c>
      <c r="E889" s="13" t="str">
        <f>+HYPERLINK("http://trademark.i-assist.jp/data/china/image_1918th/81328879.pdf","81328879")</f>
        <v>81328879</v>
      </c>
      <c r="F889" s="9" t="s">
        <v>2478</v>
      </c>
      <c r="G889" s="12" t="s">
        <v>2288</v>
      </c>
      <c r="H889" s="9" t="s">
        <v>2479</v>
      </c>
      <c r="I889" s="10">
        <v>45576</v>
      </c>
    </row>
    <row r="890" spans="1:9" x14ac:dyDescent="0.15">
      <c r="A890" s="9">
        <v>889</v>
      </c>
      <c r="B890" s="9" t="s">
        <v>9</v>
      </c>
      <c r="C890" s="9">
        <v>1918</v>
      </c>
      <c r="D890" s="10">
        <v>45663</v>
      </c>
      <c r="E890" s="13" t="str">
        <f>+HYPERLINK("http://trademark.i-assist.jp/data/china/image_1918th/81329001.pdf","81329001")</f>
        <v>81329001</v>
      </c>
      <c r="F890" s="9" t="s">
        <v>2480</v>
      </c>
      <c r="G890" s="9" t="s">
        <v>2450</v>
      </c>
      <c r="H890" s="9" t="s">
        <v>2481</v>
      </c>
      <c r="I890" s="10">
        <v>45576</v>
      </c>
    </row>
    <row r="891" spans="1:9" x14ac:dyDescent="0.15">
      <c r="A891" s="9">
        <v>890</v>
      </c>
      <c r="B891" s="9" t="s">
        <v>9</v>
      </c>
      <c r="C891" s="9">
        <v>1918</v>
      </c>
      <c r="D891" s="10">
        <v>45663</v>
      </c>
      <c r="E891" s="13" t="str">
        <f>+HYPERLINK("http://trademark.i-assist.jp/data/china/image_1918th/81329338.pdf","81329338")</f>
        <v>81329338</v>
      </c>
      <c r="F891" s="12" t="s">
        <v>12</v>
      </c>
      <c r="G891" s="9" t="s">
        <v>2482</v>
      </c>
      <c r="H891" s="12" t="s">
        <v>2483</v>
      </c>
      <c r="I891" s="10">
        <v>45576</v>
      </c>
    </row>
    <row r="892" spans="1:9" x14ac:dyDescent="0.15">
      <c r="A892" s="9">
        <v>891</v>
      </c>
      <c r="B892" s="9" t="s">
        <v>9</v>
      </c>
      <c r="C892" s="9">
        <v>1918</v>
      </c>
      <c r="D892" s="10">
        <v>45663</v>
      </c>
      <c r="E892" s="13" t="str">
        <f>+HYPERLINK("http://trademark.i-assist.jp/data/china/image_1918th/81330156.pdf","81330156")</f>
        <v>81330156</v>
      </c>
      <c r="F892" s="9" t="s">
        <v>2484</v>
      </c>
      <c r="G892" s="9" t="s">
        <v>2476</v>
      </c>
      <c r="H892" s="9" t="s">
        <v>2485</v>
      </c>
      <c r="I892" s="10">
        <v>45576</v>
      </c>
    </row>
    <row r="893" spans="1:9" x14ac:dyDescent="0.15">
      <c r="A893" s="9">
        <v>892</v>
      </c>
      <c r="B893" s="9" t="s">
        <v>9</v>
      </c>
      <c r="C893" s="9">
        <v>1918</v>
      </c>
      <c r="D893" s="10">
        <v>45663</v>
      </c>
      <c r="E893" s="13" t="str">
        <f>+HYPERLINK("http://trademark.i-assist.jp/data/china/image_1918th/81331024.pdf","81331024")</f>
        <v>81331024</v>
      </c>
      <c r="F893" s="9" t="s">
        <v>2486</v>
      </c>
      <c r="G893" s="9" t="s">
        <v>2304</v>
      </c>
      <c r="H893" s="12" t="s">
        <v>2487</v>
      </c>
      <c r="I893" s="10">
        <v>45576</v>
      </c>
    </row>
    <row r="894" spans="1:9" x14ac:dyDescent="0.15">
      <c r="A894" s="9">
        <v>893</v>
      </c>
      <c r="B894" s="9" t="s">
        <v>9</v>
      </c>
      <c r="C894" s="9">
        <v>1918</v>
      </c>
      <c r="D894" s="10">
        <v>45663</v>
      </c>
      <c r="E894" s="13" t="str">
        <f>+HYPERLINK("http://trademark.i-assist.jp/data/china/image_1918th/81332028.pdf","81332028")</f>
        <v>81332028</v>
      </c>
      <c r="F894" s="9" t="s">
        <v>2488</v>
      </c>
      <c r="G894" s="9" t="s">
        <v>2489</v>
      </c>
      <c r="H894" s="9" t="s">
        <v>2490</v>
      </c>
      <c r="I894" s="10">
        <v>45576</v>
      </c>
    </row>
    <row r="895" spans="1:9" x14ac:dyDescent="0.15">
      <c r="A895" s="9">
        <v>894</v>
      </c>
      <c r="B895" s="9" t="s">
        <v>9</v>
      </c>
      <c r="C895" s="9">
        <v>1918</v>
      </c>
      <c r="D895" s="10">
        <v>45663</v>
      </c>
      <c r="E895" s="13" t="str">
        <f>+HYPERLINK("http://trademark.i-assist.jp/data/china/image_1918th/81332226.pdf","81332226")</f>
        <v>81332226</v>
      </c>
      <c r="F895" s="9" t="s">
        <v>2491</v>
      </c>
      <c r="G895" s="9" t="s">
        <v>2492</v>
      </c>
      <c r="H895" s="9" t="s">
        <v>2493</v>
      </c>
      <c r="I895" s="10">
        <v>45576</v>
      </c>
    </row>
    <row r="896" spans="1:9" x14ac:dyDescent="0.15">
      <c r="A896" s="9">
        <v>895</v>
      </c>
      <c r="B896" s="9" t="s">
        <v>9</v>
      </c>
      <c r="C896" s="9">
        <v>1918</v>
      </c>
      <c r="D896" s="10">
        <v>45663</v>
      </c>
      <c r="E896" s="13" t="str">
        <f>+HYPERLINK("http://trademark.i-assist.jp/data/china/image_1918th/81332350.pdf","81332350")</f>
        <v>81332350</v>
      </c>
      <c r="F896" s="9" t="s">
        <v>2494</v>
      </c>
      <c r="G896" s="9" t="s">
        <v>2298</v>
      </c>
      <c r="H896" s="9" t="s">
        <v>2495</v>
      </c>
      <c r="I896" s="10">
        <v>45576</v>
      </c>
    </row>
    <row r="897" spans="1:9" x14ac:dyDescent="0.15">
      <c r="A897" s="9">
        <v>896</v>
      </c>
      <c r="B897" s="9" t="s">
        <v>9</v>
      </c>
      <c r="C897" s="9">
        <v>1918</v>
      </c>
      <c r="D897" s="10">
        <v>45663</v>
      </c>
      <c r="E897" s="13" t="str">
        <f>+HYPERLINK("http://trademark.i-assist.jp/data/china/image_1918th/81332810.pdf","81332810")</f>
        <v>81332810</v>
      </c>
      <c r="F897" s="9" t="s">
        <v>2496</v>
      </c>
      <c r="G897" s="9" t="s">
        <v>2497</v>
      </c>
      <c r="H897" s="9" t="s">
        <v>2498</v>
      </c>
      <c r="I897" s="10">
        <v>45576</v>
      </c>
    </row>
    <row r="898" spans="1:9" x14ac:dyDescent="0.15">
      <c r="A898" s="9">
        <v>897</v>
      </c>
      <c r="B898" s="9" t="s">
        <v>9</v>
      </c>
      <c r="C898" s="9">
        <v>1918</v>
      </c>
      <c r="D898" s="10">
        <v>45663</v>
      </c>
      <c r="E898" s="13" t="str">
        <f>+HYPERLINK("http://trademark.i-assist.jp/data/china/image_1918th/81333340.pdf","81333340")</f>
        <v>81333340</v>
      </c>
      <c r="F898" s="9" t="s">
        <v>2499</v>
      </c>
      <c r="G898" s="9" t="s">
        <v>2500</v>
      </c>
      <c r="H898" s="9" t="s">
        <v>2501</v>
      </c>
      <c r="I898" s="10">
        <v>45576</v>
      </c>
    </row>
    <row r="899" spans="1:9" x14ac:dyDescent="0.15">
      <c r="A899" s="9">
        <v>898</v>
      </c>
      <c r="B899" s="9" t="s">
        <v>9</v>
      </c>
      <c r="C899" s="9">
        <v>1918</v>
      </c>
      <c r="D899" s="10">
        <v>45663</v>
      </c>
      <c r="E899" s="13" t="str">
        <f>+HYPERLINK("http://trademark.i-assist.jp/data/china/image_1918th/81333520.pdf","81333520")</f>
        <v>81333520</v>
      </c>
      <c r="F899" s="9" t="s">
        <v>2502</v>
      </c>
      <c r="G899" s="9" t="s">
        <v>2401</v>
      </c>
      <c r="H899" s="9" t="s">
        <v>2503</v>
      </c>
      <c r="I899" s="10">
        <v>45576</v>
      </c>
    </row>
    <row r="900" spans="1:9" x14ac:dyDescent="0.15">
      <c r="A900" s="9">
        <v>899</v>
      </c>
      <c r="B900" s="9" t="s">
        <v>9</v>
      </c>
      <c r="C900" s="9">
        <v>1918</v>
      </c>
      <c r="D900" s="10">
        <v>45663</v>
      </c>
      <c r="E900" s="13" t="str">
        <f>+HYPERLINK("http://trademark.i-assist.jp/data/china/image_1918th/81333875.pdf","81333875")</f>
        <v>81333875</v>
      </c>
      <c r="F900" s="9" t="s">
        <v>2504</v>
      </c>
      <c r="G900" s="9" t="s">
        <v>2505</v>
      </c>
      <c r="H900" s="9" t="s">
        <v>2506</v>
      </c>
      <c r="I900" s="10">
        <v>45576</v>
      </c>
    </row>
    <row r="901" spans="1:9" x14ac:dyDescent="0.15">
      <c r="A901" s="9">
        <v>900</v>
      </c>
      <c r="B901" s="9" t="s">
        <v>9</v>
      </c>
      <c r="C901" s="9">
        <v>1918</v>
      </c>
      <c r="D901" s="10">
        <v>45663</v>
      </c>
      <c r="E901" s="13" t="str">
        <f>+HYPERLINK("http://trademark.i-assist.jp/data/china/image_1918th/81334560.pdf","81334560")</f>
        <v>81334560</v>
      </c>
      <c r="F901" s="11" t="s">
        <v>2507</v>
      </c>
      <c r="G901" s="12" t="s">
        <v>2508</v>
      </c>
      <c r="H901" s="9" t="s">
        <v>2509</v>
      </c>
      <c r="I901" s="10">
        <v>45577</v>
      </c>
    </row>
    <row r="902" spans="1:9" x14ac:dyDescent="0.15">
      <c r="A902" s="9">
        <v>901</v>
      </c>
      <c r="B902" s="9" t="s">
        <v>9</v>
      </c>
      <c r="C902" s="9">
        <v>1918</v>
      </c>
      <c r="D902" s="10">
        <v>45663</v>
      </c>
      <c r="E902" s="13" t="str">
        <f>+HYPERLINK("http://trademark.i-assist.jp/data/china/image_1918th/81334881.pdf","81334881")</f>
        <v>81334881</v>
      </c>
      <c r="F902" s="9" t="s">
        <v>2510</v>
      </c>
      <c r="G902" s="9" t="s">
        <v>2511</v>
      </c>
      <c r="H902" s="9" t="s">
        <v>2512</v>
      </c>
      <c r="I902" s="10">
        <v>45577</v>
      </c>
    </row>
    <row r="903" spans="1:9" x14ac:dyDescent="0.15">
      <c r="A903" s="9">
        <v>902</v>
      </c>
      <c r="B903" s="9" t="s">
        <v>9</v>
      </c>
      <c r="C903" s="9">
        <v>1918</v>
      </c>
      <c r="D903" s="10">
        <v>45663</v>
      </c>
      <c r="E903" s="13" t="str">
        <f>+HYPERLINK("http://trademark.i-assist.jp/data/china/image_1918th/81335552.pdf","81335552")</f>
        <v>81335552</v>
      </c>
      <c r="F903" s="9" t="s">
        <v>2513</v>
      </c>
      <c r="G903" s="9" t="s">
        <v>2514</v>
      </c>
      <c r="H903" s="9" t="s">
        <v>2515</v>
      </c>
      <c r="I903" s="10">
        <v>45577</v>
      </c>
    </row>
    <row r="904" spans="1:9" x14ac:dyDescent="0.15">
      <c r="A904" s="9">
        <v>903</v>
      </c>
      <c r="B904" s="9" t="s">
        <v>9</v>
      </c>
      <c r="C904" s="9">
        <v>1918</v>
      </c>
      <c r="D904" s="10">
        <v>45663</v>
      </c>
      <c r="E904" s="13" t="str">
        <f>+HYPERLINK("http://trademark.i-assist.jp/data/china/image_1918th/81336001.pdf","81336001")</f>
        <v>81336001</v>
      </c>
      <c r="F904" s="12" t="s">
        <v>2516</v>
      </c>
      <c r="G904" s="9" t="s">
        <v>2517</v>
      </c>
      <c r="H904" s="9" t="s">
        <v>2518</v>
      </c>
      <c r="I904" s="10">
        <v>45577</v>
      </c>
    </row>
    <row r="905" spans="1:9" x14ac:dyDescent="0.15">
      <c r="A905" s="9">
        <v>904</v>
      </c>
      <c r="B905" s="9" t="s">
        <v>9</v>
      </c>
      <c r="C905" s="9">
        <v>1918</v>
      </c>
      <c r="D905" s="10">
        <v>45663</v>
      </c>
      <c r="E905" s="13" t="str">
        <f>+HYPERLINK("http://trademark.i-assist.jp/data/china/image_1918th/81336208.pdf","81336208")</f>
        <v>81336208</v>
      </c>
      <c r="F905" s="9" t="s">
        <v>2519</v>
      </c>
      <c r="G905" s="12" t="s">
        <v>88</v>
      </c>
      <c r="H905" s="12" t="s">
        <v>2520</v>
      </c>
      <c r="I905" s="10">
        <v>45577</v>
      </c>
    </row>
    <row r="906" spans="1:9" x14ac:dyDescent="0.15">
      <c r="A906" s="9">
        <v>905</v>
      </c>
      <c r="B906" s="9" t="s">
        <v>9</v>
      </c>
      <c r="C906" s="9">
        <v>1918</v>
      </c>
      <c r="D906" s="10">
        <v>45663</v>
      </c>
      <c r="E906" s="13" t="str">
        <f>+HYPERLINK("http://trademark.i-assist.jp/data/china/image_1918th/81336460.pdf","81336460")</f>
        <v>81336460</v>
      </c>
      <c r="F906" s="9" t="s">
        <v>2521</v>
      </c>
      <c r="G906" s="12" t="s">
        <v>2522</v>
      </c>
      <c r="H906" s="9" t="s">
        <v>2523</v>
      </c>
      <c r="I906" s="10">
        <v>45577</v>
      </c>
    </row>
    <row r="907" spans="1:9" x14ac:dyDescent="0.15">
      <c r="A907" s="9">
        <v>906</v>
      </c>
      <c r="B907" s="9" t="s">
        <v>9</v>
      </c>
      <c r="C907" s="9">
        <v>1918</v>
      </c>
      <c r="D907" s="10">
        <v>45663</v>
      </c>
      <c r="E907" s="13" t="str">
        <f>+HYPERLINK("http://trademark.i-assist.jp/data/china/image_1918th/81336603.pdf","81336603")</f>
        <v>81336603</v>
      </c>
      <c r="F907" s="9" t="s">
        <v>2524</v>
      </c>
      <c r="G907" s="9" t="s">
        <v>2525</v>
      </c>
      <c r="H907" s="9" t="s">
        <v>2526</v>
      </c>
      <c r="I907" s="10">
        <v>45577</v>
      </c>
    </row>
    <row r="908" spans="1:9" x14ac:dyDescent="0.15">
      <c r="A908" s="9">
        <v>907</v>
      </c>
      <c r="B908" s="9" t="s">
        <v>9</v>
      </c>
      <c r="C908" s="9">
        <v>1918</v>
      </c>
      <c r="D908" s="10">
        <v>45663</v>
      </c>
      <c r="E908" s="13" t="str">
        <f>+HYPERLINK("http://trademark.i-assist.jp/data/china/image_1918th/81336617.pdf","81336617")</f>
        <v>81336617</v>
      </c>
      <c r="F908" s="9" t="s">
        <v>2527</v>
      </c>
      <c r="G908" s="9" t="s">
        <v>2528</v>
      </c>
      <c r="H908" s="9" t="s">
        <v>2529</v>
      </c>
      <c r="I908" s="10">
        <v>45577</v>
      </c>
    </row>
    <row r="909" spans="1:9" x14ac:dyDescent="0.15">
      <c r="A909" s="9">
        <v>908</v>
      </c>
      <c r="B909" s="9" t="s">
        <v>9</v>
      </c>
      <c r="C909" s="9">
        <v>1918</v>
      </c>
      <c r="D909" s="10">
        <v>45663</v>
      </c>
      <c r="E909" s="13" t="str">
        <f>+HYPERLINK("http://trademark.i-assist.jp/data/china/image_1918th/81336820.pdf","81336820")</f>
        <v>81336820</v>
      </c>
      <c r="F909" s="9" t="s">
        <v>2530</v>
      </c>
      <c r="G909" s="9" t="s">
        <v>2531</v>
      </c>
      <c r="H909" s="9" t="s">
        <v>2532</v>
      </c>
      <c r="I909" s="10">
        <v>45577</v>
      </c>
    </row>
    <row r="910" spans="1:9" x14ac:dyDescent="0.15">
      <c r="A910" s="9">
        <v>909</v>
      </c>
      <c r="B910" s="9" t="s">
        <v>9</v>
      </c>
      <c r="C910" s="9">
        <v>1918</v>
      </c>
      <c r="D910" s="10">
        <v>45663</v>
      </c>
      <c r="E910" s="13" t="str">
        <f>+HYPERLINK("http://trademark.i-assist.jp/data/china/image_1918th/81338600.pdf","81338600")</f>
        <v>81338600</v>
      </c>
      <c r="F910" s="9" t="s">
        <v>2533</v>
      </c>
      <c r="G910" s="9" t="s">
        <v>2534</v>
      </c>
      <c r="H910" s="12" t="s">
        <v>2535</v>
      </c>
      <c r="I910" s="10">
        <v>45577</v>
      </c>
    </row>
    <row r="911" spans="1:9" x14ac:dyDescent="0.15">
      <c r="A911" s="9">
        <v>910</v>
      </c>
      <c r="B911" s="9" t="s">
        <v>9</v>
      </c>
      <c r="C911" s="9">
        <v>1918</v>
      </c>
      <c r="D911" s="10">
        <v>45663</v>
      </c>
      <c r="E911" s="13" t="str">
        <f>+HYPERLINK("http://trademark.i-assist.jp/data/china/image_1918th/81339089.pdf","81339089")</f>
        <v>81339089</v>
      </c>
      <c r="F911" s="9" t="s">
        <v>2536</v>
      </c>
      <c r="G911" s="9" t="s">
        <v>2537</v>
      </c>
      <c r="H911" s="12" t="s">
        <v>2538</v>
      </c>
      <c r="I911" s="10">
        <v>45577</v>
      </c>
    </row>
    <row r="912" spans="1:9" x14ac:dyDescent="0.15">
      <c r="A912" s="9">
        <v>911</v>
      </c>
      <c r="B912" s="9" t="s">
        <v>9</v>
      </c>
      <c r="C912" s="9">
        <v>1918</v>
      </c>
      <c r="D912" s="10">
        <v>45663</v>
      </c>
      <c r="E912" s="13" t="str">
        <f>+HYPERLINK("http://trademark.i-assist.jp/data/china/image_1918th/81339573.pdf","81339573")</f>
        <v>81339573</v>
      </c>
      <c r="F912" s="12" t="s">
        <v>2539</v>
      </c>
      <c r="G912" s="9" t="s">
        <v>2540</v>
      </c>
      <c r="H912" s="9" t="s">
        <v>2541</v>
      </c>
      <c r="I912" s="10">
        <v>45577</v>
      </c>
    </row>
    <row r="913" spans="1:9" x14ac:dyDescent="0.15">
      <c r="A913" s="9">
        <v>912</v>
      </c>
      <c r="B913" s="9" t="s">
        <v>9</v>
      </c>
      <c r="C913" s="9">
        <v>1918</v>
      </c>
      <c r="D913" s="10">
        <v>45663</v>
      </c>
      <c r="E913" s="13" t="str">
        <f>+HYPERLINK("http://trademark.i-assist.jp/data/china/image_1918th/81339617.pdf","81339617")</f>
        <v>81339617</v>
      </c>
      <c r="F913" s="9" t="s">
        <v>2542</v>
      </c>
      <c r="G913" s="12" t="s">
        <v>39</v>
      </c>
      <c r="H913" s="9" t="s">
        <v>2543</v>
      </c>
      <c r="I913" s="10">
        <v>45577</v>
      </c>
    </row>
    <row r="914" spans="1:9" x14ac:dyDescent="0.15">
      <c r="A914" s="9">
        <v>913</v>
      </c>
      <c r="B914" s="9" t="s">
        <v>9</v>
      </c>
      <c r="C914" s="9">
        <v>1918</v>
      </c>
      <c r="D914" s="10">
        <v>45663</v>
      </c>
      <c r="E914" s="13" t="str">
        <f>+HYPERLINK("http://trademark.i-assist.jp/data/china/image_1918th/81339666.pdf","81339666")</f>
        <v>81339666</v>
      </c>
      <c r="F914" s="12" t="s">
        <v>2544</v>
      </c>
      <c r="G914" s="12" t="s">
        <v>2545</v>
      </c>
      <c r="H914" s="9" t="s">
        <v>2546</v>
      </c>
      <c r="I914" s="10">
        <v>45577</v>
      </c>
    </row>
    <row r="915" spans="1:9" x14ac:dyDescent="0.15">
      <c r="A915" s="9">
        <v>914</v>
      </c>
      <c r="B915" s="9" t="s">
        <v>9</v>
      </c>
      <c r="C915" s="9">
        <v>1918</v>
      </c>
      <c r="D915" s="10">
        <v>45663</v>
      </c>
      <c r="E915" s="13" t="str">
        <f>+HYPERLINK("http://trademark.i-assist.jp/data/china/image_1918th/81340086.pdf","81340086")</f>
        <v>81340086</v>
      </c>
      <c r="F915" s="12" t="s">
        <v>2547</v>
      </c>
      <c r="G915" s="9" t="s">
        <v>2548</v>
      </c>
      <c r="H915" s="9" t="s">
        <v>2549</v>
      </c>
      <c r="I915" s="10">
        <v>45577</v>
      </c>
    </row>
    <row r="916" spans="1:9" x14ac:dyDescent="0.15">
      <c r="A916" s="9">
        <v>915</v>
      </c>
      <c r="B916" s="9" t="s">
        <v>9</v>
      </c>
      <c r="C916" s="9">
        <v>1918</v>
      </c>
      <c r="D916" s="10">
        <v>45663</v>
      </c>
      <c r="E916" s="13" t="str">
        <f>+HYPERLINK("http://trademark.i-assist.jp/data/china/image_1918th/81340507.pdf","81340507")</f>
        <v>81340507</v>
      </c>
      <c r="F916" s="9" t="s">
        <v>2550</v>
      </c>
      <c r="G916" s="9" t="s">
        <v>2551</v>
      </c>
      <c r="H916" s="9" t="s">
        <v>2552</v>
      </c>
      <c r="I916" s="10">
        <v>45577</v>
      </c>
    </row>
    <row r="917" spans="1:9" x14ac:dyDescent="0.15">
      <c r="A917" s="9">
        <v>916</v>
      </c>
      <c r="B917" s="9" t="s">
        <v>9</v>
      </c>
      <c r="C917" s="9">
        <v>1918</v>
      </c>
      <c r="D917" s="10">
        <v>45663</v>
      </c>
      <c r="E917" s="13" t="str">
        <f>+HYPERLINK("http://trademark.i-assist.jp/data/china/image_1918th/81341010.pdf","81341010")</f>
        <v>81341010</v>
      </c>
      <c r="F917" s="9" t="s">
        <v>2553</v>
      </c>
      <c r="G917" s="9" t="s">
        <v>2554</v>
      </c>
      <c r="H917" s="9" t="s">
        <v>2555</v>
      </c>
      <c r="I917" s="10">
        <v>45577</v>
      </c>
    </row>
    <row r="918" spans="1:9" x14ac:dyDescent="0.15">
      <c r="A918" s="9">
        <v>917</v>
      </c>
      <c r="B918" s="9" t="s">
        <v>9</v>
      </c>
      <c r="C918" s="9">
        <v>1918</v>
      </c>
      <c r="D918" s="10">
        <v>45663</v>
      </c>
      <c r="E918" s="13" t="str">
        <f>+HYPERLINK("http://trademark.i-assist.jp/data/china/image_1918th/81341360.pdf","81341360")</f>
        <v>81341360</v>
      </c>
      <c r="F918" s="9" t="s">
        <v>2556</v>
      </c>
      <c r="G918" s="9" t="s">
        <v>2557</v>
      </c>
      <c r="H918" s="9" t="s">
        <v>2558</v>
      </c>
      <c r="I918" s="10">
        <v>45577</v>
      </c>
    </row>
    <row r="919" spans="1:9" x14ac:dyDescent="0.15">
      <c r="A919" s="9">
        <v>918</v>
      </c>
      <c r="B919" s="9" t="s">
        <v>9</v>
      </c>
      <c r="C919" s="9">
        <v>1918</v>
      </c>
      <c r="D919" s="10">
        <v>45663</v>
      </c>
      <c r="E919" s="13" t="str">
        <f>+HYPERLINK("http://trademark.i-assist.jp/data/china/image_1918th/81341485.pdf","81341485")</f>
        <v>81341485</v>
      </c>
      <c r="F919" s="9" t="s">
        <v>2559</v>
      </c>
      <c r="G919" s="9" t="s">
        <v>2560</v>
      </c>
      <c r="H919" s="9" t="s">
        <v>2561</v>
      </c>
      <c r="I919" s="10">
        <v>45577</v>
      </c>
    </row>
    <row r="920" spans="1:9" x14ac:dyDescent="0.15">
      <c r="A920" s="9">
        <v>919</v>
      </c>
      <c r="B920" s="9" t="s">
        <v>9</v>
      </c>
      <c r="C920" s="9">
        <v>1918</v>
      </c>
      <c r="D920" s="10">
        <v>45663</v>
      </c>
      <c r="E920" s="13" t="str">
        <f>+HYPERLINK("http://trademark.i-assist.jp/data/china/image_1918th/81341661.pdf","81341661")</f>
        <v>81341661</v>
      </c>
      <c r="F920" s="9" t="s">
        <v>2562</v>
      </c>
      <c r="G920" s="9" t="s">
        <v>2563</v>
      </c>
      <c r="H920" s="9" t="s">
        <v>2564</v>
      </c>
      <c r="I920" s="10">
        <v>45577</v>
      </c>
    </row>
    <row r="921" spans="1:9" x14ac:dyDescent="0.15">
      <c r="A921" s="9">
        <v>920</v>
      </c>
      <c r="B921" s="9" t="s">
        <v>9</v>
      </c>
      <c r="C921" s="9">
        <v>1918</v>
      </c>
      <c r="D921" s="10">
        <v>45663</v>
      </c>
      <c r="E921" s="13" t="str">
        <f>+HYPERLINK("http://trademark.i-assist.jp/data/china/image_1918th/81342150.pdf","81342150")</f>
        <v>81342150</v>
      </c>
      <c r="F921" s="9" t="s">
        <v>2565</v>
      </c>
      <c r="G921" s="9" t="s">
        <v>2566</v>
      </c>
      <c r="H921" s="12" t="s">
        <v>2567</v>
      </c>
      <c r="I921" s="10">
        <v>45577</v>
      </c>
    </row>
    <row r="922" spans="1:9" x14ac:dyDescent="0.15">
      <c r="A922" s="9">
        <v>921</v>
      </c>
      <c r="B922" s="9" t="s">
        <v>9</v>
      </c>
      <c r="C922" s="9">
        <v>1918</v>
      </c>
      <c r="D922" s="10">
        <v>45663</v>
      </c>
      <c r="E922" s="13" t="str">
        <f>+HYPERLINK("http://trademark.i-assist.jp/data/china/image_1918th/81342845.pdf","81342845")</f>
        <v>81342845</v>
      </c>
      <c r="F922" s="9" t="s">
        <v>2568</v>
      </c>
      <c r="G922" s="9" t="s">
        <v>2569</v>
      </c>
      <c r="H922" s="9" t="s">
        <v>2570</v>
      </c>
      <c r="I922" s="10">
        <v>45577</v>
      </c>
    </row>
    <row r="923" spans="1:9" x14ac:dyDescent="0.15">
      <c r="A923" s="9">
        <v>922</v>
      </c>
      <c r="B923" s="9" t="s">
        <v>9</v>
      </c>
      <c r="C923" s="9">
        <v>1918</v>
      </c>
      <c r="D923" s="10">
        <v>45663</v>
      </c>
      <c r="E923" s="13" t="str">
        <f>+HYPERLINK("http://trademark.i-assist.jp/data/china/image_1918th/81343598.pdf","81343598")</f>
        <v>81343598</v>
      </c>
      <c r="F923" s="9" t="s">
        <v>2571</v>
      </c>
      <c r="G923" s="9" t="s">
        <v>2572</v>
      </c>
      <c r="H923" s="12" t="s">
        <v>2573</v>
      </c>
      <c r="I923" s="10">
        <v>45577</v>
      </c>
    </row>
    <row r="924" spans="1:9" x14ac:dyDescent="0.15">
      <c r="A924" s="9">
        <v>923</v>
      </c>
      <c r="B924" s="9" t="s">
        <v>9</v>
      </c>
      <c r="C924" s="9">
        <v>1918</v>
      </c>
      <c r="D924" s="10">
        <v>45663</v>
      </c>
      <c r="E924" s="13" t="str">
        <f>+HYPERLINK("http://trademark.i-assist.jp/data/china/image_1918th/81343621.pdf","81343621")</f>
        <v>81343621</v>
      </c>
      <c r="F924" s="9" t="s">
        <v>2574</v>
      </c>
      <c r="G924" s="12" t="s">
        <v>2575</v>
      </c>
      <c r="H924" s="9" t="s">
        <v>2576</v>
      </c>
      <c r="I924" s="10">
        <v>45577</v>
      </c>
    </row>
    <row r="925" spans="1:9" x14ac:dyDescent="0.15">
      <c r="A925" s="9">
        <v>924</v>
      </c>
      <c r="B925" s="9" t="s">
        <v>9</v>
      </c>
      <c r="C925" s="9">
        <v>1918</v>
      </c>
      <c r="D925" s="10">
        <v>45663</v>
      </c>
      <c r="E925" s="13" t="str">
        <f>+HYPERLINK("http://trademark.i-assist.jp/data/china/image_1918th/81343851.pdf","81343851")</f>
        <v>81343851</v>
      </c>
      <c r="F925" s="9" t="s">
        <v>2577</v>
      </c>
      <c r="G925" s="9" t="s">
        <v>2578</v>
      </c>
      <c r="H925" s="9" t="s">
        <v>2579</v>
      </c>
      <c r="I925" s="10">
        <v>45577</v>
      </c>
    </row>
    <row r="926" spans="1:9" x14ac:dyDescent="0.15">
      <c r="A926" s="9">
        <v>925</v>
      </c>
      <c r="B926" s="9" t="s">
        <v>9</v>
      </c>
      <c r="C926" s="9">
        <v>1918</v>
      </c>
      <c r="D926" s="10">
        <v>45663</v>
      </c>
      <c r="E926" s="13" t="str">
        <f>+HYPERLINK("http://trademark.i-assist.jp/data/china/image_1918th/81343985.pdf","81343985")</f>
        <v>81343985</v>
      </c>
      <c r="F926" s="9" t="s">
        <v>2580</v>
      </c>
      <c r="G926" s="9" t="s">
        <v>2581</v>
      </c>
      <c r="H926" s="9" t="s">
        <v>2582</v>
      </c>
      <c r="I926" s="10">
        <v>45577</v>
      </c>
    </row>
    <row r="927" spans="1:9" x14ac:dyDescent="0.15">
      <c r="A927" s="9">
        <v>926</v>
      </c>
      <c r="B927" s="9" t="s">
        <v>9</v>
      </c>
      <c r="C927" s="9">
        <v>1918</v>
      </c>
      <c r="D927" s="10">
        <v>45663</v>
      </c>
      <c r="E927" s="13" t="str">
        <f>+HYPERLINK("http://trademark.i-assist.jp/data/china/image_1918th/81344151.pdf","81344151")</f>
        <v>81344151</v>
      </c>
      <c r="F927" s="9" t="s">
        <v>2583</v>
      </c>
      <c r="G927" s="9" t="s">
        <v>27</v>
      </c>
      <c r="H927" s="9" t="s">
        <v>2584</v>
      </c>
      <c r="I927" s="10">
        <v>45577</v>
      </c>
    </row>
    <row r="928" spans="1:9" x14ac:dyDescent="0.15">
      <c r="A928" s="9">
        <v>927</v>
      </c>
      <c r="B928" s="9" t="s">
        <v>9</v>
      </c>
      <c r="C928" s="9">
        <v>1918</v>
      </c>
      <c r="D928" s="10">
        <v>45663</v>
      </c>
      <c r="E928" s="13" t="str">
        <f>+HYPERLINK("http://trademark.i-assist.jp/data/china/image_1918th/81344833.pdf","81344833")</f>
        <v>81344833</v>
      </c>
      <c r="F928" s="11" t="s">
        <v>2585</v>
      </c>
      <c r="G928" s="9" t="s">
        <v>2511</v>
      </c>
      <c r="H928" s="12" t="s">
        <v>2586</v>
      </c>
      <c r="I928" s="10">
        <v>45577</v>
      </c>
    </row>
    <row r="929" spans="1:9" x14ac:dyDescent="0.15">
      <c r="A929" s="9">
        <v>928</v>
      </c>
      <c r="B929" s="9" t="s">
        <v>9</v>
      </c>
      <c r="C929" s="9">
        <v>1918</v>
      </c>
      <c r="D929" s="10">
        <v>45663</v>
      </c>
      <c r="E929" s="13" t="str">
        <f>+HYPERLINK("http://trademark.i-assist.jp/data/china/image_1918th/81345203.pdf","81345203")</f>
        <v>81345203</v>
      </c>
      <c r="F929" s="12" t="s">
        <v>12</v>
      </c>
      <c r="G929" s="9" t="s">
        <v>2587</v>
      </c>
      <c r="H929" s="9" t="s">
        <v>2588</v>
      </c>
      <c r="I929" s="10">
        <v>45577</v>
      </c>
    </row>
    <row r="930" spans="1:9" x14ac:dyDescent="0.15">
      <c r="A930" s="9">
        <v>929</v>
      </c>
      <c r="B930" s="9" t="s">
        <v>9</v>
      </c>
      <c r="C930" s="9">
        <v>1918</v>
      </c>
      <c r="D930" s="10">
        <v>45663</v>
      </c>
      <c r="E930" s="13" t="str">
        <f>+HYPERLINK("http://trademark.i-assist.jp/data/china/image_1918th/81345293.pdf","81345293")</f>
        <v>81345293</v>
      </c>
      <c r="F930" s="12" t="s">
        <v>2589</v>
      </c>
      <c r="G930" s="9" t="s">
        <v>2590</v>
      </c>
      <c r="H930" s="9" t="s">
        <v>2591</v>
      </c>
      <c r="I930" s="10">
        <v>45577</v>
      </c>
    </row>
    <row r="931" spans="1:9" x14ac:dyDescent="0.15">
      <c r="A931" s="9">
        <v>930</v>
      </c>
      <c r="B931" s="9" t="s">
        <v>9</v>
      </c>
      <c r="C931" s="9">
        <v>1918</v>
      </c>
      <c r="D931" s="10">
        <v>45663</v>
      </c>
      <c r="E931" s="13" t="str">
        <f>+HYPERLINK("http://trademark.i-assist.jp/data/china/image_1918th/81345972.pdf","81345972")</f>
        <v>81345972</v>
      </c>
      <c r="F931" s="9" t="s">
        <v>2592</v>
      </c>
      <c r="G931" s="9" t="s">
        <v>2593</v>
      </c>
      <c r="H931" s="9" t="s">
        <v>2594</v>
      </c>
      <c r="I931" s="10">
        <v>45577</v>
      </c>
    </row>
    <row r="932" spans="1:9" x14ac:dyDescent="0.15">
      <c r="A932" s="9">
        <v>931</v>
      </c>
      <c r="B932" s="9" t="s">
        <v>9</v>
      </c>
      <c r="C932" s="9">
        <v>1918</v>
      </c>
      <c r="D932" s="10">
        <v>45663</v>
      </c>
      <c r="E932" s="13" t="str">
        <f>+HYPERLINK("http://trademark.i-assist.jp/data/china/image_1918th/81346007.pdf","81346007")</f>
        <v>81346007</v>
      </c>
      <c r="F932" s="12" t="s">
        <v>2595</v>
      </c>
      <c r="G932" s="9" t="s">
        <v>2528</v>
      </c>
      <c r="H932" s="9" t="s">
        <v>2596</v>
      </c>
      <c r="I932" s="10">
        <v>45577</v>
      </c>
    </row>
    <row r="933" spans="1:9" x14ac:dyDescent="0.15">
      <c r="A933" s="9">
        <v>932</v>
      </c>
      <c r="B933" s="9" t="s">
        <v>9</v>
      </c>
      <c r="C933" s="9">
        <v>1918</v>
      </c>
      <c r="D933" s="10">
        <v>45663</v>
      </c>
      <c r="E933" s="13" t="str">
        <f>+HYPERLINK("http://trademark.i-assist.jp/data/china/image_1918th/81346368.pdf","81346368")</f>
        <v>81346368</v>
      </c>
      <c r="F933" s="9" t="s">
        <v>2597</v>
      </c>
      <c r="G933" s="9" t="s">
        <v>2598</v>
      </c>
      <c r="H933" s="9" t="s">
        <v>2599</v>
      </c>
      <c r="I933" s="10">
        <v>45577</v>
      </c>
    </row>
    <row r="934" spans="1:9" x14ac:dyDescent="0.15">
      <c r="A934" s="9">
        <v>933</v>
      </c>
      <c r="B934" s="9" t="s">
        <v>9</v>
      </c>
      <c r="C934" s="9">
        <v>1918</v>
      </c>
      <c r="D934" s="10">
        <v>45663</v>
      </c>
      <c r="E934" s="13" t="str">
        <f>+HYPERLINK("http://trademark.i-assist.jp/data/china/image_1918th/81346628.pdf","81346628")</f>
        <v>81346628</v>
      </c>
      <c r="F934" s="9" t="s">
        <v>2600</v>
      </c>
      <c r="G934" s="9" t="s">
        <v>2419</v>
      </c>
      <c r="H934" s="12" t="s">
        <v>2601</v>
      </c>
      <c r="I934" s="10">
        <v>45577</v>
      </c>
    </row>
    <row r="935" spans="1:9" x14ac:dyDescent="0.15">
      <c r="A935" s="9">
        <v>934</v>
      </c>
      <c r="B935" s="9" t="s">
        <v>9</v>
      </c>
      <c r="C935" s="9">
        <v>1918</v>
      </c>
      <c r="D935" s="10">
        <v>45663</v>
      </c>
      <c r="E935" s="13" t="str">
        <f>+HYPERLINK("http://trademark.i-assist.jp/data/china/image_1918th/81346753.pdf","81346753")</f>
        <v>81346753</v>
      </c>
      <c r="F935" s="9" t="s">
        <v>2602</v>
      </c>
      <c r="G935" s="12" t="s">
        <v>2603</v>
      </c>
      <c r="H935" s="9" t="s">
        <v>2604</v>
      </c>
      <c r="I935" s="10">
        <v>45577</v>
      </c>
    </row>
    <row r="936" spans="1:9" x14ac:dyDescent="0.15">
      <c r="A936" s="9">
        <v>935</v>
      </c>
      <c r="B936" s="9" t="s">
        <v>9</v>
      </c>
      <c r="C936" s="9">
        <v>1918</v>
      </c>
      <c r="D936" s="10">
        <v>45663</v>
      </c>
      <c r="E936" s="13" t="str">
        <f>+HYPERLINK("http://trademark.i-assist.jp/data/china/image_1918th/81347334.pdf","81347334")</f>
        <v>81347334</v>
      </c>
      <c r="F936" s="9" t="s">
        <v>2605</v>
      </c>
      <c r="G936" s="9" t="s">
        <v>2606</v>
      </c>
      <c r="H936" s="9" t="s">
        <v>2607</v>
      </c>
      <c r="I936" s="10">
        <v>45577</v>
      </c>
    </row>
    <row r="937" spans="1:9" x14ac:dyDescent="0.15">
      <c r="A937" s="9">
        <v>936</v>
      </c>
      <c r="B937" s="9" t="s">
        <v>9</v>
      </c>
      <c r="C937" s="9">
        <v>1918</v>
      </c>
      <c r="D937" s="10">
        <v>45663</v>
      </c>
      <c r="E937" s="13" t="str">
        <f>+HYPERLINK("http://trademark.i-assist.jp/data/china/image_1918th/81348215.pdf","81348215")</f>
        <v>81348215</v>
      </c>
      <c r="F937" s="12" t="s">
        <v>2608</v>
      </c>
      <c r="G937" s="12" t="s">
        <v>2609</v>
      </c>
      <c r="H937" s="9" t="s">
        <v>2610</v>
      </c>
      <c r="I937" s="10">
        <v>45577</v>
      </c>
    </row>
    <row r="938" spans="1:9" x14ac:dyDescent="0.15">
      <c r="A938" s="9">
        <v>937</v>
      </c>
      <c r="B938" s="9" t="s">
        <v>9</v>
      </c>
      <c r="C938" s="9">
        <v>1918</v>
      </c>
      <c r="D938" s="10">
        <v>45663</v>
      </c>
      <c r="E938" s="13" t="str">
        <f>+HYPERLINK("http://trademark.i-assist.jp/data/china/image_1918th/81348325.pdf","81348325")</f>
        <v>81348325</v>
      </c>
      <c r="F938" s="9" t="s">
        <v>2611</v>
      </c>
      <c r="G938" s="12" t="s">
        <v>2612</v>
      </c>
      <c r="H938" s="9" t="s">
        <v>2613</v>
      </c>
      <c r="I938" s="10">
        <v>45577</v>
      </c>
    </row>
    <row r="939" spans="1:9" x14ac:dyDescent="0.15">
      <c r="A939" s="9">
        <v>938</v>
      </c>
      <c r="B939" s="9" t="s">
        <v>9</v>
      </c>
      <c r="C939" s="9">
        <v>1918</v>
      </c>
      <c r="D939" s="10">
        <v>45663</v>
      </c>
      <c r="E939" s="13" t="str">
        <f>+HYPERLINK("http://trademark.i-assist.jp/data/china/image_1918th/81349216.pdf","81349216")</f>
        <v>81349216</v>
      </c>
      <c r="F939" s="12" t="s">
        <v>2614</v>
      </c>
      <c r="G939" s="9" t="s">
        <v>2593</v>
      </c>
      <c r="H939" s="12" t="s">
        <v>2615</v>
      </c>
      <c r="I939" s="10">
        <v>45577</v>
      </c>
    </row>
    <row r="940" spans="1:9" x14ac:dyDescent="0.15">
      <c r="A940" s="9">
        <v>939</v>
      </c>
      <c r="B940" s="9" t="s">
        <v>9</v>
      </c>
      <c r="C940" s="9">
        <v>1918</v>
      </c>
      <c r="D940" s="10">
        <v>45663</v>
      </c>
      <c r="E940" s="13" t="str">
        <f>+HYPERLINK("http://trademark.i-assist.jp/data/china/image_1918th/81349378.pdf","81349378")</f>
        <v>81349378</v>
      </c>
      <c r="F940" s="9" t="s">
        <v>2616</v>
      </c>
      <c r="G940" s="9" t="s">
        <v>2617</v>
      </c>
      <c r="H940" s="9" t="s">
        <v>2618</v>
      </c>
      <c r="I940" s="10">
        <v>45577</v>
      </c>
    </row>
    <row r="941" spans="1:9" x14ac:dyDescent="0.15">
      <c r="A941" s="9">
        <v>940</v>
      </c>
      <c r="B941" s="9" t="s">
        <v>9</v>
      </c>
      <c r="C941" s="9">
        <v>1918</v>
      </c>
      <c r="D941" s="10">
        <v>45663</v>
      </c>
      <c r="E941" s="13" t="str">
        <f>+HYPERLINK("http://trademark.i-assist.jp/data/china/image_1918th/81349448.pdf","81349448")</f>
        <v>81349448</v>
      </c>
      <c r="F941" s="12" t="s">
        <v>2619</v>
      </c>
      <c r="G941" s="9" t="s">
        <v>2620</v>
      </c>
      <c r="H941" s="9" t="s">
        <v>2621</v>
      </c>
      <c r="I941" s="10">
        <v>45577</v>
      </c>
    </row>
    <row r="942" spans="1:9" x14ac:dyDescent="0.15">
      <c r="A942" s="9">
        <v>941</v>
      </c>
      <c r="B942" s="9" t="s">
        <v>9</v>
      </c>
      <c r="C942" s="9">
        <v>1918</v>
      </c>
      <c r="D942" s="10">
        <v>45663</v>
      </c>
      <c r="E942" s="13" t="str">
        <f>+HYPERLINK("http://trademark.i-assist.jp/data/china/image_1918th/81349505.pdf","81349505")</f>
        <v>81349505</v>
      </c>
      <c r="F942" s="9" t="s">
        <v>2622</v>
      </c>
      <c r="G942" s="9" t="s">
        <v>2572</v>
      </c>
      <c r="H942" s="9" t="s">
        <v>2623</v>
      </c>
      <c r="I942" s="10">
        <v>45577</v>
      </c>
    </row>
    <row r="943" spans="1:9" x14ac:dyDescent="0.15">
      <c r="A943" s="9">
        <v>942</v>
      </c>
      <c r="B943" s="9" t="s">
        <v>9</v>
      </c>
      <c r="C943" s="9">
        <v>1918</v>
      </c>
      <c r="D943" s="10">
        <v>45663</v>
      </c>
      <c r="E943" s="13" t="str">
        <f>+HYPERLINK("http://trademark.i-assist.jp/data/china/image_1918th/81350167.pdf","81350167")</f>
        <v>81350167</v>
      </c>
      <c r="F943" s="9" t="s">
        <v>2624</v>
      </c>
      <c r="G943" s="9" t="s">
        <v>2625</v>
      </c>
      <c r="H943" s="9" t="s">
        <v>2626</v>
      </c>
      <c r="I943" s="10">
        <v>45577</v>
      </c>
    </row>
    <row r="944" spans="1:9" x14ac:dyDescent="0.15">
      <c r="A944" s="9">
        <v>943</v>
      </c>
      <c r="B944" s="9" t="s">
        <v>9</v>
      </c>
      <c r="C944" s="9">
        <v>1918</v>
      </c>
      <c r="D944" s="10">
        <v>45663</v>
      </c>
      <c r="E944" s="13" t="str">
        <f>+HYPERLINK("http://trademark.i-assist.jp/data/china/image_1918th/81350367.pdf","81350367")</f>
        <v>81350367</v>
      </c>
      <c r="F944" s="12" t="s">
        <v>2627</v>
      </c>
      <c r="G944" s="12" t="s">
        <v>2628</v>
      </c>
      <c r="H944" s="9" t="s">
        <v>2629</v>
      </c>
      <c r="I944" s="10">
        <v>45577</v>
      </c>
    </row>
    <row r="945" spans="1:9" x14ac:dyDescent="0.15">
      <c r="A945" s="9">
        <v>944</v>
      </c>
      <c r="B945" s="9" t="s">
        <v>9</v>
      </c>
      <c r="C945" s="9">
        <v>1918</v>
      </c>
      <c r="D945" s="10">
        <v>45663</v>
      </c>
      <c r="E945" s="13" t="str">
        <f>+HYPERLINK("http://trademark.i-assist.jp/data/china/image_1918th/81350556.pdf","81350556")</f>
        <v>81350556</v>
      </c>
      <c r="F945" s="9" t="s">
        <v>2630</v>
      </c>
      <c r="G945" s="9" t="s">
        <v>2528</v>
      </c>
      <c r="H945" s="9" t="s">
        <v>2631</v>
      </c>
      <c r="I945" s="10">
        <v>45577</v>
      </c>
    </row>
    <row r="946" spans="1:9" x14ac:dyDescent="0.15">
      <c r="A946" s="9">
        <v>945</v>
      </c>
      <c r="B946" s="9" t="s">
        <v>9</v>
      </c>
      <c r="C946" s="9">
        <v>1918</v>
      </c>
      <c r="D946" s="10">
        <v>45663</v>
      </c>
      <c r="E946" s="13" t="str">
        <f>+HYPERLINK("http://trademark.i-assist.jp/data/china/image_1918th/81350849.pdf","81350849")</f>
        <v>81350849</v>
      </c>
      <c r="F946" s="12" t="s">
        <v>12</v>
      </c>
      <c r="G946" s="9" t="s">
        <v>2632</v>
      </c>
      <c r="H946" s="9" t="s">
        <v>2633</v>
      </c>
      <c r="I946" s="10">
        <v>45577</v>
      </c>
    </row>
    <row r="947" spans="1:9" x14ac:dyDescent="0.15">
      <c r="A947" s="9">
        <v>946</v>
      </c>
      <c r="B947" s="9" t="s">
        <v>9</v>
      </c>
      <c r="C947" s="9">
        <v>1918</v>
      </c>
      <c r="D947" s="10">
        <v>45663</v>
      </c>
      <c r="E947" s="13" t="str">
        <f>+HYPERLINK("http://trademark.i-assist.jp/data/china/image_1918th/81352022.pdf","81352022")</f>
        <v>81352022</v>
      </c>
      <c r="F947" s="12" t="s">
        <v>2634</v>
      </c>
      <c r="G947" s="9" t="s">
        <v>2635</v>
      </c>
      <c r="H947" s="9" t="s">
        <v>2636</v>
      </c>
      <c r="I947" s="10">
        <v>45577</v>
      </c>
    </row>
    <row r="948" spans="1:9" x14ac:dyDescent="0.15">
      <c r="A948" s="9">
        <v>947</v>
      </c>
      <c r="B948" s="9" t="s">
        <v>9</v>
      </c>
      <c r="C948" s="9">
        <v>1918</v>
      </c>
      <c r="D948" s="10">
        <v>45663</v>
      </c>
      <c r="E948" s="13" t="str">
        <f>+HYPERLINK("http://trademark.i-assist.jp/data/china/image_1918th/81352228.pdf","81352228")</f>
        <v>81352228</v>
      </c>
      <c r="F948" s="12" t="s">
        <v>2637</v>
      </c>
      <c r="G948" s="9" t="s">
        <v>2638</v>
      </c>
      <c r="H948" s="9" t="s">
        <v>2639</v>
      </c>
      <c r="I948" s="10">
        <v>45577</v>
      </c>
    </row>
    <row r="949" spans="1:9" x14ac:dyDescent="0.15">
      <c r="A949" s="9">
        <v>948</v>
      </c>
      <c r="B949" s="9" t="s">
        <v>9</v>
      </c>
      <c r="C949" s="9">
        <v>1918</v>
      </c>
      <c r="D949" s="10">
        <v>45663</v>
      </c>
      <c r="E949" s="13" t="str">
        <f>+HYPERLINK("http://trademark.i-assist.jp/data/china/image_1918th/81352471.pdf","81352471")</f>
        <v>81352471</v>
      </c>
      <c r="F949" s="9" t="s">
        <v>2640</v>
      </c>
      <c r="G949" s="12" t="s">
        <v>39</v>
      </c>
      <c r="H949" s="9" t="s">
        <v>2641</v>
      </c>
      <c r="I949" s="10">
        <v>45577</v>
      </c>
    </row>
    <row r="950" spans="1:9" x14ac:dyDescent="0.15">
      <c r="A950" s="9">
        <v>949</v>
      </c>
      <c r="B950" s="9" t="s">
        <v>9</v>
      </c>
      <c r="C950" s="9">
        <v>1918</v>
      </c>
      <c r="D950" s="10">
        <v>45663</v>
      </c>
      <c r="E950" s="13" t="str">
        <f>+HYPERLINK("http://trademark.i-assist.jp/data/china/image_1918th/81352757.pdf","81352757")</f>
        <v>81352757</v>
      </c>
      <c r="F950" s="9" t="s">
        <v>2642</v>
      </c>
      <c r="G950" s="9" t="s">
        <v>2643</v>
      </c>
      <c r="H950" s="9" t="s">
        <v>2644</v>
      </c>
      <c r="I950" s="10">
        <v>45577</v>
      </c>
    </row>
    <row r="951" spans="1:9" x14ac:dyDescent="0.15">
      <c r="A951" s="9">
        <v>950</v>
      </c>
      <c r="B951" s="9" t="s">
        <v>9</v>
      </c>
      <c r="C951" s="9">
        <v>1918</v>
      </c>
      <c r="D951" s="10">
        <v>45663</v>
      </c>
      <c r="E951" s="13" t="str">
        <f>+HYPERLINK("http://trademark.i-assist.jp/data/china/image_1918th/81352803.pdf","81352803")</f>
        <v>81352803</v>
      </c>
      <c r="F951" s="12" t="s">
        <v>2645</v>
      </c>
      <c r="G951" s="12" t="s">
        <v>2646</v>
      </c>
      <c r="H951" s="9" t="s">
        <v>2647</v>
      </c>
      <c r="I951" s="10">
        <v>45577</v>
      </c>
    </row>
    <row r="952" spans="1:9" x14ac:dyDescent="0.15">
      <c r="A952" s="9">
        <v>951</v>
      </c>
      <c r="B952" s="9" t="s">
        <v>9</v>
      </c>
      <c r="C952" s="9">
        <v>1918</v>
      </c>
      <c r="D952" s="10">
        <v>45663</v>
      </c>
      <c r="E952" s="13" t="str">
        <f>+HYPERLINK("http://trademark.i-assist.jp/data/china/image_1918th/81353031.pdf","81353031")</f>
        <v>81353031</v>
      </c>
      <c r="F952" s="9" t="s">
        <v>2648</v>
      </c>
      <c r="G952" s="9" t="s">
        <v>2649</v>
      </c>
      <c r="H952" s="12" t="s">
        <v>2650</v>
      </c>
      <c r="I952" s="10">
        <v>45577</v>
      </c>
    </row>
    <row r="953" spans="1:9" x14ac:dyDescent="0.15">
      <c r="A953" s="9">
        <v>952</v>
      </c>
      <c r="B953" s="9" t="s">
        <v>9</v>
      </c>
      <c r="C953" s="9">
        <v>1918</v>
      </c>
      <c r="D953" s="10">
        <v>45663</v>
      </c>
      <c r="E953" s="13" t="str">
        <f>+HYPERLINK("http://trademark.i-assist.jp/data/china/image_1918th/81353092.pdf","81353092")</f>
        <v>81353092</v>
      </c>
      <c r="F953" s="9" t="s">
        <v>2651</v>
      </c>
      <c r="G953" s="9" t="s">
        <v>2652</v>
      </c>
      <c r="H953" s="9" t="s">
        <v>2653</v>
      </c>
      <c r="I953" s="10">
        <v>45577</v>
      </c>
    </row>
    <row r="954" spans="1:9" x14ac:dyDescent="0.15">
      <c r="A954" s="9">
        <v>953</v>
      </c>
      <c r="B954" s="9" t="s">
        <v>9</v>
      </c>
      <c r="C954" s="9">
        <v>1918</v>
      </c>
      <c r="D954" s="10">
        <v>45663</v>
      </c>
      <c r="E954" s="13" t="str">
        <f>+HYPERLINK("http://trademark.i-assist.jp/data/china/image_1918th/81353649.pdf","81353649")</f>
        <v>81353649</v>
      </c>
      <c r="F954" s="9" t="s">
        <v>2654</v>
      </c>
      <c r="G954" s="9" t="s">
        <v>2655</v>
      </c>
      <c r="H954" s="9" t="s">
        <v>2656</v>
      </c>
      <c r="I954" s="10">
        <v>45577</v>
      </c>
    </row>
    <row r="955" spans="1:9" x14ac:dyDescent="0.15">
      <c r="A955" s="9">
        <v>954</v>
      </c>
      <c r="B955" s="9" t="s">
        <v>9</v>
      </c>
      <c r="C955" s="9">
        <v>1918</v>
      </c>
      <c r="D955" s="10">
        <v>45663</v>
      </c>
      <c r="E955" s="13" t="str">
        <f>+HYPERLINK("http://trademark.i-assist.jp/data/china/image_1918th/81353951.pdf","81353951")</f>
        <v>81353951</v>
      </c>
      <c r="F955" s="9" t="s">
        <v>2657</v>
      </c>
      <c r="G955" s="9" t="s">
        <v>2572</v>
      </c>
      <c r="H955" s="12" t="s">
        <v>2658</v>
      </c>
      <c r="I955" s="10">
        <v>45577</v>
      </c>
    </row>
    <row r="956" spans="1:9" x14ac:dyDescent="0.15">
      <c r="A956" s="9">
        <v>955</v>
      </c>
      <c r="B956" s="9" t="s">
        <v>9</v>
      </c>
      <c r="C956" s="9">
        <v>1918</v>
      </c>
      <c r="D956" s="10">
        <v>45663</v>
      </c>
      <c r="E956" s="13" t="str">
        <f>+HYPERLINK("http://trademark.i-assist.jp/data/china/image_1918th/81354078.pdf","81354078")</f>
        <v>81354078</v>
      </c>
      <c r="F956" s="9" t="s">
        <v>2659</v>
      </c>
      <c r="G956" s="9" t="s">
        <v>2660</v>
      </c>
      <c r="H956" s="9" t="s">
        <v>2661</v>
      </c>
      <c r="I956" s="10">
        <v>45577</v>
      </c>
    </row>
    <row r="957" spans="1:9" x14ac:dyDescent="0.15">
      <c r="A957" s="9">
        <v>956</v>
      </c>
      <c r="B957" s="9" t="s">
        <v>9</v>
      </c>
      <c r="C957" s="9">
        <v>1918</v>
      </c>
      <c r="D957" s="10">
        <v>45663</v>
      </c>
      <c r="E957" s="13" t="str">
        <f>+HYPERLINK("http://trademark.i-assist.jp/data/china/image_1918th/81354102.pdf","81354102")</f>
        <v>81354102</v>
      </c>
      <c r="F957" s="9" t="s">
        <v>2662</v>
      </c>
      <c r="G957" s="12" t="s">
        <v>2663</v>
      </c>
      <c r="H957" s="9" t="s">
        <v>2664</v>
      </c>
      <c r="I957" s="10">
        <v>45577</v>
      </c>
    </row>
    <row r="958" spans="1:9" x14ac:dyDescent="0.15">
      <c r="A958" s="9">
        <v>957</v>
      </c>
      <c r="B958" s="9" t="s">
        <v>9</v>
      </c>
      <c r="C958" s="9">
        <v>1918</v>
      </c>
      <c r="D958" s="10">
        <v>45663</v>
      </c>
      <c r="E958" s="13" t="str">
        <f>+HYPERLINK("http://trademark.i-assist.jp/data/china/image_1918th/81354291.pdf","81354291")</f>
        <v>81354291</v>
      </c>
      <c r="F958" s="9" t="s">
        <v>2665</v>
      </c>
      <c r="G958" s="9" t="s">
        <v>2666</v>
      </c>
      <c r="H958" s="9" t="s">
        <v>2667</v>
      </c>
      <c r="I958" s="10">
        <v>45577</v>
      </c>
    </row>
    <row r="959" spans="1:9" x14ac:dyDescent="0.15">
      <c r="A959" s="9">
        <v>958</v>
      </c>
      <c r="B959" s="9" t="s">
        <v>9</v>
      </c>
      <c r="C959" s="9">
        <v>1918</v>
      </c>
      <c r="D959" s="10">
        <v>45663</v>
      </c>
      <c r="E959" s="13" t="str">
        <f>+HYPERLINK("http://trademark.i-assist.jp/data/china/image_1918th/81354666.pdf","81354666")</f>
        <v>81354666</v>
      </c>
      <c r="F959" s="9" t="s">
        <v>2668</v>
      </c>
      <c r="G959" s="9" t="s">
        <v>2419</v>
      </c>
      <c r="H959" s="12" t="s">
        <v>2669</v>
      </c>
      <c r="I959" s="10">
        <v>45577</v>
      </c>
    </row>
    <row r="960" spans="1:9" x14ac:dyDescent="0.15">
      <c r="A960" s="9">
        <v>959</v>
      </c>
      <c r="B960" s="9" t="s">
        <v>9</v>
      </c>
      <c r="C960" s="9">
        <v>1918</v>
      </c>
      <c r="D960" s="10">
        <v>45663</v>
      </c>
      <c r="E960" s="13" t="str">
        <f>+HYPERLINK("http://trademark.i-assist.jp/data/china/image_1918th/81354853.pdf","81354853")</f>
        <v>81354853</v>
      </c>
      <c r="F960" s="12" t="s">
        <v>2670</v>
      </c>
      <c r="G960" s="9" t="s">
        <v>2671</v>
      </c>
      <c r="H960" s="9" t="s">
        <v>2672</v>
      </c>
      <c r="I960" s="10">
        <v>45577</v>
      </c>
    </row>
    <row r="961" spans="1:9" x14ac:dyDescent="0.15">
      <c r="A961" s="9">
        <v>960</v>
      </c>
      <c r="B961" s="9" t="s">
        <v>9</v>
      </c>
      <c r="C961" s="9">
        <v>1918</v>
      </c>
      <c r="D961" s="10">
        <v>45663</v>
      </c>
      <c r="E961" s="13" t="str">
        <f>+HYPERLINK("http://trademark.i-assist.jp/data/china/image_1918th/81354984.pdf","81354984")</f>
        <v>81354984</v>
      </c>
      <c r="F961" s="9" t="s">
        <v>2673</v>
      </c>
      <c r="G961" s="12" t="s">
        <v>2674</v>
      </c>
      <c r="H961" s="9" t="s">
        <v>2675</v>
      </c>
      <c r="I961" s="10">
        <v>45577</v>
      </c>
    </row>
    <row r="962" spans="1:9" x14ac:dyDescent="0.15">
      <c r="A962" s="9">
        <v>961</v>
      </c>
      <c r="B962" s="9" t="s">
        <v>9</v>
      </c>
      <c r="C962" s="9">
        <v>1918</v>
      </c>
      <c r="D962" s="10">
        <v>45663</v>
      </c>
      <c r="E962" s="13" t="str">
        <f>+HYPERLINK("http://trademark.i-assist.jp/data/china/image_1918th/81355248.pdf","81355248")</f>
        <v>81355248</v>
      </c>
      <c r="F962" s="12" t="s">
        <v>2676</v>
      </c>
      <c r="G962" s="9" t="s">
        <v>2677</v>
      </c>
      <c r="H962" s="9" t="s">
        <v>2678</v>
      </c>
      <c r="I962" s="10">
        <v>45578</v>
      </c>
    </row>
    <row r="963" spans="1:9" x14ac:dyDescent="0.15">
      <c r="A963" s="9">
        <v>962</v>
      </c>
      <c r="B963" s="9" t="s">
        <v>9</v>
      </c>
      <c r="C963" s="9">
        <v>1918</v>
      </c>
      <c r="D963" s="10">
        <v>45663</v>
      </c>
      <c r="E963" s="13" t="str">
        <f>+HYPERLINK("http://trademark.i-assist.jp/data/china/image_1918th/81355364.pdf","81355364")</f>
        <v>81355364</v>
      </c>
      <c r="F963" s="12" t="s">
        <v>2679</v>
      </c>
      <c r="G963" s="12" t="s">
        <v>2680</v>
      </c>
      <c r="H963" s="9" t="s">
        <v>2681</v>
      </c>
      <c r="I963" s="10">
        <v>45578</v>
      </c>
    </row>
    <row r="964" spans="1:9" x14ac:dyDescent="0.15">
      <c r="A964" s="9">
        <v>963</v>
      </c>
      <c r="B964" s="9" t="s">
        <v>9</v>
      </c>
      <c r="C964" s="9">
        <v>1918</v>
      </c>
      <c r="D964" s="10">
        <v>45663</v>
      </c>
      <c r="E964" s="13" t="str">
        <f>+HYPERLINK("http://trademark.i-assist.jp/data/china/image_1918th/81355779.pdf","81355779")</f>
        <v>81355779</v>
      </c>
      <c r="F964" s="9" t="s">
        <v>2682</v>
      </c>
      <c r="G964" s="9" t="s">
        <v>2683</v>
      </c>
      <c r="H964" s="9" t="s">
        <v>2684</v>
      </c>
      <c r="I964" s="10">
        <v>45578</v>
      </c>
    </row>
    <row r="965" spans="1:9" x14ac:dyDescent="0.15">
      <c r="A965" s="9">
        <v>964</v>
      </c>
      <c r="B965" s="9" t="s">
        <v>9</v>
      </c>
      <c r="C965" s="9">
        <v>1918</v>
      </c>
      <c r="D965" s="10">
        <v>45663</v>
      </c>
      <c r="E965" s="13" t="str">
        <f>+HYPERLINK("http://trademark.i-assist.jp/data/china/image_1918th/81355821.pdf","81355821")</f>
        <v>81355821</v>
      </c>
      <c r="F965" s="9" t="s">
        <v>2685</v>
      </c>
      <c r="G965" s="9" t="s">
        <v>2686</v>
      </c>
      <c r="H965" s="9" t="s">
        <v>2687</v>
      </c>
      <c r="I965" s="10">
        <v>45578</v>
      </c>
    </row>
    <row r="966" spans="1:9" x14ac:dyDescent="0.15">
      <c r="A966" s="9">
        <v>965</v>
      </c>
      <c r="B966" s="9" t="s">
        <v>9</v>
      </c>
      <c r="C966" s="9">
        <v>1918</v>
      </c>
      <c r="D966" s="10">
        <v>45663</v>
      </c>
      <c r="E966" s="13" t="str">
        <f>+HYPERLINK("http://trademark.i-assist.jp/data/china/image_1918th/81356053.pdf","81356053")</f>
        <v>81356053</v>
      </c>
      <c r="F966" s="9" t="s">
        <v>2688</v>
      </c>
      <c r="G966" s="9" t="s">
        <v>2677</v>
      </c>
      <c r="H966" s="9" t="s">
        <v>2689</v>
      </c>
      <c r="I966" s="10">
        <v>45578</v>
      </c>
    </row>
    <row r="967" spans="1:9" x14ac:dyDescent="0.15">
      <c r="A967" s="9">
        <v>966</v>
      </c>
      <c r="B967" s="9" t="s">
        <v>9</v>
      </c>
      <c r="C967" s="9">
        <v>1918</v>
      </c>
      <c r="D967" s="10">
        <v>45663</v>
      </c>
      <c r="E967" s="13" t="str">
        <f>+HYPERLINK("http://trademark.i-assist.jp/data/china/image_1918th/81356054.pdf","81356054")</f>
        <v>81356054</v>
      </c>
      <c r="F967" s="9" t="s">
        <v>2690</v>
      </c>
      <c r="G967" s="9" t="s">
        <v>2691</v>
      </c>
      <c r="H967" s="9" t="s">
        <v>2692</v>
      </c>
      <c r="I967" s="10">
        <v>45578</v>
      </c>
    </row>
    <row r="968" spans="1:9" x14ac:dyDescent="0.15">
      <c r="A968" s="9">
        <v>967</v>
      </c>
      <c r="B968" s="9" t="s">
        <v>9</v>
      </c>
      <c r="C968" s="9">
        <v>1918</v>
      </c>
      <c r="D968" s="10">
        <v>45663</v>
      </c>
      <c r="E968" s="13" t="str">
        <f>+HYPERLINK("http://trademark.i-assist.jp/data/china/image_1918th/81356114.pdf","81356114")</f>
        <v>81356114</v>
      </c>
      <c r="F968" s="9" t="s">
        <v>2693</v>
      </c>
      <c r="G968" s="9" t="s">
        <v>2694</v>
      </c>
      <c r="H968" s="9" t="s">
        <v>2695</v>
      </c>
      <c r="I968" s="10">
        <v>45578</v>
      </c>
    </row>
    <row r="969" spans="1:9" x14ac:dyDescent="0.15">
      <c r="A969" s="9">
        <v>968</v>
      </c>
      <c r="B969" s="9" t="s">
        <v>9</v>
      </c>
      <c r="C969" s="9">
        <v>1918</v>
      </c>
      <c r="D969" s="10">
        <v>45663</v>
      </c>
      <c r="E969" s="13" t="str">
        <f>+HYPERLINK("http://trademark.i-assist.jp/data/china/image_1918th/81356134.pdf","81356134")</f>
        <v>81356134</v>
      </c>
      <c r="F969" s="9" t="s">
        <v>2696</v>
      </c>
      <c r="G969" s="9" t="s">
        <v>2697</v>
      </c>
      <c r="H969" s="9" t="s">
        <v>2698</v>
      </c>
      <c r="I969" s="10">
        <v>45578</v>
      </c>
    </row>
    <row r="970" spans="1:9" x14ac:dyDescent="0.15">
      <c r="A970" s="9">
        <v>969</v>
      </c>
      <c r="B970" s="9" t="s">
        <v>9</v>
      </c>
      <c r="C970" s="9">
        <v>1918</v>
      </c>
      <c r="D970" s="10">
        <v>45663</v>
      </c>
      <c r="E970" s="13" t="str">
        <f>+HYPERLINK("http://trademark.i-assist.jp/data/china/image_1918th/81356294.pdf","81356294")</f>
        <v>81356294</v>
      </c>
      <c r="F970" s="12" t="s">
        <v>12</v>
      </c>
      <c r="G970" s="9" t="s">
        <v>2699</v>
      </c>
      <c r="H970" s="9" t="s">
        <v>2700</v>
      </c>
      <c r="I970" s="10">
        <v>45578</v>
      </c>
    </row>
    <row r="971" spans="1:9" x14ac:dyDescent="0.15">
      <c r="A971" s="9">
        <v>970</v>
      </c>
      <c r="B971" s="9" t="s">
        <v>9</v>
      </c>
      <c r="C971" s="9">
        <v>1918</v>
      </c>
      <c r="D971" s="10">
        <v>45663</v>
      </c>
      <c r="E971" s="13" t="str">
        <f>+HYPERLINK("http://trademark.i-assist.jp/data/china/image_1918th/81356421.pdf","81356421")</f>
        <v>81356421</v>
      </c>
      <c r="F971" s="9" t="s">
        <v>2701</v>
      </c>
      <c r="G971" s="12" t="s">
        <v>2702</v>
      </c>
      <c r="H971" s="9" t="s">
        <v>2703</v>
      </c>
      <c r="I971" s="10">
        <v>45578</v>
      </c>
    </row>
    <row r="972" spans="1:9" x14ac:dyDescent="0.15">
      <c r="A972" s="9">
        <v>971</v>
      </c>
      <c r="B972" s="9" t="s">
        <v>9</v>
      </c>
      <c r="C972" s="9">
        <v>1918</v>
      </c>
      <c r="D972" s="10">
        <v>45663</v>
      </c>
      <c r="E972" s="13" t="str">
        <f>+HYPERLINK("http://trademark.i-assist.jp/data/china/image_1918th/81356810.pdf","81356810")</f>
        <v>81356810</v>
      </c>
      <c r="F972" s="9" t="s">
        <v>2704</v>
      </c>
      <c r="G972" s="9" t="s">
        <v>2705</v>
      </c>
      <c r="H972" s="9" t="s">
        <v>2706</v>
      </c>
      <c r="I972" s="10">
        <v>45578</v>
      </c>
    </row>
    <row r="973" spans="1:9" x14ac:dyDescent="0.15">
      <c r="A973" s="9">
        <v>972</v>
      </c>
      <c r="B973" s="9" t="s">
        <v>9</v>
      </c>
      <c r="C973" s="9">
        <v>1918</v>
      </c>
      <c r="D973" s="10">
        <v>45663</v>
      </c>
      <c r="E973" s="13" t="str">
        <f>+HYPERLINK("http://trademark.i-assist.jp/data/china/image_1918th/81357123.pdf","81357123")</f>
        <v>81357123</v>
      </c>
      <c r="F973" s="9" t="s">
        <v>2707</v>
      </c>
      <c r="G973" s="12" t="s">
        <v>2708</v>
      </c>
      <c r="H973" s="9" t="s">
        <v>2709</v>
      </c>
      <c r="I973" s="10">
        <v>45578</v>
      </c>
    </row>
    <row r="974" spans="1:9" x14ac:dyDescent="0.15">
      <c r="A974" s="9">
        <v>973</v>
      </c>
      <c r="B974" s="9" t="s">
        <v>9</v>
      </c>
      <c r="C974" s="9">
        <v>1918</v>
      </c>
      <c r="D974" s="10">
        <v>45663</v>
      </c>
      <c r="E974" s="13" t="str">
        <f>+HYPERLINK("http://trademark.i-assist.jp/data/china/image_1918th/81357231.pdf","81357231")</f>
        <v>81357231</v>
      </c>
      <c r="F974" s="9" t="s">
        <v>2710</v>
      </c>
      <c r="G974" s="9" t="s">
        <v>2697</v>
      </c>
      <c r="H974" s="9" t="s">
        <v>2711</v>
      </c>
      <c r="I974" s="10">
        <v>45578</v>
      </c>
    </row>
    <row r="975" spans="1:9" x14ac:dyDescent="0.15">
      <c r="A975" s="9">
        <v>974</v>
      </c>
      <c r="B975" s="9" t="s">
        <v>9</v>
      </c>
      <c r="C975" s="9">
        <v>1918</v>
      </c>
      <c r="D975" s="10">
        <v>45663</v>
      </c>
      <c r="E975" s="13" t="str">
        <f>+HYPERLINK("http://trademark.i-assist.jp/data/china/image_1918th/81357599.pdf","81357599")</f>
        <v>81357599</v>
      </c>
      <c r="F975" s="12" t="s">
        <v>2712</v>
      </c>
      <c r="G975" s="12" t="s">
        <v>2713</v>
      </c>
      <c r="H975" s="9" t="s">
        <v>2714</v>
      </c>
      <c r="I975" s="10">
        <v>45578</v>
      </c>
    </row>
    <row r="976" spans="1:9" x14ac:dyDescent="0.15">
      <c r="A976" s="9">
        <v>975</v>
      </c>
      <c r="B976" s="9" t="s">
        <v>9</v>
      </c>
      <c r="C976" s="9">
        <v>1918</v>
      </c>
      <c r="D976" s="10">
        <v>45663</v>
      </c>
      <c r="E976" s="13" t="str">
        <f>+HYPERLINK("http://trademark.i-assist.jp/data/china/image_1918th/81358061.pdf","81358061")</f>
        <v>81358061</v>
      </c>
      <c r="F976" s="12" t="s">
        <v>2715</v>
      </c>
      <c r="G976" s="12" t="s">
        <v>2713</v>
      </c>
      <c r="H976" s="9" t="s">
        <v>2716</v>
      </c>
      <c r="I976" s="10">
        <v>45578</v>
      </c>
    </row>
    <row r="977" spans="1:9" x14ac:dyDescent="0.15">
      <c r="A977" s="9">
        <v>976</v>
      </c>
      <c r="B977" s="9" t="s">
        <v>9</v>
      </c>
      <c r="C977" s="9">
        <v>1918</v>
      </c>
      <c r="D977" s="10">
        <v>45663</v>
      </c>
      <c r="E977" s="13" t="str">
        <f>+HYPERLINK("http://trademark.i-assist.jp/data/china/image_1918th/81358291.pdf","81358291")</f>
        <v>81358291</v>
      </c>
      <c r="F977" s="12" t="s">
        <v>12</v>
      </c>
      <c r="G977" s="9" t="s">
        <v>2699</v>
      </c>
      <c r="H977" s="9" t="s">
        <v>2717</v>
      </c>
      <c r="I977" s="10">
        <v>45578</v>
      </c>
    </row>
    <row r="978" spans="1:9" x14ac:dyDescent="0.15">
      <c r="A978" s="9">
        <v>977</v>
      </c>
      <c r="B978" s="9" t="s">
        <v>9</v>
      </c>
      <c r="C978" s="9">
        <v>1918</v>
      </c>
      <c r="D978" s="10">
        <v>45663</v>
      </c>
      <c r="E978" s="13" t="str">
        <f>+HYPERLINK("http://trademark.i-assist.jp/data/china/image_1918th/81358811.pdf","81358811")</f>
        <v>81358811</v>
      </c>
      <c r="F978" s="9" t="s">
        <v>2718</v>
      </c>
      <c r="G978" s="9" t="s">
        <v>2719</v>
      </c>
      <c r="H978" s="9" t="s">
        <v>2720</v>
      </c>
      <c r="I978" s="10">
        <v>45579</v>
      </c>
    </row>
    <row r="979" spans="1:9" x14ac:dyDescent="0.15">
      <c r="A979" s="9">
        <v>978</v>
      </c>
      <c r="B979" s="9" t="s">
        <v>9</v>
      </c>
      <c r="C979" s="9">
        <v>1918</v>
      </c>
      <c r="D979" s="10">
        <v>45663</v>
      </c>
      <c r="E979" s="13" t="str">
        <f>+HYPERLINK("http://trademark.i-assist.jp/data/china/image_1918th/81358816.pdf","81358816")</f>
        <v>81358816</v>
      </c>
      <c r="F979" s="9" t="s">
        <v>2721</v>
      </c>
      <c r="G979" s="9" t="s">
        <v>2722</v>
      </c>
      <c r="H979" s="9" t="s">
        <v>2723</v>
      </c>
      <c r="I979" s="10">
        <v>45579</v>
      </c>
    </row>
    <row r="980" spans="1:9" x14ac:dyDescent="0.15">
      <c r="A980" s="9">
        <v>979</v>
      </c>
      <c r="B980" s="9" t="s">
        <v>9</v>
      </c>
      <c r="C980" s="9">
        <v>1918</v>
      </c>
      <c r="D980" s="10">
        <v>45663</v>
      </c>
      <c r="E980" s="13" t="str">
        <f>+HYPERLINK("http://trademark.i-assist.jp/data/china/image_1918th/81359427.pdf","81359427")</f>
        <v>81359427</v>
      </c>
      <c r="F980" s="12" t="s">
        <v>2724</v>
      </c>
      <c r="G980" s="9" t="s">
        <v>2725</v>
      </c>
      <c r="H980" s="12" t="s">
        <v>2726</v>
      </c>
      <c r="I980" s="10">
        <v>45579</v>
      </c>
    </row>
    <row r="981" spans="1:9" x14ac:dyDescent="0.15">
      <c r="A981" s="9">
        <v>980</v>
      </c>
      <c r="B981" s="9" t="s">
        <v>9</v>
      </c>
      <c r="C981" s="9">
        <v>1918</v>
      </c>
      <c r="D981" s="10">
        <v>45663</v>
      </c>
      <c r="E981" s="13" t="str">
        <f>+HYPERLINK("http://trademark.i-assist.jp/data/china/image_1918th/81359688.pdf","81359688")</f>
        <v>81359688</v>
      </c>
      <c r="F981" s="12" t="s">
        <v>12</v>
      </c>
      <c r="G981" s="9" t="s">
        <v>2727</v>
      </c>
      <c r="H981" s="9" t="s">
        <v>2728</v>
      </c>
      <c r="I981" s="10">
        <v>45579</v>
      </c>
    </row>
    <row r="982" spans="1:9" x14ac:dyDescent="0.15">
      <c r="A982" s="9">
        <v>981</v>
      </c>
      <c r="B982" s="9" t="s">
        <v>9</v>
      </c>
      <c r="C982" s="9">
        <v>1918</v>
      </c>
      <c r="D982" s="10">
        <v>45663</v>
      </c>
      <c r="E982" s="13" t="str">
        <f>+HYPERLINK("http://trademark.i-assist.jp/data/china/image_1918th/81359693.pdf","81359693")</f>
        <v>81359693</v>
      </c>
      <c r="F982" s="9" t="s">
        <v>2729</v>
      </c>
      <c r="G982" s="12" t="s">
        <v>2730</v>
      </c>
      <c r="H982" s="9" t="s">
        <v>2731</v>
      </c>
      <c r="I982" s="10">
        <v>45579</v>
      </c>
    </row>
    <row r="983" spans="1:9" x14ac:dyDescent="0.15">
      <c r="A983" s="9">
        <v>982</v>
      </c>
      <c r="B983" s="9" t="s">
        <v>9</v>
      </c>
      <c r="C983" s="9">
        <v>1918</v>
      </c>
      <c r="D983" s="10">
        <v>45663</v>
      </c>
      <c r="E983" s="13" t="str">
        <f>+HYPERLINK("http://trademark.i-assist.jp/data/china/image_1918th/81359733.pdf","81359733")</f>
        <v>81359733</v>
      </c>
      <c r="F983" s="9" t="s">
        <v>2732</v>
      </c>
      <c r="G983" s="9" t="s">
        <v>2733</v>
      </c>
      <c r="H983" s="9" t="s">
        <v>2734</v>
      </c>
      <c r="I983" s="10">
        <v>45579</v>
      </c>
    </row>
    <row r="984" spans="1:9" x14ac:dyDescent="0.15">
      <c r="A984" s="9">
        <v>983</v>
      </c>
      <c r="B984" s="9" t="s">
        <v>9</v>
      </c>
      <c r="C984" s="9">
        <v>1918</v>
      </c>
      <c r="D984" s="10">
        <v>45663</v>
      </c>
      <c r="E984" s="13" t="str">
        <f>+HYPERLINK("http://trademark.i-assist.jp/data/china/image_1918th/81359802.pdf","81359802")</f>
        <v>81359802</v>
      </c>
      <c r="F984" s="12" t="s">
        <v>2735</v>
      </c>
      <c r="G984" s="9" t="s">
        <v>2736</v>
      </c>
      <c r="H984" s="9" t="s">
        <v>2737</v>
      </c>
      <c r="I984" s="10">
        <v>45579</v>
      </c>
    </row>
    <row r="985" spans="1:9" x14ac:dyDescent="0.15">
      <c r="A985" s="9">
        <v>984</v>
      </c>
      <c r="B985" s="9" t="s">
        <v>9</v>
      </c>
      <c r="C985" s="9">
        <v>1918</v>
      </c>
      <c r="D985" s="10">
        <v>45663</v>
      </c>
      <c r="E985" s="13" t="str">
        <f>+HYPERLINK("http://trademark.i-assist.jp/data/china/image_1918th/81360047.pdf","81360047")</f>
        <v>81360047</v>
      </c>
      <c r="F985" s="12" t="s">
        <v>12</v>
      </c>
      <c r="G985" s="9" t="s">
        <v>2738</v>
      </c>
      <c r="H985" s="9" t="s">
        <v>2739</v>
      </c>
      <c r="I985" s="10">
        <v>45579</v>
      </c>
    </row>
    <row r="986" spans="1:9" x14ac:dyDescent="0.15">
      <c r="A986" s="9">
        <v>985</v>
      </c>
      <c r="B986" s="9" t="s">
        <v>9</v>
      </c>
      <c r="C986" s="9">
        <v>1918</v>
      </c>
      <c r="D986" s="10">
        <v>45663</v>
      </c>
      <c r="E986" s="13" t="str">
        <f>+HYPERLINK("http://trademark.i-assist.jp/data/china/image_1918th/81360309.pdf","81360309")</f>
        <v>81360309</v>
      </c>
      <c r="F986" s="9" t="s">
        <v>2740</v>
      </c>
      <c r="G986" s="9" t="s">
        <v>2741</v>
      </c>
      <c r="H986" s="9" t="s">
        <v>2742</v>
      </c>
      <c r="I986" s="10">
        <v>45579</v>
      </c>
    </row>
    <row r="987" spans="1:9" x14ac:dyDescent="0.15">
      <c r="A987" s="9">
        <v>986</v>
      </c>
      <c r="B987" s="9" t="s">
        <v>9</v>
      </c>
      <c r="C987" s="9">
        <v>1918</v>
      </c>
      <c r="D987" s="10">
        <v>45663</v>
      </c>
      <c r="E987" s="13" t="str">
        <f>+HYPERLINK("http://trademark.i-assist.jp/data/china/image_1918th/81360742.pdf","81360742")</f>
        <v>81360742</v>
      </c>
      <c r="F987" s="9" t="s">
        <v>2743</v>
      </c>
      <c r="G987" s="9" t="s">
        <v>2744</v>
      </c>
      <c r="H987" s="9" t="s">
        <v>2745</v>
      </c>
      <c r="I987" s="10">
        <v>45579</v>
      </c>
    </row>
    <row r="988" spans="1:9" x14ac:dyDescent="0.15">
      <c r="A988" s="9">
        <v>987</v>
      </c>
      <c r="B988" s="9" t="s">
        <v>9</v>
      </c>
      <c r="C988" s="9">
        <v>1918</v>
      </c>
      <c r="D988" s="10">
        <v>45663</v>
      </c>
      <c r="E988" s="13" t="str">
        <f>+HYPERLINK("http://trademark.i-assist.jp/data/china/image_1918th/81360916.pdf","81360916")</f>
        <v>81360916</v>
      </c>
      <c r="F988" s="9" t="s">
        <v>2746</v>
      </c>
      <c r="G988" s="9" t="s">
        <v>2747</v>
      </c>
      <c r="H988" s="9" t="s">
        <v>2748</v>
      </c>
      <c r="I988" s="10">
        <v>45579</v>
      </c>
    </row>
    <row r="989" spans="1:9" x14ac:dyDescent="0.15">
      <c r="A989" s="9">
        <v>988</v>
      </c>
      <c r="B989" s="9" t="s">
        <v>9</v>
      </c>
      <c r="C989" s="9">
        <v>1918</v>
      </c>
      <c r="D989" s="10">
        <v>45663</v>
      </c>
      <c r="E989" s="13" t="str">
        <f>+HYPERLINK("http://trademark.i-assist.jp/data/china/image_1918th/81361021.pdf","81361021")</f>
        <v>81361021</v>
      </c>
      <c r="F989" s="12" t="s">
        <v>2749</v>
      </c>
      <c r="G989" s="9" t="s">
        <v>2750</v>
      </c>
      <c r="H989" s="9" t="s">
        <v>2751</v>
      </c>
      <c r="I989" s="10">
        <v>45579</v>
      </c>
    </row>
    <row r="990" spans="1:9" x14ac:dyDescent="0.15">
      <c r="A990" s="9">
        <v>989</v>
      </c>
      <c r="B990" s="9" t="s">
        <v>9</v>
      </c>
      <c r="C990" s="9">
        <v>1918</v>
      </c>
      <c r="D990" s="10">
        <v>45663</v>
      </c>
      <c r="E990" s="13" t="str">
        <f>+HYPERLINK("http://trademark.i-assist.jp/data/china/image_1918th/81361110.pdf","81361110")</f>
        <v>81361110</v>
      </c>
      <c r="F990" s="9" t="s">
        <v>2752</v>
      </c>
      <c r="G990" s="9" t="s">
        <v>2753</v>
      </c>
      <c r="H990" s="9" t="s">
        <v>2754</v>
      </c>
      <c r="I990" s="10">
        <v>45579</v>
      </c>
    </row>
    <row r="991" spans="1:9" x14ac:dyDescent="0.15">
      <c r="A991" s="9">
        <v>990</v>
      </c>
      <c r="B991" s="9" t="s">
        <v>9</v>
      </c>
      <c r="C991" s="9">
        <v>1918</v>
      </c>
      <c r="D991" s="10">
        <v>45663</v>
      </c>
      <c r="E991" s="13" t="str">
        <f>+HYPERLINK("http://trademark.i-assist.jp/data/china/image_1918th/81361662.pdf","81361662")</f>
        <v>81361662</v>
      </c>
      <c r="F991" s="9" t="s">
        <v>2755</v>
      </c>
      <c r="G991" s="9" t="s">
        <v>2744</v>
      </c>
      <c r="H991" s="9" t="s">
        <v>2756</v>
      </c>
      <c r="I991" s="10">
        <v>45579</v>
      </c>
    </row>
    <row r="992" spans="1:9" x14ac:dyDescent="0.15">
      <c r="A992" s="9">
        <v>991</v>
      </c>
      <c r="B992" s="9" t="s">
        <v>9</v>
      </c>
      <c r="C992" s="9">
        <v>1918</v>
      </c>
      <c r="D992" s="10">
        <v>45663</v>
      </c>
      <c r="E992" s="13" t="str">
        <f>+HYPERLINK("http://trademark.i-assist.jp/data/china/image_1918th/81361706.pdf","81361706")</f>
        <v>81361706</v>
      </c>
      <c r="F992" s="9" t="s">
        <v>2757</v>
      </c>
      <c r="G992" s="12" t="s">
        <v>2758</v>
      </c>
      <c r="H992" s="9" t="s">
        <v>2759</v>
      </c>
      <c r="I992" s="10">
        <v>45579</v>
      </c>
    </row>
    <row r="993" spans="1:9" x14ac:dyDescent="0.15">
      <c r="A993" s="9">
        <v>992</v>
      </c>
      <c r="B993" s="9" t="s">
        <v>9</v>
      </c>
      <c r="C993" s="9">
        <v>1918</v>
      </c>
      <c r="D993" s="10">
        <v>45663</v>
      </c>
      <c r="E993" s="13" t="str">
        <f>+HYPERLINK("http://trademark.i-assist.jp/data/china/image_1918th/81361897.pdf","81361897")</f>
        <v>81361897</v>
      </c>
      <c r="F993" s="12" t="s">
        <v>2760</v>
      </c>
      <c r="G993" s="9" t="s">
        <v>2761</v>
      </c>
      <c r="H993" s="9" t="s">
        <v>2762</v>
      </c>
      <c r="I993" s="10">
        <v>45579</v>
      </c>
    </row>
    <row r="994" spans="1:9" x14ac:dyDescent="0.15">
      <c r="A994" s="9">
        <v>993</v>
      </c>
      <c r="B994" s="9" t="s">
        <v>9</v>
      </c>
      <c r="C994" s="9">
        <v>1918</v>
      </c>
      <c r="D994" s="10">
        <v>45663</v>
      </c>
      <c r="E994" s="13" t="str">
        <f>+HYPERLINK("http://trademark.i-assist.jp/data/china/image_1918th/81362031.pdf","81362031")</f>
        <v>81362031</v>
      </c>
      <c r="F994" s="9" t="s">
        <v>2763</v>
      </c>
      <c r="G994" s="9" t="s">
        <v>2764</v>
      </c>
      <c r="H994" s="9" t="s">
        <v>2765</v>
      </c>
      <c r="I994" s="10">
        <v>45579</v>
      </c>
    </row>
    <row r="995" spans="1:9" x14ac:dyDescent="0.15">
      <c r="A995" s="9">
        <v>994</v>
      </c>
      <c r="B995" s="9" t="s">
        <v>9</v>
      </c>
      <c r="C995" s="9">
        <v>1918</v>
      </c>
      <c r="D995" s="10">
        <v>45663</v>
      </c>
      <c r="E995" s="13" t="str">
        <f>+HYPERLINK("http://trademark.i-assist.jp/data/china/image_1918th/81362105.pdf","81362105")</f>
        <v>81362105</v>
      </c>
      <c r="F995" s="9" t="s">
        <v>2766</v>
      </c>
      <c r="G995" s="12" t="s">
        <v>2767</v>
      </c>
      <c r="H995" s="9" t="s">
        <v>2768</v>
      </c>
      <c r="I995" s="10">
        <v>45579</v>
      </c>
    </row>
    <row r="996" spans="1:9" x14ac:dyDescent="0.15">
      <c r="A996" s="9">
        <v>995</v>
      </c>
      <c r="B996" s="9" t="s">
        <v>9</v>
      </c>
      <c r="C996" s="9">
        <v>1918</v>
      </c>
      <c r="D996" s="10">
        <v>45663</v>
      </c>
      <c r="E996" s="13" t="str">
        <f>+HYPERLINK("http://trademark.i-assist.jp/data/china/image_1918th/81362227.pdf","81362227")</f>
        <v>81362227</v>
      </c>
      <c r="F996" s="9" t="s">
        <v>2769</v>
      </c>
      <c r="G996" s="9" t="s">
        <v>2770</v>
      </c>
      <c r="H996" s="9" t="s">
        <v>2771</v>
      </c>
      <c r="I996" s="10">
        <v>45579</v>
      </c>
    </row>
    <row r="997" spans="1:9" x14ac:dyDescent="0.15">
      <c r="A997" s="9">
        <v>996</v>
      </c>
      <c r="B997" s="9" t="s">
        <v>9</v>
      </c>
      <c r="C997" s="9">
        <v>1918</v>
      </c>
      <c r="D997" s="10">
        <v>45663</v>
      </c>
      <c r="E997" s="13" t="str">
        <f>+HYPERLINK("http://trademark.i-assist.jp/data/china/image_1918th/81362428.pdf","81362428")</f>
        <v>81362428</v>
      </c>
      <c r="F997" s="9" t="s">
        <v>2772</v>
      </c>
      <c r="G997" s="9" t="s">
        <v>2773</v>
      </c>
      <c r="H997" s="9" t="s">
        <v>2774</v>
      </c>
      <c r="I997" s="10">
        <v>45579</v>
      </c>
    </row>
    <row r="998" spans="1:9" x14ac:dyDescent="0.15">
      <c r="A998" s="9">
        <v>997</v>
      </c>
      <c r="B998" s="9" t="s">
        <v>9</v>
      </c>
      <c r="C998" s="9">
        <v>1918</v>
      </c>
      <c r="D998" s="10">
        <v>45663</v>
      </c>
      <c r="E998" s="13" t="str">
        <f>+HYPERLINK("http://trademark.i-assist.jp/data/china/image_1918th/81363198.pdf","81363198")</f>
        <v>81363198</v>
      </c>
      <c r="F998" s="9" t="s">
        <v>2775</v>
      </c>
      <c r="G998" s="12" t="s">
        <v>2776</v>
      </c>
      <c r="H998" s="9" t="s">
        <v>2777</v>
      </c>
      <c r="I998" s="10">
        <v>45579</v>
      </c>
    </row>
    <row r="999" spans="1:9" x14ac:dyDescent="0.15">
      <c r="A999" s="9">
        <v>998</v>
      </c>
      <c r="B999" s="9" t="s">
        <v>9</v>
      </c>
      <c r="C999" s="9">
        <v>1918</v>
      </c>
      <c r="D999" s="10">
        <v>45663</v>
      </c>
      <c r="E999" s="13" t="str">
        <f>+HYPERLINK("http://trademark.i-assist.jp/data/china/image_1918th/81363781.pdf","81363781")</f>
        <v>81363781</v>
      </c>
      <c r="F999" s="12" t="s">
        <v>2778</v>
      </c>
      <c r="G999" s="9" t="s">
        <v>2761</v>
      </c>
      <c r="H999" s="9" t="s">
        <v>2779</v>
      </c>
      <c r="I999" s="10">
        <v>45579</v>
      </c>
    </row>
    <row r="1000" spans="1:9" x14ac:dyDescent="0.15">
      <c r="A1000" s="9">
        <v>999</v>
      </c>
      <c r="B1000" s="9" t="s">
        <v>9</v>
      </c>
      <c r="C1000" s="9">
        <v>1918</v>
      </c>
      <c r="D1000" s="10">
        <v>45663</v>
      </c>
      <c r="E1000" s="13" t="str">
        <f>+HYPERLINK("http://trademark.i-assist.jp/data/china/image_1918th/81363826.pdf","81363826")</f>
        <v>81363826</v>
      </c>
      <c r="F1000" s="12" t="s">
        <v>2780</v>
      </c>
      <c r="G1000" s="9" t="s">
        <v>71</v>
      </c>
      <c r="H1000" s="9" t="s">
        <v>2781</v>
      </c>
      <c r="I1000" s="10">
        <v>45579</v>
      </c>
    </row>
    <row r="1001" spans="1:9" x14ac:dyDescent="0.15">
      <c r="A1001" s="9">
        <v>1000</v>
      </c>
      <c r="B1001" s="9" t="s">
        <v>9</v>
      </c>
      <c r="C1001" s="9">
        <v>1918</v>
      </c>
      <c r="D1001" s="10">
        <v>45663</v>
      </c>
      <c r="E1001" s="13" t="str">
        <f>+HYPERLINK("http://trademark.i-assist.jp/data/china/image_1918th/81363941.pdf","81363941")</f>
        <v>81363941</v>
      </c>
      <c r="F1001" s="9" t="s">
        <v>2782</v>
      </c>
      <c r="G1001" s="9" t="s">
        <v>2783</v>
      </c>
      <c r="H1001" s="9" t="s">
        <v>2784</v>
      </c>
      <c r="I1001" s="10">
        <v>45579</v>
      </c>
    </row>
    <row r="1002" spans="1:9" x14ac:dyDescent="0.15">
      <c r="A1002" s="9">
        <v>1001</v>
      </c>
      <c r="B1002" s="9" t="s">
        <v>9</v>
      </c>
      <c r="C1002" s="9">
        <v>1918</v>
      </c>
      <c r="D1002" s="10">
        <v>45663</v>
      </c>
      <c r="E1002" s="13" t="str">
        <f>+HYPERLINK("http://trademark.i-assist.jp/data/china/image_1918th/81363959.pdf","81363959")</f>
        <v>81363959</v>
      </c>
      <c r="F1002" s="12" t="s">
        <v>2785</v>
      </c>
      <c r="G1002" s="12" t="s">
        <v>2767</v>
      </c>
      <c r="H1002" s="12" t="s">
        <v>2786</v>
      </c>
      <c r="I1002" s="10">
        <v>45579</v>
      </c>
    </row>
    <row r="1003" spans="1:9" x14ac:dyDescent="0.15">
      <c r="A1003" s="9">
        <v>1002</v>
      </c>
      <c r="B1003" s="9" t="s">
        <v>9</v>
      </c>
      <c r="C1003" s="9">
        <v>1918</v>
      </c>
      <c r="D1003" s="10">
        <v>45663</v>
      </c>
      <c r="E1003" s="13" t="str">
        <f>+HYPERLINK("http://trademark.i-assist.jp/data/china/image_1918th/81364208.pdf","81364208")</f>
        <v>81364208</v>
      </c>
      <c r="F1003" s="12" t="s">
        <v>2787</v>
      </c>
      <c r="G1003" s="9" t="s">
        <v>2788</v>
      </c>
      <c r="H1003" s="9" t="s">
        <v>2789</v>
      </c>
      <c r="I1003" s="10">
        <v>45579</v>
      </c>
    </row>
    <row r="1004" spans="1:9" x14ac:dyDescent="0.15">
      <c r="A1004" s="9">
        <v>1003</v>
      </c>
      <c r="B1004" s="9" t="s">
        <v>9</v>
      </c>
      <c r="C1004" s="9">
        <v>1918</v>
      </c>
      <c r="D1004" s="10">
        <v>45663</v>
      </c>
      <c r="E1004" s="13" t="str">
        <f>+HYPERLINK("http://trademark.i-assist.jp/data/china/image_1918th/81364381.pdf","81364381")</f>
        <v>81364381</v>
      </c>
      <c r="F1004" s="9" t="s">
        <v>2790</v>
      </c>
      <c r="G1004" s="9" t="s">
        <v>2719</v>
      </c>
      <c r="H1004" s="9" t="s">
        <v>2791</v>
      </c>
      <c r="I1004" s="10">
        <v>45579</v>
      </c>
    </row>
    <row r="1005" spans="1:9" x14ac:dyDescent="0.15">
      <c r="A1005" s="9">
        <v>1004</v>
      </c>
      <c r="B1005" s="9" t="s">
        <v>9</v>
      </c>
      <c r="C1005" s="9">
        <v>1918</v>
      </c>
      <c r="D1005" s="10">
        <v>45663</v>
      </c>
      <c r="E1005" s="13" t="str">
        <f>+HYPERLINK("http://trademark.i-assist.jp/data/china/image_1918th/81364465.pdf","81364465")</f>
        <v>81364465</v>
      </c>
      <c r="F1005" s="9" t="s">
        <v>2792</v>
      </c>
      <c r="G1005" s="9" t="s">
        <v>2793</v>
      </c>
      <c r="H1005" s="9" t="s">
        <v>2794</v>
      </c>
      <c r="I1005" s="10">
        <v>45579</v>
      </c>
    </row>
    <row r="1006" spans="1:9" x14ac:dyDescent="0.15">
      <c r="A1006" s="9">
        <v>1005</v>
      </c>
      <c r="B1006" s="9" t="s">
        <v>9</v>
      </c>
      <c r="C1006" s="9">
        <v>1918</v>
      </c>
      <c r="D1006" s="10">
        <v>45663</v>
      </c>
      <c r="E1006" s="13" t="str">
        <f>+HYPERLINK("http://trademark.i-assist.jp/data/china/image_1918th/81365745.pdf","81365745")</f>
        <v>81365745</v>
      </c>
      <c r="F1006" s="9" t="s">
        <v>2795</v>
      </c>
      <c r="G1006" s="9" t="s">
        <v>2796</v>
      </c>
      <c r="H1006" s="9" t="s">
        <v>2797</v>
      </c>
      <c r="I1006" s="10">
        <v>45579</v>
      </c>
    </row>
    <row r="1007" spans="1:9" x14ac:dyDescent="0.15">
      <c r="A1007" s="9">
        <v>1006</v>
      </c>
      <c r="B1007" s="9" t="s">
        <v>9</v>
      </c>
      <c r="C1007" s="9">
        <v>1918</v>
      </c>
      <c r="D1007" s="10">
        <v>45663</v>
      </c>
      <c r="E1007" s="13" t="str">
        <f>+HYPERLINK("http://trademark.i-assist.jp/data/china/image_1918th/81365854.pdf","81365854")</f>
        <v>81365854</v>
      </c>
      <c r="F1007" s="9" t="s">
        <v>2798</v>
      </c>
      <c r="G1007" s="12" t="s">
        <v>2799</v>
      </c>
      <c r="H1007" s="12" t="s">
        <v>2800</v>
      </c>
      <c r="I1007" s="10">
        <v>45579</v>
      </c>
    </row>
    <row r="1008" spans="1:9" x14ac:dyDescent="0.15">
      <c r="A1008" s="9">
        <v>1007</v>
      </c>
      <c r="B1008" s="9" t="s">
        <v>9</v>
      </c>
      <c r="C1008" s="9">
        <v>1918</v>
      </c>
      <c r="D1008" s="10">
        <v>45663</v>
      </c>
      <c r="E1008" s="13" t="str">
        <f>+HYPERLINK("http://trademark.i-assist.jp/data/china/image_1918th/81366244.pdf","81366244")</f>
        <v>81366244</v>
      </c>
      <c r="F1008" s="11" t="s">
        <v>2801</v>
      </c>
      <c r="G1008" s="9" t="s">
        <v>2802</v>
      </c>
      <c r="H1008" s="9" t="s">
        <v>2803</v>
      </c>
      <c r="I1008" s="10">
        <v>45579</v>
      </c>
    </row>
    <row r="1009" spans="1:9" x14ac:dyDescent="0.15">
      <c r="A1009" s="9">
        <v>1008</v>
      </c>
      <c r="B1009" s="9" t="s">
        <v>9</v>
      </c>
      <c r="C1009" s="9">
        <v>1918</v>
      </c>
      <c r="D1009" s="10">
        <v>45663</v>
      </c>
      <c r="E1009" s="13" t="str">
        <f>+HYPERLINK("http://trademark.i-assist.jp/data/china/image_1918th/81366768.pdf","81366768")</f>
        <v>81366768</v>
      </c>
      <c r="F1009" s="9" t="s">
        <v>2804</v>
      </c>
      <c r="G1009" s="12" t="s">
        <v>2805</v>
      </c>
      <c r="H1009" s="9" t="s">
        <v>2806</v>
      </c>
      <c r="I1009" s="10">
        <v>45579</v>
      </c>
    </row>
    <row r="1010" spans="1:9" x14ac:dyDescent="0.15">
      <c r="A1010" s="9">
        <v>1009</v>
      </c>
      <c r="B1010" s="9" t="s">
        <v>9</v>
      </c>
      <c r="C1010" s="9">
        <v>1918</v>
      </c>
      <c r="D1010" s="10">
        <v>45663</v>
      </c>
      <c r="E1010" s="13" t="str">
        <f>+HYPERLINK("http://trademark.i-assist.jp/data/china/image_1918th/81367168.pdf","81367168")</f>
        <v>81367168</v>
      </c>
      <c r="F1010" s="9" t="s">
        <v>2807</v>
      </c>
      <c r="G1010" s="9" t="s">
        <v>2773</v>
      </c>
      <c r="H1010" s="9" t="s">
        <v>2808</v>
      </c>
      <c r="I1010" s="10">
        <v>45579</v>
      </c>
    </row>
    <row r="1011" spans="1:9" x14ac:dyDescent="0.15">
      <c r="A1011" s="9">
        <v>1010</v>
      </c>
      <c r="B1011" s="9" t="s">
        <v>9</v>
      </c>
      <c r="C1011" s="9">
        <v>1918</v>
      </c>
      <c r="D1011" s="10">
        <v>45663</v>
      </c>
      <c r="E1011" s="13" t="str">
        <f>+HYPERLINK("http://trademark.i-assist.jp/data/china/image_1918th/81367392.pdf","81367392")</f>
        <v>81367392</v>
      </c>
      <c r="F1011" s="9" t="s">
        <v>2809</v>
      </c>
      <c r="G1011" s="9" t="s">
        <v>2810</v>
      </c>
      <c r="H1011" s="12" t="s">
        <v>2811</v>
      </c>
      <c r="I1011" s="10">
        <v>45579</v>
      </c>
    </row>
    <row r="1012" spans="1:9" x14ac:dyDescent="0.15">
      <c r="A1012" s="9">
        <v>1011</v>
      </c>
      <c r="B1012" s="9" t="s">
        <v>9</v>
      </c>
      <c r="C1012" s="9">
        <v>1918</v>
      </c>
      <c r="D1012" s="10">
        <v>45663</v>
      </c>
      <c r="E1012" s="13" t="str">
        <f>+HYPERLINK("http://trademark.i-assist.jp/data/china/image_1918th/81367548.pdf","81367548")</f>
        <v>81367548</v>
      </c>
      <c r="F1012" s="9" t="s">
        <v>2812</v>
      </c>
      <c r="G1012" s="12" t="s">
        <v>2813</v>
      </c>
      <c r="H1012" s="9" t="s">
        <v>2814</v>
      </c>
      <c r="I1012" s="10">
        <v>45579</v>
      </c>
    </row>
    <row r="1013" spans="1:9" x14ac:dyDescent="0.15">
      <c r="A1013" s="9">
        <v>1012</v>
      </c>
      <c r="B1013" s="9" t="s">
        <v>9</v>
      </c>
      <c r="C1013" s="9">
        <v>1918</v>
      </c>
      <c r="D1013" s="10">
        <v>45663</v>
      </c>
      <c r="E1013" s="13" t="str">
        <f>+HYPERLINK("http://trademark.i-assist.jp/data/china/image_1918th/81367813.pdf","81367813")</f>
        <v>81367813</v>
      </c>
      <c r="F1013" s="9" t="s">
        <v>2815</v>
      </c>
      <c r="G1013" s="12" t="s">
        <v>2816</v>
      </c>
      <c r="H1013" s="9" t="s">
        <v>2817</v>
      </c>
      <c r="I1013" s="10">
        <v>45579</v>
      </c>
    </row>
    <row r="1014" spans="1:9" x14ac:dyDescent="0.15">
      <c r="A1014" s="9">
        <v>1013</v>
      </c>
      <c r="B1014" s="9" t="s">
        <v>9</v>
      </c>
      <c r="C1014" s="9">
        <v>1918</v>
      </c>
      <c r="D1014" s="10">
        <v>45663</v>
      </c>
      <c r="E1014" s="13" t="str">
        <f>+HYPERLINK("http://trademark.i-assist.jp/data/china/image_1918th/81368526.pdf","81368526")</f>
        <v>81368526</v>
      </c>
      <c r="F1014" s="9" t="s">
        <v>2818</v>
      </c>
      <c r="G1014" s="9" t="s">
        <v>2819</v>
      </c>
      <c r="H1014" s="9" t="s">
        <v>2820</v>
      </c>
      <c r="I1014" s="10">
        <v>45579</v>
      </c>
    </row>
    <row r="1015" spans="1:9" x14ac:dyDescent="0.15">
      <c r="A1015" s="9">
        <v>1014</v>
      </c>
      <c r="B1015" s="9" t="s">
        <v>9</v>
      </c>
      <c r="C1015" s="9">
        <v>1918</v>
      </c>
      <c r="D1015" s="10">
        <v>45663</v>
      </c>
      <c r="E1015" s="13" t="str">
        <f>+HYPERLINK("http://trademark.i-assist.jp/data/china/image_1918th/81368706.pdf","81368706")</f>
        <v>81368706</v>
      </c>
      <c r="F1015" s="9" t="s">
        <v>2821</v>
      </c>
      <c r="G1015" s="9" t="s">
        <v>2822</v>
      </c>
      <c r="H1015" s="9" t="s">
        <v>2823</v>
      </c>
      <c r="I1015" s="10">
        <v>45579</v>
      </c>
    </row>
    <row r="1016" spans="1:9" x14ac:dyDescent="0.15">
      <c r="A1016" s="9">
        <v>1015</v>
      </c>
      <c r="B1016" s="9" t="s">
        <v>9</v>
      </c>
      <c r="C1016" s="9">
        <v>1918</v>
      </c>
      <c r="D1016" s="10">
        <v>45663</v>
      </c>
      <c r="E1016" s="13" t="str">
        <f>+HYPERLINK("http://trademark.i-assist.jp/data/china/image_1918th/81368810.pdf","81368810")</f>
        <v>81368810</v>
      </c>
      <c r="F1016" s="9" t="s">
        <v>2824</v>
      </c>
      <c r="G1016" s="9" t="s">
        <v>2825</v>
      </c>
      <c r="H1016" s="9" t="s">
        <v>2826</v>
      </c>
      <c r="I1016" s="10">
        <v>45579</v>
      </c>
    </row>
    <row r="1017" spans="1:9" x14ac:dyDescent="0.15">
      <c r="A1017" s="9">
        <v>1016</v>
      </c>
      <c r="B1017" s="9" t="s">
        <v>9</v>
      </c>
      <c r="C1017" s="9">
        <v>1918</v>
      </c>
      <c r="D1017" s="10">
        <v>45663</v>
      </c>
      <c r="E1017" s="13" t="str">
        <f>+HYPERLINK("http://trademark.i-assist.jp/data/china/image_1918th/81369418.pdf","81369418")</f>
        <v>81369418</v>
      </c>
      <c r="F1017" s="9" t="s">
        <v>2827</v>
      </c>
      <c r="G1017" s="9" t="s">
        <v>2828</v>
      </c>
      <c r="H1017" s="9" t="s">
        <v>2829</v>
      </c>
      <c r="I1017" s="10">
        <v>45579</v>
      </c>
    </row>
    <row r="1018" spans="1:9" x14ac:dyDescent="0.15">
      <c r="A1018" s="9">
        <v>1017</v>
      </c>
      <c r="B1018" s="9" t="s">
        <v>9</v>
      </c>
      <c r="C1018" s="9">
        <v>1918</v>
      </c>
      <c r="D1018" s="10">
        <v>45663</v>
      </c>
      <c r="E1018" s="13" t="str">
        <f>+HYPERLINK("http://trademark.i-assist.jp/data/china/image_1918th/81370214.pdf","81370214")</f>
        <v>81370214</v>
      </c>
      <c r="F1018" s="9" t="s">
        <v>2830</v>
      </c>
      <c r="G1018" s="9" t="s">
        <v>2831</v>
      </c>
      <c r="H1018" s="9" t="s">
        <v>2832</v>
      </c>
      <c r="I1018" s="10">
        <v>45579</v>
      </c>
    </row>
    <row r="1019" spans="1:9" x14ac:dyDescent="0.15">
      <c r="A1019" s="9">
        <v>1018</v>
      </c>
      <c r="B1019" s="9" t="s">
        <v>9</v>
      </c>
      <c r="C1019" s="9">
        <v>1918</v>
      </c>
      <c r="D1019" s="10">
        <v>45663</v>
      </c>
      <c r="E1019" s="13" t="str">
        <f>+HYPERLINK("http://trademark.i-assist.jp/data/china/image_1918th/81370217.pdf","81370217")</f>
        <v>81370217</v>
      </c>
      <c r="F1019" s="9" t="s">
        <v>2833</v>
      </c>
      <c r="G1019" s="9" t="s">
        <v>2761</v>
      </c>
      <c r="H1019" s="9" t="s">
        <v>2834</v>
      </c>
      <c r="I1019" s="10">
        <v>45579</v>
      </c>
    </row>
    <row r="1020" spans="1:9" x14ac:dyDescent="0.15">
      <c r="A1020" s="9">
        <v>1019</v>
      </c>
      <c r="B1020" s="9" t="s">
        <v>9</v>
      </c>
      <c r="C1020" s="9">
        <v>1918</v>
      </c>
      <c r="D1020" s="10">
        <v>45663</v>
      </c>
      <c r="E1020" s="13" t="str">
        <f>+HYPERLINK("http://trademark.i-assist.jp/data/china/image_1918th/81370356.pdf","81370356")</f>
        <v>81370356</v>
      </c>
      <c r="F1020" s="12" t="s">
        <v>2835</v>
      </c>
      <c r="G1020" s="12" t="s">
        <v>91</v>
      </c>
      <c r="H1020" s="9" t="s">
        <v>2836</v>
      </c>
      <c r="I1020" s="10">
        <v>45579</v>
      </c>
    </row>
    <row r="1021" spans="1:9" x14ac:dyDescent="0.15">
      <c r="A1021" s="9">
        <v>1020</v>
      </c>
      <c r="B1021" s="9" t="s">
        <v>9</v>
      </c>
      <c r="C1021" s="9">
        <v>1918</v>
      </c>
      <c r="D1021" s="10">
        <v>45663</v>
      </c>
      <c r="E1021" s="13" t="str">
        <f>+HYPERLINK("http://trademark.i-assist.jp/data/china/image_1918th/81370360.pdf","81370360")</f>
        <v>81370360</v>
      </c>
      <c r="F1021" s="12" t="s">
        <v>12</v>
      </c>
      <c r="G1021" s="9" t="s">
        <v>2837</v>
      </c>
      <c r="H1021" s="9" t="s">
        <v>2838</v>
      </c>
      <c r="I1021" s="10">
        <v>45579</v>
      </c>
    </row>
    <row r="1022" spans="1:9" x14ac:dyDescent="0.15">
      <c r="A1022" s="9">
        <v>1021</v>
      </c>
      <c r="B1022" s="9" t="s">
        <v>9</v>
      </c>
      <c r="C1022" s="9">
        <v>1918</v>
      </c>
      <c r="D1022" s="10">
        <v>45663</v>
      </c>
      <c r="E1022" s="13" t="str">
        <f>+HYPERLINK("http://trademark.i-assist.jp/data/china/image_1918th/81370393.pdf","81370393")</f>
        <v>81370393</v>
      </c>
      <c r="F1022" s="12" t="s">
        <v>2839</v>
      </c>
      <c r="G1022" s="9" t="s">
        <v>2840</v>
      </c>
      <c r="H1022" s="9" t="s">
        <v>2841</v>
      </c>
      <c r="I1022" s="10">
        <v>45579</v>
      </c>
    </row>
    <row r="1023" spans="1:9" x14ac:dyDescent="0.15">
      <c r="A1023" s="9">
        <v>1022</v>
      </c>
      <c r="B1023" s="9" t="s">
        <v>9</v>
      </c>
      <c r="C1023" s="9">
        <v>1918</v>
      </c>
      <c r="D1023" s="10">
        <v>45663</v>
      </c>
      <c r="E1023" s="13" t="str">
        <f>+HYPERLINK("http://trademark.i-assist.jp/data/china/image_1918th/81370603.pdf","81370603")</f>
        <v>81370603</v>
      </c>
      <c r="F1023" s="12" t="s">
        <v>12</v>
      </c>
      <c r="G1023" s="12" t="s">
        <v>68</v>
      </c>
      <c r="H1023" s="12" t="s">
        <v>2842</v>
      </c>
      <c r="I1023" s="10">
        <v>45579</v>
      </c>
    </row>
    <row r="1024" spans="1:9" x14ac:dyDescent="0.15">
      <c r="A1024" s="9">
        <v>1023</v>
      </c>
      <c r="B1024" s="9" t="s">
        <v>9</v>
      </c>
      <c r="C1024" s="9">
        <v>1918</v>
      </c>
      <c r="D1024" s="10">
        <v>45663</v>
      </c>
      <c r="E1024" s="13" t="str">
        <f>+HYPERLINK("http://trademark.i-assist.jp/data/china/image_1918th/81370765.pdf","81370765")</f>
        <v>81370765</v>
      </c>
      <c r="F1024" s="9" t="s">
        <v>2843</v>
      </c>
      <c r="G1024" s="9" t="s">
        <v>2844</v>
      </c>
      <c r="H1024" s="9" t="s">
        <v>2845</v>
      </c>
      <c r="I1024" s="10">
        <v>45579</v>
      </c>
    </row>
    <row r="1025" spans="1:9" x14ac:dyDescent="0.15">
      <c r="A1025" s="9">
        <v>1024</v>
      </c>
      <c r="B1025" s="9" t="s">
        <v>9</v>
      </c>
      <c r="C1025" s="9">
        <v>1918</v>
      </c>
      <c r="D1025" s="10">
        <v>45663</v>
      </c>
      <c r="E1025" s="13" t="str">
        <f>+HYPERLINK("http://trademark.i-assist.jp/data/china/image_1918th/81371120.pdf","81371120")</f>
        <v>81371120</v>
      </c>
      <c r="F1025" s="9" t="s">
        <v>2846</v>
      </c>
      <c r="G1025" s="12" t="s">
        <v>2767</v>
      </c>
      <c r="H1025" s="12" t="s">
        <v>2847</v>
      </c>
      <c r="I1025" s="10">
        <v>45579</v>
      </c>
    </row>
    <row r="1026" spans="1:9" x14ac:dyDescent="0.15">
      <c r="A1026" s="9">
        <v>1025</v>
      </c>
      <c r="B1026" s="9" t="s">
        <v>9</v>
      </c>
      <c r="C1026" s="9">
        <v>1918</v>
      </c>
      <c r="D1026" s="10">
        <v>45663</v>
      </c>
      <c r="E1026" s="13" t="str">
        <f>+HYPERLINK("http://trademark.i-assist.jp/data/china/image_1918th/81371447.pdf","81371447")</f>
        <v>81371447</v>
      </c>
      <c r="F1026" s="9" t="s">
        <v>2848</v>
      </c>
      <c r="G1026" s="9" t="s">
        <v>2744</v>
      </c>
      <c r="H1026" s="9" t="s">
        <v>2849</v>
      </c>
      <c r="I1026" s="10">
        <v>45579</v>
      </c>
    </row>
    <row r="1027" spans="1:9" x14ac:dyDescent="0.15">
      <c r="A1027" s="9">
        <v>1026</v>
      </c>
      <c r="B1027" s="9" t="s">
        <v>9</v>
      </c>
      <c r="C1027" s="9">
        <v>1918</v>
      </c>
      <c r="D1027" s="10">
        <v>45663</v>
      </c>
      <c r="E1027" s="13" t="str">
        <f>+HYPERLINK("http://trademark.i-assist.jp/data/china/image_1918th/81371449.pdf","81371449")</f>
        <v>81371449</v>
      </c>
      <c r="F1027" s="9" t="s">
        <v>2850</v>
      </c>
      <c r="G1027" s="12" t="s">
        <v>2805</v>
      </c>
      <c r="H1027" s="9" t="s">
        <v>2851</v>
      </c>
      <c r="I1027" s="10">
        <v>45579</v>
      </c>
    </row>
    <row r="1028" spans="1:9" x14ac:dyDescent="0.15">
      <c r="A1028" s="9">
        <v>1027</v>
      </c>
      <c r="B1028" s="9" t="s">
        <v>9</v>
      </c>
      <c r="C1028" s="9">
        <v>1918</v>
      </c>
      <c r="D1028" s="10">
        <v>45663</v>
      </c>
      <c r="E1028" s="13" t="str">
        <f>+HYPERLINK("http://trademark.i-assist.jp/data/china/image_1918th/81371603.pdf","81371603")</f>
        <v>81371603</v>
      </c>
      <c r="F1028" s="9" t="s">
        <v>2852</v>
      </c>
      <c r="G1028" s="9" t="s">
        <v>2853</v>
      </c>
      <c r="H1028" s="9" t="s">
        <v>2854</v>
      </c>
      <c r="I1028" s="10">
        <v>45579</v>
      </c>
    </row>
    <row r="1029" spans="1:9" x14ac:dyDescent="0.15">
      <c r="A1029" s="9">
        <v>1028</v>
      </c>
      <c r="B1029" s="9" t="s">
        <v>9</v>
      </c>
      <c r="C1029" s="9">
        <v>1918</v>
      </c>
      <c r="D1029" s="10">
        <v>45663</v>
      </c>
      <c r="E1029" s="13" t="str">
        <f>+HYPERLINK("http://trademark.i-assist.jp/data/china/image_1918th/81372005.pdf","81372005")</f>
        <v>81372005</v>
      </c>
      <c r="F1029" s="12" t="s">
        <v>2855</v>
      </c>
      <c r="G1029" s="12" t="s">
        <v>2856</v>
      </c>
      <c r="H1029" s="9" t="s">
        <v>2857</v>
      </c>
      <c r="I1029" s="10">
        <v>45579</v>
      </c>
    </row>
    <row r="1030" spans="1:9" x14ac:dyDescent="0.15">
      <c r="A1030" s="9">
        <v>1029</v>
      </c>
      <c r="B1030" s="9" t="s">
        <v>9</v>
      </c>
      <c r="C1030" s="9">
        <v>1918</v>
      </c>
      <c r="D1030" s="10">
        <v>45663</v>
      </c>
      <c r="E1030" s="13" t="str">
        <f>+HYPERLINK("http://trademark.i-assist.jp/data/china/image_1918th/81372050.pdf","81372050")</f>
        <v>81372050</v>
      </c>
      <c r="F1030" s="9" t="s">
        <v>2858</v>
      </c>
      <c r="G1030" s="9" t="s">
        <v>2859</v>
      </c>
      <c r="H1030" s="9" t="s">
        <v>2860</v>
      </c>
      <c r="I1030" s="10">
        <v>45579</v>
      </c>
    </row>
    <row r="1031" spans="1:9" x14ac:dyDescent="0.15">
      <c r="A1031" s="9">
        <v>1030</v>
      </c>
      <c r="B1031" s="9" t="s">
        <v>9</v>
      </c>
      <c r="C1031" s="9">
        <v>1918</v>
      </c>
      <c r="D1031" s="10">
        <v>45663</v>
      </c>
      <c r="E1031" s="13" t="str">
        <f>+HYPERLINK("http://trademark.i-assist.jp/data/china/image_1918th/81372298.pdf","81372298")</f>
        <v>81372298</v>
      </c>
      <c r="F1031" s="9" t="s">
        <v>2861</v>
      </c>
      <c r="G1031" s="9" t="s">
        <v>2862</v>
      </c>
      <c r="H1031" s="9" t="s">
        <v>2863</v>
      </c>
      <c r="I1031" s="10">
        <v>45579</v>
      </c>
    </row>
    <row r="1032" spans="1:9" x14ac:dyDescent="0.15">
      <c r="A1032" s="9">
        <v>1031</v>
      </c>
      <c r="B1032" s="9" t="s">
        <v>9</v>
      </c>
      <c r="C1032" s="9">
        <v>1918</v>
      </c>
      <c r="D1032" s="10">
        <v>45663</v>
      </c>
      <c r="E1032" s="13" t="str">
        <f>+HYPERLINK("http://trademark.i-assist.jp/data/china/image_1918th/81372900.pdf","81372900")</f>
        <v>81372900</v>
      </c>
      <c r="F1032" s="9" t="s">
        <v>2864</v>
      </c>
      <c r="G1032" s="9" t="s">
        <v>2865</v>
      </c>
      <c r="H1032" s="12" t="s">
        <v>2866</v>
      </c>
      <c r="I1032" s="10">
        <v>45579</v>
      </c>
    </row>
    <row r="1033" spans="1:9" x14ac:dyDescent="0.15">
      <c r="A1033" s="9">
        <v>1032</v>
      </c>
      <c r="B1033" s="9" t="s">
        <v>9</v>
      </c>
      <c r="C1033" s="9">
        <v>1918</v>
      </c>
      <c r="D1033" s="10">
        <v>45663</v>
      </c>
      <c r="E1033" s="13" t="str">
        <f>+HYPERLINK("http://trademark.i-assist.jp/data/china/image_1918th/81373219.pdf","81373219")</f>
        <v>81373219</v>
      </c>
      <c r="F1033" s="9" t="s">
        <v>2867</v>
      </c>
      <c r="G1033" s="9" t="s">
        <v>2868</v>
      </c>
      <c r="H1033" s="9" t="s">
        <v>2869</v>
      </c>
      <c r="I1033" s="10">
        <v>45579</v>
      </c>
    </row>
    <row r="1034" spans="1:9" x14ac:dyDescent="0.15">
      <c r="A1034" s="9">
        <v>1033</v>
      </c>
      <c r="B1034" s="9" t="s">
        <v>9</v>
      </c>
      <c r="C1034" s="9">
        <v>1918</v>
      </c>
      <c r="D1034" s="10">
        <v>45663</v>
      </c>
      <c r="E1034" s="13" t="str">
        <f>+HYPERLINK("http://trademark.i-assist.jp/data/china/image_1918th/81373392.pdf","81373392")</f>
        <v>81373392</v>
      </c>
      <c r="F1034" s="12" t="s">
        <v>2870</v>
      </c>
      <c r="G1034" s="9" t="s">
        <v>2871</v>
      </c>
      <c r="H1034" s="9" t="s">
        <v>2872</v>
      </c>
      <c r="I1034" s="10">
        <v>45579</v>
      </c>
    </row>
    <row r="1035" spans="1:9" x14ac:dyDescent="0.15">
      <c r="A1035" s="9">
        <v>1034</v>
      </c>
      <c r="B1035" s="9" t="s">
        <v>9</v>
      </c>
      <c r="C1035" s="9">
        <v>1918</v>
      </c>
      <c r="D1035" s="10">
        <v>45663</v>
      </c>
      <c r="E1035" s="13" t="str">
        <f>+HYPERLINK("http://trademark.i-assist.jp/data/china/image_1918th/81373499.pdf","81373499")</f>
        <v>81373499</v>
      </c>
      <c r="F1035" s="12" t="s">
        <v>2873</v>
      </c>
      <c r="G1035" s="9" t="s">
        <v>2874</v>
      </c>
      <c r="H1035" s="9" t="s">
        <v>2875</v>
      </c>
      <c r="I1035" s="10">
        <v>45579</v>
      </c>
    </row>
    <row r="1036" spans="1:9" x14ac:dyDescent="0.15">
      <c r="A1036" s="9">
        <v>1035</v>
      </c>
      <c r="B1036" s="9" t="s">
        <v>9</v>
      </c>
      <c r="C1036" s="9">
        <v>1918</v>
      </c>
      <c r="D1036" s="10">
        <v>45663</v>
      </c>
      <c r="E1036" s="13" t="str">
        <f>+HYPERLINK("http://trademark.i-assist.jp/data/china/image_1918th/81373696.pdf","81373696")</f>
        <v>81373696</v>
      </c>
      <c r="F1036" s="9" t="s">
        <v>2876</v>
      </c>
      <c r="G1036" s="9" t="s">
        <v>2877</v>
      </c>
      <c r="H1036" s="9" t="s">
        <v>2878</v>
      </c>
      <c r="I1036" s="10">
        <v>45579</v>
      </c>
    </row>
    <row r="1037" spans="1:9" x14ac:dyDescent="0.15">
      <c r="A1037" s="9">
        <v>1036</v>
      </c>
      <c r="B1037" s="9" t="s">
        <v>9</v>
      </c>
      <c r="C1037" s="9">
        <v>1918</v>
      </c>
      <c r="D1037" s="10">
        <v>45663</v>
      </c>
      <c r="E1037" s="13" t="str">
        <f>+HYPERLINK("http://trademark.i-assist.jp/data/china/image_1918th/81373790.pdf","81373790")</f>
        <v>81373790</v>
      </c>
      <c r="F1037" s="12" t="s">
        <v>2879</v>
      </c>
      <c r="G1037" s="12" t="s">
        <v>2880</v>
      </c>
      <c r="H1037" s="9" t="s">
        <v>2881</v>
      </c>
      <c r="I1037" s="10">
        <v>45579</v>
      </c>
    </row>
    <row r="1038" spans="1:9" x14ac:dyDescent="0.15">
      <c r="A1038" s="9">
        <v>1037</v>
      </c>
      <c r="B1038" s="9" t="s">
        <v>9</v>
      </c>
      <c r="C1038" s="9">
        <v>1918</v>
      </c>
      <c r="D1038" s="10">
        <v>45663</v>
      </c>
      <c r="E1038" s="13" t="str">
        <f>+HYPERLINK("http://trademark.i-assist.jp/data/china/image_1918th/81373811.pdf","81373811")</f>
        <v>81373811</v>
      </c>
      <c r="F1038" s="9" t="s">
        <v>2882</v>
      </c>
      <c r="G1038" s="12" t="s">
        <v>2805</v>
      </c>
      <c r="H1038" s="9" t="s">
        <v>2883</v>
      </c>
      <c r="I1038" s="10">
        <v>45579</v>
      </c>
    </row>
    <row r="1039" spans="1:9" x14ac:dyDescent="0.15">
      <c r="A1039" s="9">
        <v>1038</v>
      </c>
      <c r="B1039" s="9" t="s">
        <v>9</v>
      </c>
      <c r="C1039" s="9">
        <v>1918</v>
      </c>
      <c r="D1039" s="10">
        <v>45663</v>
      </c>
      <c r="E1039" s="13" t="str">
        <f>+HYPERLINK("http://trademark.i-assist.jp/data/china/image_1918th/81374741.pdf","81374741")</f>
        <v>81374741</v>
      </c>
      <c r="F1039" s="12" t="s">
        <v>2884</v>
      </c>
      <c r="G1039" s="9" t="s">
        <v>2761</v>
      </c>
      <c r="H1039" s="9" t="s">
        <v>2885</v>
      </c>
      <c r="I1039" s="10">
        <v>45579</v>
      </c>
    </row>
    <row r="1040" spans="1:9" x14ac:dyDescent="0.15">
      <c r="A1040" s="9">
        <v>1039</v>
      </c>
      <c r="B1040" s="9" t="s">
        <v>9</v>
      </c>
      <c r="C1040" s="9">
        <v>1918</v>
      </c>
      <c r="D1040" s="10">
        <v>45663</v>
      </c>
      <c r="E1040" s="13" t="str">
        <f>+HYPERLINK("http://trademark.i-assist.jp/data/china/image_1918th/81374937.pdf","81374937")</f>
        <v>81374937</v>
      </c>
      <c r="F1040" s="9" t="s">
        <v>2886</v>
      </c>
      <c r="G1040" s="9" t="s">
        <v>2837</v>
      </c>
      <c r="H1040" s="9" t="s">
        <v>2887</v>
      </c>
      <c r="I1040" s="10">
        <v>45579</v>
      </c>
    </row>
    <row r="1041" spans="1:9" x14ac:dyDescent="0.15">
      <c r="A1041" s="9">
        <v>1040</v>
      </c>
      <c r="B1041" s="9" t="s">
        <v>9</v>
      </c>
      <c r="C1041" s="9">
        <v>1918</v>
      </c>
      <c r="D1041" s="10">
        <v>45663</v>
      </c>
      <c r="E1041" s="13" t="str">
        <f>+HYPERLINK("http://trademark.i-assist.jp/data/china/image_1918th/81374995.pdf","81374995")</f>
        <v>81374995</v>
      </c>
      <c r="F1041" s="9" t="s">
        <v>2888</v>
      </c>
      <c r="G1041" s="12" t="s">
        <v>2422</v>
      </c>
      <c r="H1041" s="9" t="s">
        <v>2889</v>
      </c>
      <c r="I1041" s="10">
        <v>45579</v>
      </c>
    </row>
    <row r="1042" spans="1:9" x14ac:dyDescent="0.15">
      <c r="A1042" s="9">
        <v>1041</v>
      </c>
      <c r="B1042" s="9" t="s">
        <v>9</v>
      </c>
      <c r="C1042" s="9">
        <v>1918</v>
      </c>
      <c r="D1042" s="10">
        <v>45663</v>
      </c>
      <c r="E1042" s="13" t="str">
        <f>+HYPERLINK("http://trademark.i-assist.jp/data/china/image_1918th/81375536.pdf","81375536")</f>
        <v>81375536</v>
      </c>
      <c r="F1042" s="9" t="s">
        <v>2890</v>
      </c>
      <c r="G1042" s="9" t="s">
        <v>2891</v>
      </c>
      <c r="H1042" s="9" t="s">
        <v>2892</v>
      </c>
      <c r="I1042" s="10">
        <v>45579</v>
      </c>
    </row>
    <row r="1043" spans="1:9" x14ac:dyDescent="0.15">
      <c r="A1043" s="9">
        <v>1042</v>
      </c>
      <c r="B1043" s="9" t="s">
        <v>9</v>
      </c>
      <c r="C1043" s="9">
        <v>1918</v>
      </c>
      <c r="D1043" s="10">
        <v>45663</v>
      </c>
      <c r="E1043" s="13" t="str">
        <f>+HYPERLINK("http://trademark.i-assist.jp/data/china/image_1918th/81375710.pdf","81375710")</f>
        <v>81375710</v>
      </c>
      <c r="F1043" s="9" t="s">
        <v>2893</v>
      </c>
      <c r="G1043" s="9" t="s">
        <v>2894</v>
      </c>
      <c r="H1043" s="9" t="s">
        <v>2895</v>
      </c>
      <c r="I1043" s="10">
        <v>45579</v>
      </c>
    </row>
    <row r="1044" spans="1:9" x14ac:dyDescent="0.15">
      <c r="A1044" s="9">
        <v>1043</v>
      </c>
      <c r="B1044" s="9" t="s">
        <v>9</v>
      </c>
      <c r="C1044" s="9">
        <v>1918</v>
      </c>
      <c r="D1044" s="10">
        <v>45663</v>
      </c>
      <c r="E1044" s="13" t="str">
        <f>+HYPERLINK("http://trademark.i-assist.jp/data/china/image_1918th/81376476.pdf","81376476")</f>
        <v>81376476</v>
      </c>
      <c r="F1044" s="9" t="s">
        <v>2896</v>
      </c>
      <c r="G1044" s="9" t="s">
        <v>2897</v>
      </c>
      <c r="H1044" s="9" t="s">
        <v>2898</v>
      </c>
      <c r="I1044" s="10">
        <v>45579</v>
      </c>
    </row>
    <row r="1045" spans="1:9" x14ac:dyDescent="0.15">
      <c r="A1045" s="9">
        <v>1044</v>
      </c>
      <c r="B1045" s="9" t="s">
        <v>9</v>
      </c>
      <c r="C1045" s="9">
        <v>1918</v>
      </c>
      <c r="D1045" s="10">
        <v>45663</v>
      </c>
      <c r="E1045" s="13" t="str">
        <f>+HYPERLINK("http://trademark.i-assist.jp/data/china/image_1918th/81376737.pdf","81376737")</f>
        <v>81376737</v>
      </c>
      <c r="F1045" s="9" t="s">
        <v>2899</v>
      </c>
      <c r="G1045" s="9" t="s">
        <v>2744</v>
      </c>
      <c r="H1045" s="9" t="s">
        <v>2900</v>
      </c>
      <c r="I1045" s="10">
        <v>45579</v>
      </c>
    </row>
    <row r="1046" spans="1:9" x14ac:dyDescent="0.15">
      <c r="A1046" s="9">
        <v>1045</v>
      </c>
      <c r="B1046" s="9" t="s">
        <v>9</v>
      </c>
      <c r="C1046" s="9">
        <v>1918</v>
      </c>
      <c r="D1046" s="10">
        <v>45663</v>
      </c>
      <c r="E1046" s="13" t="str">
        <f>+HYPERLINK("http://trademark.i-assist.jp/data/china/image_1918th/81376997.pdf","81376997")</f>
        <v>81376997</v>
      </c>
      <c r="F1046" s="9" t="s">
        <v>2901</v>
      </c>
      <c r="G1046" s="9" t="s">
        <v>2279</v>
      </c>
      <c r="H1046" s="9" t="s">
        <v>2902</v>
      </c>
      <c r="I1046" s="10">
        <v>45579</v>
      </c>
    </row>
    <row r="1047" spans="1:9" x14ac:dyDescent="0.15">
      <c r="A1047" s="9">
        <v>1046</v>
      </c>
      <c r="B1047" s="9" t="s">
        <v>9</v>
      </c>
      <c r="C1047" s="9">
        <v>1918</v>
      </c>
      <c r="D1047" s="10">
        <v>45663</v>
      </c>
      <c r="E1047" s="13" t="str">
        <f>+HYPERLINK("http://trademark.i-assist.jp/data/china/image_1918th/81377425.pdf","81377425")</f>
        <v>81377425</v>
      </c>
      <c r="F1047" s="9" t="s">
        <v>2903</v>
      </c>
      <c r="G1047" s="9" t="s">
        <v>2904</v>
      </c>
      <c r="H1047" s="9" t="s">
        <v>2905</v>
      </c>
      <c r="I1047" s="10">
        <v>45579</v>
      </c>
    </row>
    <row r="1048" spans="1:9" x14ac:dyDescent="0.15">
      <c r="A1048" s="9">
        <v>1047</v>
      </c>
      <c r="B1048" s="9" t="s">
        <v>9</v>
      </c>
      <c r="C1048" s="9">
        <v>1918</v>
      </c>
      <c r="D1048" s="10">
        <v>45663</v>
      </c>
      <c r="E1048" s="13" t="str">
        <f>+HYPERLINK("http://trademark.i-assist.jp/data/china/image_1918th/81378150.pdf","81378150")</f>
        <v>81378150</v>
      </c>
      <c r="F1048" s="9" t="s">
        <v>2906</v>
      </c>
      <c r="G1048" s="9" t="s">
        <v>2907</v>
      </c>
      <c r="H1048" s="9" t="s">
        <v>2908</v>
      </c>
      <c r="I1048" s="10">
        <v>45579</v>
      </c>
    </row>
    <row r="1049" spans="1:9" x14ac:dyDescent="0.15">
      <c r="A1049" s="9">
        <v>1048</v>
      </c>
      <c r="B1049" s="9" t="s">
        <v>9</v>
      </c>
      <c r="C1049" s="9">
        <v>1918</v>
      </c>
      <c r="D1049" s="10">
        <v>45663</v>
      </c>
      <c r="E1049" s="13" t="str">
        <f>+HYPERLINK("http://trademark.i-assist.jp/data/china/image_1918th/81378547.pdf","81378547")</f>
        <v>81378547</v>
      </c>
      <c r="F1049" s="9" t="s">
        <v>2909</v>
      </c>
      <c r="G1049" s="12" t="s">
        <v>2910</v>
      </c>
      <c r="H1049" s="9" t="s">
        <v>2911</v>
      </c>
      <c r="I1049" s="10">
        <v>45579</v>
      </c>
    </row>
    <row r="1050" spans="1:9" x14ac:dyDescent="0.15">
      <c r="A1050" s="9">
        <v>1049</v>
      </c>
      <c r="B1050" s="9" t="s">
        <v>9</v>
      </c>
      <c r="C1050" s="9">
        <v>1918</v>
      </c>
      <c r="D1050" s="10">
        <v>45663</v>
      </c>
      <c r="E1050" s="13" t="str">
        <f>+HYPERLINK("http://trademark.i-assist.jp/data/china/image_1918th/81378615.pdf","81378615")</f>
        <v>81378615</v>
      </c>
      <c r="F1050" s="12" t="s">
        <v>2912</v>
      </c>
      <c r="G1050" s="12" t="s">
        <v>2913</v>
      </c>
      <c r="H1050" s="9" t="s">
        <v>2914</v>
      </c>
      <c r="I1050" s="10">
        <v>45579</v>
      </c>
    </row>
    <row r="1051" spans="1:9" x14ac:dyDescent="0.15">
      <c r="A1051" s="9">
        <v>1050</v>
      </c>
      <c r="B1051" s="9" t="s">
        <v>9</v>
      </c>
      <c r="C1051" s="9">
        <v>1918</v>
      </c>
      <c r="D1051" s="10">
        <v>45663</v>
      </c>
      <c r="E1051" s="13" t="str">
        <f>+HYPERLINK("http://trademark.i-assist.jp/data/china/image_1918th/81379253.pdf","81379253")</f>
        <v>81379253</v>
      </c>
      <c r="F1051" s="9" t="s">
        <v>2915</v>
      </c>
      <c r="G1051" s="9" t="s">
        <v>2916</v>
      </c>
      <c r="H1051" s="9" t="s">
        <v>2917</v>
      </c>
      <c r="I1051" s="10">
        <v>45579</v>
      </c>
    </row>
    <row r="1052" spans="1:9" x14ac:dyDescent="0.15">
      <c r="A1052" s="9">
        <v>1051</v>
      </c>
      <c r="B1052" s="9" t="s">
        <v>9</v>
      </c>
      <c r="C1052" s="9">
        <v>1918</v>
      </c>
      <c r="D1052" s="10">
        <v>45663</v>
      </c>
      <c r="E1052" s="13" t="str">
        <f>+HYPERLINK("http://trademark.i-assist.jp/data/china/image_1918th/81379487.pdf","81379487")</f>
        <v>81379487</v>
      </c>
      <c r="F1052" s="9" t="s">
        <v>2918</v>
      </c>
      <c r="G1052" s="9" t="s">
        <v>2919</v>
      </c>
      <c r="H1052" s="12" t="s">
        <v>2920</v>
      </c>
      <c r="I1052" s="10">
        <v>45579</v>
      </c>
    </row>
    <row r="1053" spans="1:9" x14ac:dyDescent="0.15">
      <c r="A1053" s="9">
        <v>1052</v>
      </c>
      <c r="B1053" s="9" t="s">
        <v>9</v>
      </c>
      <c r="C1053" s="9">
        <v>1918</v>
      </c>
      <c r="D1053" s="10">
        <v>45663</v>
      </c>
      <c r="E1053" s="13" t="str">
        <f>+HYPERLINK("http://trademark.i-assist.jp/data/china/image_1918th/81379881.pdf","81379881")</f>
        <v>81379881</v>
      </c>
      <c r="F1053" s="9" t="s">
        <v>2921</v>
      </c>
      <c r="G1053" s="12" t="s">
        <v>2922</v>
      </c>
      <c r="H1053" s="9" t="s">
        <v>2923</v>
      </c>
      <c r="I1053" s="10">
        <v>45579</v>
      </c>
    </row>
    <row r="1054" spans="1:9" x14ac:dyDescent="0.15">
      <c r="A1054" s="9">
        <v>1053</v>
      </c>
      <c r="B1054" s="9" t="s">
        <v>9</v>
      </c>
      <c r="C1054" s="9">
        <v>1918</v>
      </c>
      <c r="D1054" s="10">
        <v>45663</v>
      </c>
      <c r="E1054" s="13" t="str">
        <f>+HYPERLINK("http://trademark.i-assist.jp/data/china/image_1918th/81380335.pdf","81380335")</f>
        <v>81380335</v>
      </c>
      <c r="F1054" s="9" t="s">
        <v>2924</v>
      </c>
      <c r="G1054" s="9" t="s">
        <v>26</v>
      </c>
      <c r="H1054" s="9" t="s">
        <v>2925</v>
      </c>
      <c r="I1054" s="10">
        <v>45579</v>
      </c>
    </row>
    <row r="1055" spans="1:9" x14ac:dyDescent="0.15">
      <c r="A1055" s="9">
        <v>1054</v>
      </c>
      <c r="B1055" s="9" t="s">
        <v>9</v>
      </c>
      <c r="C1055" s="9">
        <v>1918</v>
      </c>
      <c r="D1055" s="10">
        <v>45663</v>
      </c>
      <c r="E1055" s="13" t="str">
        <f>+HYPERLINK("http://trademark.i-assist.jp/data/china/image_1918th/81380525.pdf","81380525")</f>
        <v>81380525</v>
      </c>
      <c r="F1055" s="9" t="s">
        <v>2915</v>
      </c>
      <c r="G1055" s="9" t="s">
        <v>2916</v>
      </c>
      <c r="H1055" s="9" t="s">
        <v>2926</v>
      </c>
      <c r="I1055" s="10">
        <v>45579</v>
      </c>
    </row>
    <row r="1056" spans="1:9" x14ac:dyDescent="0.15">
      <c r="A1056" s="9">
        <v>1055</v>
      </c>
      <c r="B1056" s="9" t="s">
        <v>9</v>
      </c>
      <c r="C1056" s="9">
        <v>1918</v>
      </c>
      <c r="D1056" s="10">
        <v>45663</v>
      </c>
      <c r="E1056" s="13" t="str">
        <f>+HYPERLINK("http://trademark.i-assist.jp/data/china/image_1918th/81381154.pdf","81381154")</f>
        <v>81381154</v>
      </c>
      <c r="F1056" s="9" t="s">
        <v>2927</v>
      </c>
      <c r="G1056" s="9" t="s">
        <v>2761</v>
      </c>
      <c r="H1056" s="9" t="s">
        <v>2928</v>
      </c>
      <c r="I1056" s="10">
        <v>45579</v>
      </c>
    </row>
    <row r="1057" spans="1:9" x14ac:dyDescent="0.15">
      <c r="A1057" s="9">
        <v>1056</v>
      </c>
      <c r="B1057" s="9" t="s">
        <v>9</v>
      </c>
      <c r="C1057" s="9">
        <v>1918</v>
      </c>
      <c r="D1057" s="10">
        <v>45663</v>
      </c>
      <c r="E1057" s="13" t="str">
        <f>+HYPERLINK("http://trademark.i-assist.jp/data/china/image_1918th/81381586.pdf","81381586")</f>
        <v>81381586</v>
      </c>
      <c r="F1057" s="12" t="s">
        <v>12</v>
      </c>
      <c r="G1057" s="9" t="s">
        <v>2929</v>
      </c>
      <c r="H1057" s="9" t="s">
        <v>2930</v>
      </c>
      <c r="I1057" s="10">
        <v>45580</v>
      </c>
    </row>
    <row r="1058" spans="1:9" x14ac:dyDescent="0.15">
      <c r="A1058" s="9">
        <v>1057</v>
      </c>
      <c r="B1058" s="9" t="s">
        <v>9</v>
      </c>
      <c r="C1058" s="9">
        <v>1918</v>
      </c>
      <c r="D1058" s="10">
        <v>45663</v>
      </c>
      <c r="E1058" s="13" t="str">
        <f>+HYPERLINK("http://trademark.i-assist.jp/data/china/image_1918th/81381630.pdf","81381630")</f>
        <v>81381630</v>
      </c>
      <c r="F1058" s="9" t="s">
        <v>2931</v>
      </c>
      <c r="G1058" s="9" t="s">
        <v>2932</v>
      </c>
      <c r="H1058" s="9" t="s">
        <v>2933</v>
      </c>
      <c r="I1058" s="10">
        <v>45580</v>
      </c>
    </row>
    <row r="1059" spans="1:9" x14ac:dyDescent="0.15">
      <c r="A1059" s="9">
        <v>1058</v>
      </c>
      <c r="B1059" s="9" t="s">
        <v>9</v>
      </c>
      <c r="C1059" s="9">
        <v>1918</v>
      </c>
      <c r="D1059" s="10">
        <v>45663</v>
      </c>
      <c r="E1059" s="13" t="str">
        <f>+HYPERLINK("http://trademark.i-assist.jp/data/china/image_1918th/81381998.pdf","81381998")</f>
        <v>81381998</v>
      </c>
      <c r="F1059" s="9" t="s">
        <v>2934</v>
      </c>
      <c r="G1059" s="9" t="s">
        <v>2935</v>
      </c>
      <c r="H1059" s="9" t="s">
        <v>2936</v>
      </c>
      <c r="I1059" s="10">
        <v>45580</v>
      </c>
    </row>
    <row r="1060" spans="1:9" x14ac:dyDescent="0.15">
      <c r="A1060" s="9">
        <v>1059</v>
      </c>
      <c r="B1060" s="9" t="s">
        <v>9</v>
      </c>
      <c r="C1060" s="9">
        <v>1918</v>
      </c>
      <c r="D1060" s="10">
        <v>45663</v>
      </c>
      <c r="E1060" s="13" t="str">
        <f>+HYPERLINK("http://trademark.i-assist.jp/data/china/image_1918th/81382462.pdf","81382462")</f>
        <v>81382462</v>
      </c>
      <c r="F1060" s="9" t="s">
        <v>2937</v>
      </c>
      <c r="G1060" s="9" t="s">
        <v>2938</v>
      </c>
      <c r="H1060" s="9" t="s">
        <v>2939</v>
      </c>
      <c r="I1060" s="10">
        <v>45580</v>
      </c>
    </row>
    <row r="1061" spans="1:9" x14ac:dyDescent="0.15">
      <c r="A1061" s="9">
        <v>1060</v>
      </c>
      <c r="B1061" s="9" t="s">
        <v>9</v>
      </c>
      <c r="C1061" s="9">
        <v>1918</v>
      </c>
      <c r="D1061" s="10">
        <v>45663</v>
      </c>
      <c r="E1061" s="13" t="str">
        <f>+HYPERLINK("http://trademark.i-assist.jp/data/china/image_1918th/81382652.pdf","81382652")</f>
        <v>81382652</v>
      </c>
      <c r="F1061" s="12" t="s">
        <v>2940</v>
      </c>
      <c r="G1061" s="12" t="s">
        <v>2941</v>
      </c>
      <c r="H1061" s="9" t="s">
        <v>2942</v>
      </c>
      <c r="I1061" s="10">
        <v>45580</v>
      </c>
    </row>
    <row r="1062" spans="1:9" x14ac:dyDescent="0.15">
      <c r="A1062" s="9">
        <v>1061</v>
      </c>
      <c r="B1062" s="9" t="s">
        <v>9</v>
      </c>
      <c r="C1062" s="9">
        <v>1918</v>
      </c>
      <c r="D1062" s="10">
        <v>45663</v>
      </c>
      <c r="E1062" s="13" t="str">
        <f>+HYPERLINK("http://trademark.i-assist.jp/data/china/image_1918th/81382935.pdf","81382935")</f>
        <v>81382935</v>
      </c>
      <c r="F1062" s="11" t="s">
        <v>2943</v>
      </c>
      <c r="G1062" s="12" t="s">
        <v>2944</v>
      </c>
      <c r="H1062" s="9" t="s">
        <v>2945</v>
      </c>
      <c r="I1062" s="10">
        <v>45580</v>
      </c>
    </row>
    <row r="1063" spans="1:9" x14ac:dyDescent="0.15">
      <c r="A1063" s="9">
        <v>1062</v>
      </c>
      <c r="B1063" s="9" t="s">
        <v>9</v>
      </c>
      <c r="C1063" s="9">
        <v>1918</v>
      </c>
      <c r="D1063" s="10">
        <v>45663</v>
      </c>
      <c r="E1063" s="13" t="str">
        <f>+HYPERLINK("http://trademark.i-assist.jp/data/china/image_1918th/81383332.pdf","81383332")</f>
        <v>81383332</v>
      </c>
      <c r="F1063" s="9" t="s">
        <v>2946</v>
      </c>
      <c r="G1063" s="9" t="s">
        <v>2947</v>
      </c>
      <c r="H1063" s="9" t="s">
        <v>2948</v>
      </c>
      <c r="I1063" s="10">
        <v>45580</v>
      </c>
    </row>
    <row r="1064" spans="1:9" x14ac:dyDescent="0.15">
      <c r="A1064" s="9">
        <v>1063</v>
      </c>
      <c r="B1064" s="9" t="s">
        <v>9</v>
      </c>
      <c r="C1064" s="9">
        <v>1918</v>
      </c>
      <c r="D1064" s="10">
        <v>45663</v>
      </c>
      <c r="E1064" s="13" t="str">
        <f>+HYPERLINK("http://trademark.i-assist.jp/data/china/image_1918th/81383379.pdf","81383379")</f>
        <v>81383379</v>
      </c>
      <c r="F1064" s="9" t="s">
        <v>2949</v>
      </c>
      <c r="G1064" s="12" t="s">
        <v>21</v>
      </c>
      <c r="H1064" s="9" t="s">
        <v>2950</v>
      </c>
      <c r="I1064" s="10">
        <v>45580</v>
      </c>
    </row>
    <row r="1065" spans="1:9" x14ac:dyDescent="0.15">
      <c r="A1065" s="9">
        <v>1064</v>
      </c>
      <c r="B1065" s="9" t="s">
        <v>9</v>
      </c>
      <c r="C1065" s="9">
        <v>1918</v>
      </c>
      <c r="D1065" s="10">
        <v>45663</v>
      </c>
      <c r="E1065" s="13" t="str">
        <f>+HYPERLINK("http://trademark.i-assist.jp/data/china/image_1918th/81383390.pdf","81383390")</f>
        <v>81383390</v>
      </c>
      <c r="F1065" s="9" t="s">
        <v>2951</v>
      </c>
      <c r="G1065" s="12" t="s">
        <v>21</v>
      </c>
      <c r="H1065" s="9" t="s">
        <v>2952</v>
      </c>
      <c r="I1065" s="10">
        <v>45580</v>
      </c>
    </row>
    <row r="1066" spans="1:9" x14ac:dyDescent="0.15">
      <c r="A1066" s="9">
        <v>1065</v>
      </c>
      <c r="B1066" s="9" t="s">
        <v>9</v>
      </c>
      <c r="C1066" s="9">
        <v>1918</v>
      </c>
      <c r="D1066" s="10">
        <v>45663</v>
      </c>
      <c r="E1066" s="13" t="str">
        <f>+HYPERLINK("http://trademark.i-assist.jp/data/china/image_1918th/81384064.pdf","81384064")</f>
        <v>81384064</v>
      </c>
      <c r="F1066" s="12" t="s">
        <v>12</v>
      </c>
      <c r="G1066" s="9" t="s">
        <v>2953</v>
      </c>
      <c r="H1066" s="9" t="s">
        <v>2954</v>
      </c>
      <c r="I1066" s="10">
        <v>45580</v>
      </c>
    </row>
    <row r="1067" spans="1:9" x14ac:dyDescent="0.15">
      <c r="A1067" s="9">
        <v>1066</v>
      </c>
      <c r="B1067" s="9" t="s">
        <v>9</v>
      </c>
      <c r="C1067" s="9">
        <v>1918</v>
      </c>
      <c r="D1067" s="10">
        <v>45663</v>
      </c>
      <c r="E1067" s="13" t="str">
        <f>+HYPERLINK("http://trademark.i-assist.jp/data/china/image_1918th/81384144.pdf","81384144")</f>
        <v>81384144</v>
      </c>
      <c r="F1067" s="9" t="s">
        <v>2955</v>
      </c>
      <c r="G1067" s="9" t="s">
        <v>1638</v>
      </c>
      <c r="H1067" s="12" t="s">
        <v>2956</v>
      </c>
      <c r="I1067" s="10">
        <v>45580</v>
      </c>
    </row>
    <row r="1068" spans="1:9" x14ac:dyDescent="0.15">
      <c r="A1068" s="9">
        <v>1067</v>
      </c>
      <c r="B1068" s="9" t="s">
        <v>9</v>
      </c>
      <c r="C1068" s="9">
        <v>1918</v>
      </c>
      <c r="D1068" s="10">
        <v>45663</v>
      </c>
      <c r="E1068" s="13" t="str">
        <f>+HYPERLINK("http://trademark.i-assist.jp/data/china/image_1918th/81384469.pdf","81384469")</f>
        <v>81384469</v>
      </c>
      <c r="F1068" s="9" t="s">
        <v>2957</v>
      </c>
      <c r="G1068" s="12" t="s">
        <v>2958</v>
      </c>
      <c r="H1068" s="9" t="s">
        <v>2959</v>
      </c>
      <c r="I1068" s="10">
        <v>45580</v>
      </c>
    </row>
    <row r="1069" spans="1:9" x14ac:dyDescent="0.15">
      <c r="A1069" s="9">
        <v>1068</v>
      </c>
      <c r="B1069" s="9" t="s">
        <v>9</v>
      </c>
      <c r="C1069" s="9">
        <v>1918</v>
      </c>
      <c r="D1069" s="10">
        <v>45663</v>
      </c>
      <c r="E1069" s="13" t="str">
        <f>+HYPERLINK("http://trademark.i-assist.jp/data/china/image_1918th/81384766.pdf","81384766")</f>
        <v>81384766</v>
      </c>
      <c r="F1069" s="9" t="s">
        <v>2960</v>
      </c>
      <c r="G1069" s="9" t="s">
        <v>2961</v>
      </c>
      <c r="H1069" s="9" t="s">
        <v>2962</v>
      </c>
      <c r="I1069" s="10">
        <v>45580</v>
      </c>
    </row>
    <row r="1070" spans="1:9" x14ac:dyDescent="0.15">
      <c r="A1070" s="9">
        <v>1069</v>
      </c>
      <c r="B1070" s="9" t="s">
        <v>9</v>
      </c>
      <c r="C1070" s="9">
        <v>1918</v>
      </c>
      <c r="D1070" s="10">
        <v>45663</v>
      </c>
      <c r="E1070" s="13" t="str">
        <f>+HYPERLINK("http://trademark.i-assist.jp/data/china/image_1918th/81385275.pdf","81385275")</f>
        <v>81385275</v>
      </c>
      <c r="F1070" s="9" t="s">
        <v>2963</v>
      </c>
      <c r="G1070" s="12" t="s">
        <v>2964</v>
      </c>
      <c r="H1070" s="9" t="s">
        <v>2965</v>
      </c>
      <c r="I1070" s="10">
        <v>45580</v>
      </c>
    </row>
    <row r="1071" spans="1:9" x14ac:dyDescent="0.15">
      <c r="A1071" s="9">
        <v>1070</v>
      </c>
      <c r="B1071" s="9" t="s">
        <v>9</v>
      </c>
      <c r="C1071" s="9">
        <v>1918</v>
      </c>
      <c r="D1071" s="10">
        <v>45663</v>
      </c>
      <c r="E1071" s="13" t="str">
        <f>+HYPERLINK("http://trademark.i-assist.jp/data/china/image_1918th/81385430.pdf","81385430")</f>
        <v>81385430</v>
      </c>
      <c r="F1071" s="9" t="s">
        <v>2966</v>
      </c>
      <c r="G1071" s="9" t="s">
        <v>2967</v>
      </c>
      <c r="H1071" s="9" t="s">
        <v>2968</v>
      </c>
      <c r="I1071" s="10">
        <v>45580</v>
      </c>
    </row>
    <row r="1072" spans="1:9" x14ac:dyDescent="0.15">
      <c r="A1072" s="9">
        <v>1071</v>
      </c>
      <c r="B1072" s="9" t="s">
        <v>9</v>
      </c>
      <c r="C1072" s="9">
        <v>1918</v>
      </c>
      <c r="D1072" s="10">
        <v>45663</v>
      </c>
      <c r="E1072" s="13" t="str">
        <f>+HYPERLINK("http://trademark.i-assist.jp/data/china/image_1918th/81386360.pdf","81386360")</f>
        <v>81386360</v>
      </c>
      <c r="F1072" s="9" t="s">
        <v>2969</v>
      </c>
      <c r="G1072" s="9" t="s">
        <v>2970</v>
      </c>
      <c r="H1072" s="9" t="s">
        <v>2971</v>
      </c>
      <c r="I1072" s="10">
        <v>45580</v>
      </c>
    </row>
    <row r="1073" spans="1:9" x14ac:dyDescent="0.15">
      <c r="A1073" s="9">
        <v>1072</v>
      </c>
      <c r="B1073" s="9" t="s">
        <v>9</v>
      </c>
      <c r="C1073" s="9">
        <v>1918</v>
      </c>
      <c r="D1073" s="10">
        <v>45663</v>
      </c>
      <c r="E1073" s="13" t="str">
        <f>+HYPERLINK("http://trademark.i-assist.jp/data/china/image_1918th/81386887.pdf","81386887")</f>
        <v>81386887</v>
      </c>
      <c r="F1073" s="9" t="s">
        <v>2972</v>
      </c>
      <c r="G1073" s="12" t="s">
        <v>2973</v>
      </c>
      <c r="H1073" s="9" t="s">
        <v>2974</v>
      </c>
      <c r="I1073" s="10">
        <v>45580</v>
      </c>
    </row>
    <row r="1074" spans="1:9" x14ac:dyDescent="0.15">
      <c r="A1074" s="9">
        <v>1073</v>
      </c>
      <c r="B1074" s="9" t="s">
        <v>9</v>
      </c>
      <c r="C1074" s="9">
        <v>1918</v>
      </c>
      <c r="D1074" s="10">
        <v>45663</v>
      </c>
      <c r="E1074" s="13" t="str">
        <f>+HYPERLINK("http://trademark.i-assist.jp/data/china/image_1918th/81386998.pdf","81386998")</f>
        <v>81386998</v>
      </c>
      <c r="F1074" s="9" t="s">
        <v>2975</v>
      </c>
      <c r="G1074" s="9" t="s">
        <v>2976</v>
      </c>
      <c r="H1074" s="9" t="s">
        <v>2977</v>
      </c>
      <c r="I1074" s="10">
        <v>45580</v>
      </c>
    </row>
    <row r="1075" spans="1:9" x14ac:dyDescent="0.15">
      <c r="A1075" s="9">
        <v>1074</v>
      </c>
      <c r="B1075" s="9" t="s">
        <v>9</v>
      </c>
      <c r="C1075" s="9">
        <v>1918</v>
      </c>
      <c r="D1075" s="10">
        <v>45663</v>
      </c>
      <c r="E1075" s="13" t="str">
        <f>+HYPERLINK("http://trademark.i-assist.jp/data/china/image_1918th/81387289.pdf","81387289")</f>
        <v>81387289</v>
      </c>
      <c r="F1075" s="9" t="s">
        <v>2978</v>
      </c>
      <c r="G1075" s="9" t="s">
        <v>2979</v>
      </c>
      <c r="H1075" s="9" t="s">
        <v>2980</v>
      </c>
      <c r="I1075" s="10">
        <v>45580</v>
      </c>
    </row>
    <row r="1076" spans="1:9" x14ac:dyDescent="0.15">
      <c r="A1076" s="9">
        <v>1075</v>
      </c>
      <c r="B1076" s="9" t="s">
        <v>9</v>
      </c>
      <c r="C1076" s="9">
        <v>1918</v>
      </c>
      <c r="D1076" s="10">
        <v>45663</v>
      </c>
      <c r="E1076" s="13" t="str">
        <f>+HYPERLINK("http://trademark.i-assist.jp/data/china/image_1918th/81387302.pdf","81387302")</f>
        <v>81387302</v>
      </c>
      <c r="F1076" s="9" t="s">
        <v>2981</v>
      </c>
      <c r="G1076" s="12" t="s">
        <v>1513</v>
      </c>
      <c r="H1076" s="9" t="s">
        <v>2982</v>
      </c>
      <c r="I1076" s="10">
        <v>45580</v>
      </c>
    </row>
    <row r="1077" spans="1:9" x14ac:dyDescent="0.15">
      <c r="A1077" s="9">
        <v>1076</v>
      </c>
      <c r="B1077" s="9" t="s">
        <v>9</v>
      </c>
      <c r="C1077" s="9">
        <v>1918</v>
      </c>
      <c r="D1077" s="10">
        <v>45663</v>
      </c>
      <c r="E1077" s="13" t="str">
        <f>+HYPERLINK("http://trademark.i-assist.jp/data/china/image_1918th/81387613.pdf","81387613")</f>
        <v>81387613</v>
      </c>
      <c r="F1077" s="9" t="s">
        <v>2983</v>
      </c>
      <c r="G1077" s="9" t="s">
        <v>1638</v>
      </c>
      <c r="H1077" s="9" t="s">
        <v>2984</v>
      </c>
      <c r="I1077" s="10">
        <v>45580</v>
      </c>
    </row>
    <row r="1078" spans="1:9" x14ac:dyDescent="0.15">
      <c r="A1078" s="9">
        <v>1077</v>
      </c>
      <c r="B1078" s="9" t="s">
        <v>9</v>
      </c>
      <c r="C1078" s="9">
        <v>1918</v>
      </c>
      <c r="D1078" s="10">
        <v>45663</v>
      </c>
      <c r="E1078" s="13" t="str">
        <f>+HYPERLINK("http://trademark.i-assist.jp/data/china/image_1918th/81387863.pdf","81387863")</f>
        <v>81387863</v>
      </c>
      <c r="F1078" s="9" t="s">
        <v>2985</v>
      </c>
      <c r="G1078" s="12" t="s">
        <v>2986</v>
      </c>
      <c r="H1078" s="9" t="s">
        <v>2987</v>
      </c>
      <c r="I1078" s="10">
        <v>45580</v>
      </c>
    </row>
    <row r="1079" spans="1:9" x14ac:dyDescent="0.15">
      <c r="A1079" s="9">
        <v>1078</v>
      </c>
      <c r="B1079" s="9" t="s">
        <v>9</v>
      </c>
      <c r="C1079" s="9">
        <v>1918</v>
      </c>
      <c r="D1079" s="10">
        <v>45663</v>
      </c>
      <c r="E1079" s="13" t="str">
        <f>+HYPERLINK("http://trademark.i-assist.jp/data/china/image_1918th/81388012.pdf","81388012")</f>
        <v>81388012</v>
      </c>
      <c r="F1079" s="9" t="s">
        <v>2988</v>
      </c>
      <c r="G1079" s="9" t="s">
        <v>2989</v>
      </c>
      <c r="H1079" s="9" t="s">
        <v>2990</v>
      </c>
      <c r="I1079" s="10">
        <v>45580</v>
      </c>
    </row>
    <row r="1080" spans="1:9" x14ac:dyDescent="0.15">
      <c r="A1080" s="9">
        <v>1079</v>
      </c>
      <c r="B1080" s="9" t="s">
        <v>9</v>
      </c>
      <c r="C1080" s="9">
        <v>1918</v>
      </c>
      <c r="D1080" s="10">
        <v>45663</v>
      </c>
      <c r="E1080" s="13" t="str">
        <f>+HYPERLINK("http://trademark.i-assist.jp/data/china/image_1918th/81388242.pdf","81388242")</f>
        <v>81388242</v>
      </c>
      <c r="F1080" s="12" t="s">
        <v>2991</v>
      </c>
      <c r="G1080" s="9" t="s">
        <v>43</v>
      </c>
      <c r="H1080" s="9" t="s">
        <v>2992</v>
      </c>
      <c r="I1080" s="10">
        <v>45580</v>
      </c>
    </row>
    <row r="1081" spans="1:9" x14ac:dyDescent="0.15">
      <c r="A1081" s="9">
        <v>1080</v>
      </c>
      <c r="B1081" s="9" t="s">
        <v>9</v>
      </c>
      <c r="C1081" s="9">
        <v>1918</v>
      </c>
      <c r="D1081" s="10">
        <v>45663</v>
      </c>
      <c r="E1081" s="13" t="str">
        <f>+HYPERLINK("http://trademark.i-assist.jp/data/china/image_1918th/81388293.pdf","81388293")</f>
        <v>81388293</v>
      </c>
      <c r="F1081" s="9" t="s">
        <v>2993</v>
      </c>
      <c r="G1081" s="12" t="s">
        <v>2994</v>
      </c>
      <c r="H1081" s="9" t="s">
        <v>2995</v>
      </c>
      <c r="I1081" s="10">
        <v>45580</v>
      </c>
    </row>
    <row r="1082" spans="1:9" x14ac:dyDescent="0.15">
      <c r="A1082" s="9">
        <v>1081</v>
      </c>
      <c r="B1082" s="9" t="s">
        <v>9</v>
      </c>
      <c r="C1082" s="9">
        <v>1918</v>
      </c>
      <c r="D1082" s="10">
        <v>45663</v>
      </c>
      <c r="E1082" s="13" t="str">
        <f>+HYPERLINK("http://trademark.i-assist.jp/data/china/image_1918th/81388324.pdf","81388324")</f>
        <v>81388324</v>
      </c>
      <c r="F1082" s="9" t="s">
        <v>2996</v>
      </c>
      <c r="G1082" s="9" t="s">
        <v>2997</v>
      </c>
      <c r="H1082" s="9" t="s">
        <v>2998</v>
      </c>
      <c r="I1082" s="10">
        <v>45580</v>
      </c>
    </row>
    <row r="1083" spans="1:9" x14ac:dyDescent="0.15">
      <c r="A1083" s="9">
        <v>1082</v>
      </c>
      <c r="B1083" s="9" t="s">
        <v>9</v>
      </c>
      <c r="C1083" s="9">
        <v>1918</v>
      </c>
      <c r="D1083" s="10">
        <v>45663</v>
      </c>
      <c r="E1083" s="13" t="str">
        <f>+HYPERLINK("http://trademark.i-assist.jp/data/china/image_1918th/81388616.pdf","81388616")</f>
        <v>81388616</v>
      </c>
      <c r="F1083" s="9" t="s">
        <v>2999</v>
      </c>
      <c r="G1083" s="9" t="s">
        <v>43</v>
      </c>
      <c r="H1083" s="9" t="s">
        <v>3000</v>
      </c>
      <c r="I1083" s="10">
        <v>45580</v>
      </c>
    </row>
    <row r="1084" spans="1:9" x14ac:dyDescent="0.15">
      <c r="A1084" s="9">
        <v>1083</v>
      </c>
      <c r="B1084" s="9" t="s">
        <v>9</v>
      </c>
      <c r="C1084" s="9">
        <v>1918</v>
      </c>
      <c r="D1084" s="10">
        <v>45663</v>
      </c>
      <c r="E1084" s="13" t="str">
        <f>+HYPERLINK("http://trademark.i-assist.jp/data/china/image_1918th/81388879.pdf","81388879")</f>
        <v>81388879</v>
      </c>
      <c r="F1084" s="9" t="s">
        <v>3001</v>
      </c>
      <c r="G1084" s="12" t="s">
        <v>21</v>
      </c>
      <c r="H1084" s="9" t="s">
        <v>3002</v>
      </c>
      <c r="I1084" s="10">
        <v>45580</v>
      </c>
    </row>
    <row r="1085" spans="1:9" x14ac:dyDescent="0.15">
      <c r="A1085" s="9">
        <v>1084</v>
      </c>
      <c r="B1085" s="9" t="s">
        <v>9</v>
      </c>
      <c r="C1085" s="9">
        <v>1918</v>
      </c>
      <c r="D1085" s="10">
        <v>45663</v>
      </c>
      <c r="E1085" s="13" t="str">
        <f>+HYPERLINK("http://trademark.i-assist.jp/data/china/image_1918th/81388902.pdf","81388902")</f>
        <v>81388902</v>
      </c>
      <c r="F1085" s="9" t="s">
        <v>3003</v>
      </c>
      <c r="G1085" s="12" t="s">
        <v>21</v>
      </c>
      <c r="H1085" s="9" t="s">
        <v>3004</v>
      </c>
      <c r="I1085" s="10">
        <v>45580</v>
      </c>
    </row>
    <row r="1086" spans="1:9" x14ac:dyDescent="0.15">
      <c r="A1086" s="9">
        <v>1085</v>
      </c>
      <c r="B1086" s="9" t="s">
        <v>9</v>
      </c>
      <c r="C1086" s="9">
        <v>1918</v>
      </c>
      <c r="D1086" s="10">
        <v>45663</v>
      </c>
      <c r="E1086" s="13" t="str">
        <f>+HYPERLINK("http://trademark.i-assist.jp/data/china/image_1918th/81389067.pdf","81389067")</f>
        <v>81389067</v>
      </c>
      <c r="F1086" s="9" t="s">
        <v>3005</v>
      </c>
      <c r="G1086" s="9" t="s">
        <v>1498</v>
      </c>
      <c r="H1086" s="9" t="s">
        <v>3006</v>
      </c>
      <c r="I1086" s="10">
        <v>45580</v>
      </c>
    </row>
    <row r="1087" spans="1:9" x14ac:dyDescent="0.15">
      <c r="A1087" s="9">
        <v>1086</v>
      </c>
      <c r="B1087" s="9" t="s">
        <v>9</v>
      </c>
      <c r="C1087" s="9">
        <v>1918</v>
      </c>
      <c r="D1087" s="10">
        <v>45663</v>
      </c>
      <c r="E1087" s="13" t="str">
        <f>+HYPERLINK("http://trademark.i-assist.jp/data/china/image_1918th/81389148.pdf","81389148")</f>
        <v>81389148</v>
      </c>
      <c r="F1087" s="9" t="s">
        <v>3007</v>
      </c>
      <c r="G1087" s="9" t="s">
        <v>3008</v>
      </c>
      <c r="H1087" s="9" t="s">
        <v>3009</v>
      </c>
      <c r="I1087" s="10">
        <v>45580</v>
      </c>
    </row>
    <row r="1088" spans="1:9" x14ac:dyDescent="0.15">
      <c r="A1088" s="9">
        <v>1087</v>
      </c>
      <c r="B1088" s="9" t="s">
        <v>9</v>
      </c>
      <c r="C1088" s="9">
        <v>1918</v>
      </c>
      <c r="D1088" s="10">
        <v>45663</v>
      </c>
      <c r="E1088" s="13" t="str">
        <f>+HYPERLINK("http://trademark.i-assist.jp/data/china/image_1918th/81389453.pdf","81389453")</f>
        <v>81389453</v>
      </c>
      <c r="F1088" s="12" t="s">
        <v>3010</v>
      </c>
      <c r="G1088" s="9" t="s">
        <v>1638</v>
      </c>
      <c r="H1088" s="12" t="s">
        <v>3011</v>
      </c>
      <c r="I1088" s="10">
        <v>45580</v>
      </c>
    </row>
    <row r="1089" spans="1:9" x14ac:dyDescent="0.15">
      <c r="A1089" s="9">
        <v>1088</v>
      </c>
      <c r="B1089" s="9" t="s">
        <v>9</v>
      </c>
      <c r="C1089" s="9">
        <v>1918</v>
      </c>
      <c r="D1089" s="10">
        <v>45663</v>
      </c>
      <c r="E1089" s="13" t="str">
        <f>+HYPERLINK("http://trademark.i-assist.jp/data/china/image_1918th/81390191.pdf","81390191")</f>
        <v>81390191</v>
      </c>
      <c r="F1089" s="9" t="s">
        <v>3012</v>
      </c>
      <c r="G1089" s="9" t="s">
        <v>3013</v>
      </c>
      <c r="H1089" s="9" t="s">
        <v>3014</v>
      </c>
      <c r="I1089" s="10">
        <v>45580</v>
      </c>
    </row>
    <row r="1090" spans="1:9" x14ac:dyDescent="0.15">
      <c r="A1090" s="9">
        <v>1089</v>
      </c>
      <c r="B1090" s="9" t="s">
        <v>9</v>
      </c>
      <c r="C1090" s="9">
        <v>1918</v>
      </c>
      <c r="D1090" s="10">
        <v>45663</v>
      </c>
      <c r="E1090" s="13" t="str">
        <f>+HYPERLINK("http://trademark.i-assist.jp/data/china/image_1918th/81390263.pdf","81390263")</f>
        <v>81390263</v>
      </c>
      <c r="F1090" s="9" t="s">
        <v>3015</v>
      </c>
      <c r="G1090" s="11" t="s">
        <v>3016</v>
      </c>
      <c r="H1090" s="9" t="s">
        <v>3017</v>
      </c>
      <c r="I1090" s="10">
        <v>45580</v>
      </c>
    </row>
    <row r="1091" spans="1:9" x14ac:dyDescent="0.15">
      <c r="A1091" s="9">
        <v>1090</v>
      </c>
      <c r="B1091" s="9" t="s">
        <v>9</v>
      </c>
      <c r="C1091" s="9">
        <v>1918</v>
      </c>
      <c r="D1091" s="10">
        <v>45663</v>
      </c>
      <c r="E1091" s="13" t="str">
        <f>+HYPERLINK("http://trademark.i-assist.jp/data/china/image_1918th/81390266.pdf","81390266")</f>
        <v>81390266</v>
      </c>
      <c r="F1091" s="9" t="s">
        <v>3018</v>
      </c>
      <c r="G1091" s="12" t="s">
        <v>2973</v>
      </c>
      <c r="H1091" s="9" t="s">
        <v>3019</v>
      </c>
      <c r="I1091" s="10">
        <v>45580</v>
      </c>
    </row>
    <row r="1092" spans="1:9" x14ac:dyDescent="0.15">
      <c r="A1092" s="9">
        <v>1091</v>
      </c>
      <c r="B1092" s="9" t="s">
        <v>9</v>
      </c>
      <c r="C1092" s="9">
        <v>1918</v>
      </c>
      <c r="D1092" s="10">
        <v>45663</v>
      </c>
      <c r="E1092" s="13" t="str">
        <f>+HYPERLINK("http://trademark.i-assist.jp/data/china/image_1918th/81390544.pdf","81390544")</f>
        <v>81390544</v>
      </c>
      <c r="F1092" s="9" t="s">
        <v>3020</v>
      </c>
      <c r="G1092" s="9" t="s">
        <v>3021</v>
      </c>
      <c r="H1092" s="9" t="s">
        <v>3022</v>
      </c>
      <c r="I1092" s="10">
        <v>45580</v>
      </c>
    </row>
    <row r="1093" spans="1:9" x14ac:dyDescent="0.15">
      <c r="A1093" s="9">
        <v>1092</v>
      </c>
      <c r="B1093" s="9" t="s">
        <v>9</v>
      </c>
      <c r="C1093" s="9">
        <v>1918</v>
      </c>
      <c r="D1093" s="10">
        <v>45663</v>
      </c>
      <c r="E1093" s="13" t="str">
        <f>+HYPERLINK("http://trademark.i-assist.jp/data/china/image_1918th/81390655.pdf","81390655")</f>
        <v>81390655</v>
      </c>
      <c r="F1093" s="9" t="s">
        <v>3023</v>
      </c>
      <c r="G1093" s="9" t="s">
        <v>2932</v>
      </c>
      <c r="H1093" s="9" t="s">
        <v>3024</v>
      </c>
      <c r="I1093" s="10">
        <v>45580</v>
      </c>
    </row>
    <row r="1094" spans="1:9" x14ac:dyDescent="0.15">
      <c r="A1094" s="9">
        <v>1093</v>
      </c>
      <c r="B1094" s="9" t="s">
        <v>9</v>
      </c>
      <c r="C1094" s="9">
        <v>1918</v>
      </c>
      <c r="D1094" s="10">
        <v>45663</v>
      </c>
      <c r="E1094" s="13" t="str">
        <f>+HYPERLINK("http://trademark.i-assist.jp/data/china/image_1918th/81391953.pdf","81391953")</f>
        <v>81391953</v>
      </c>
      <c r="F1094" s="12" t="s">
        <v>3025</v>
      </c>
      <c r="G1094" s="12" t="s">
        <v>2973</v>
      </c>
      <c r="H1094" s="9" t="s">
        <v>3026</v>
      </c>
      <c r="I1094" s="10">
        <v>45580</v>
      </c>
    </row>
    <row r="1095" spans="1:9" x14ac:dyDescent="0.15">
      <c r="A1095" s="9">
        <v>1094</v>
      </c>
      <c r="B1095" s="9" t="s">
        <v>9</v>
      </c>
      <c r="C1095" s="9">
        <v>1918</v>
      </c>
      <c r="D1095" s="10">
        <v>45663</v>
      </c>
      <c r="E1095" s="13" t="str">
        <f>+HYPERLINK("http://trademark.i-assist.jp/data/china/image_1918th/81392613.pdf","81392613")</f>
        <v>81392613</v>
      </c>
      <c r="F1095" s="9" t="s">
        <v>3027</v>
      </c>
      <c r="G1095" s="9" t="s">
        <v>2989</v>
      </c>
      <c r="H1095" s="9" t="s">
        <v>3028</v>
      </c>
      <c r="I1095" s="10">
        <v>45580</v>
      </c>
    </row>
    <row r="1096" spans="1:9" x14ac:dyDescent="0.15">
      <c r="A1096" s="9">
        <v>1095</v>
      </c>
      <c r="B1096" s="9" t="s">
        <v>9</v>
      </c>
      <c r="C1096" s="9">
        <v>1918</v>
      </c>
      <c r="D1096" s="10">
        <v>45663</v>
      </c>
      <c r="E1096" s="13" t="str">
        <f>+HYPERLINK("http://trademark.i-assist.jp/data/china/image_1918th/81392630.pdf","81392630")</f>
        <v>81392630</v>
      </c>
      <c r="F1096" s="12" t="s">
        <v>3029</v>
      </c>
      <c r="G1096" s="9" t="s">
        <v>3030</v>
      </c>
      <c r="H1096" s="12" t="s">
        <v>3031</v>
      </c>
      <c r="I1096" s="10">
        <v>45580</v>
      </c>
    </row>
    <row r="1097" spans="1:9" x14ac:dyDescent="0.15">
      <c r="A1097" s="9">
        <v>1096</v>
      </c>
      <c r="B1097" s="9" t="s">
        <v>9</v>
      </c>
      <c r="C1097" s="9">
        <v>1918</v>
      </c>
      <c r="D1097" s="10">
        <v>45663</v>
      </c>
      <c r="E1097" s="13" t="str">
        <f>+HYPERLINK("http://trademark.i-assist.jp/data/china/image_1918th/81393006.pdf","81393006")</f>
        <v>81393006</v>
      </c>
      <c r="F1097" s="9" t="s">
        <v>3032</v>
      </c>
      <c r="G1097" s="9" t="s">
        <v>3033</v>
      </c>
      <c r="H1097" s="9" t="s">
        <v>3034</v>
      </c>
      <c r="I1097" s="10">
        <v>45580</v>
      </c>
    </row>
    <row r="1098" spans="1:9" x14ac:dyDescent="0.15">
      <c r="A1098" s="9">
        <v>1097</v>
      </c>
      <c r="B1098" s="9" t="s">
        <v>9</v>
      </c>
      <c r="C1098" s="9">
        <v>1918</v>
      </c>
      <c r="D1098" s="10">
        <v>45663</v>
      </c>
      <c r="E1098" s="13" t="str">
        <f>+HYPERLINK("http://trademark.i-assist.jp/data/china/image_1918th/81393019.pdf","81393019")</f>
        <v>81393019</v>
      </c>
      <c r="F1098" s="9" t="s">
        <v>3035</v>
      </c>
      <c r="G1098" s="12" t="s">
        <v>3036</v>
      </c>
      <c r="H1098" s="9" t="s">
        <v>3037</v>
      </c>
      <c r="I1098" s="10">
        <v>45580</v>
      </c>
    </row>
    <row r="1099" spans="1:9" x14ac:dyDescent="0.15">
      <c r="A1099" s="9">
        <v>1098</v>
      </c>
      <c r="B1099" s="9" t="s">
        <v>9</v>
      </c>
      <c r="C1099" s="9">
        <v>1918</v>
      </c>
      <c r="D1099" s="10">
        <v>45663</v>
      </c>
      <c r="E1099" s="13" t="str">
        <f>+HYPERLINK("http://trademark.i-assist.jp/data/china/image_1918th/81393181.pdf","81393181")</f>
        <v>81393181</v>
      </c>
      <c r="F1099" s="12" t="s">
        <v>3038</v>
      </c>
      <c r="G1099" s="12" t="s">
        <v>3039</v>
      </c>
      <c r="H1099" s="9" t="s">
        <v>3040</v>
      </c>
      <c r="I1099" s="10">
        <v>45580</v>
      </c>
    </row>
    <row r="1100" spans="1:9" x14ac:dyDescent="0.15">
      <c r="A1100" s="9">
        <v>1099</v>
      </c>
      <c r="B1100" s="9" t="s">
        <v>9</v>
      </c>
      <c r="C1100" s="9">
        <v>1918</v>
      </c>
      <c r="D1100" s="10">
        <v>45663</v>
      </c>
      <c r="E1100" s="13" t="str">
        <f>+HYPERLINK("http://trademark.i-assist.jp/data/china/image_1918th/81394035.pdf","81394035")</f>
        <v>81394035</v>
      </c>
      <c r="F1100" s="9" t="s">
        <v>3041</v>
      </c>
      <c r="G1100" s="9" t="s">
        <v>3042</v>
      </c>
      <c r="H1100" s="9" t="s">
        <v>3043</v>
      </c>
      <c r="I1100" s="10">
        <v>45580</v>
      </c>
    </row>
    <row r="1101" spans="1:9" x14ac:dyDescent="0.15">
      <c r="A1101" s="9">
        <v>1100</v>
      </c>
      <c r="B1101" s="9" t="s">
        <v>9</v>
      </c>
      <c r="C1101" s="9">
        <v>1918</v>
      </c>
      <c r="D1101" s="10">
        <v>45663</v>
      </c>
      <c r="E1101" s="13" t="str">
        <f>+HYPERLINK("http://trademark.i-assist.jp/data/china/image_1918th/81394108.pdf","81394108")</f>
        <v>81394108</v>
      </c>
      <c r="F1101" s="9" t="s">
        <v>3044</v>
      </c>
      <c r="G1101" s="12" t="s">
        <v>3045</v>
      </c>
      <c r="H1101" s="9" t="s">
        <v>3046</v>
      </c>
      <c r="I1101" s="10">
        <v>45580</v>
      </c>
    </row>
    <row r="1102" spans="1:9" x14ac:dyDescent="0.15">
      <c r="A1102" s="9">
        <v>1101</v>
      </c>
      <c r="B1102" s="9" t="s">
        <v>9</v>
      </c>
      <c r="C1102" s="9">
        <v>1918</v>
      </c>
      <c r="D1102" s="10">
        <v>45663</v>
      </c>
      <c r="E1102" s="13" t="str">
        <f>+HYPERLINK("http://trademark.i-assist.jp/data/china/image_1918th/81394119.pdf","81394119")</f>
        <v>81394119</v>
      </c>
      <c r="F1102" s="9" t="s">
        <v>3047</v>
      </c>
      <c r="G1102" s="12" t="s">
        <v>3048</v>
      </c>
      <c r="H1102" s="9" t="s">
        <v>3049</v>
      </c>
      <c r="I1102" s="10">
        <v>45580</v>
      </c>
    </row>
    <row r="1103" spans="1:9" x14ac:dyDescent="0.15">
      <c r="A1103" s="9">
        <v>1102</v>
      </c>
      <c r="B1103" s="9" t="s">
        <v>9</v>
      </c>
      <c r="C1103" s="9">
        <v>1918</v>
      </c>
      <c r="D1103" s="10">
        <v>45663</v>
      </c>
      <c r="E1103" s="13" t="str">
        <f>+HYPERLINK("http://trademark.i-assist.jp/data/china/image_1918th/81394187.pdf","81394187")</f>
        <v>81394187</v>
      </c>
      <c r="F1103" s="9" t="s">
        <v>3050</v>
      </c>
      <c r="G1103" s="12" t="s">
        <v>2964</v>
      </c>
      <c r="H1103" s="9" t="s">
        <v>3051</v>
      </c>
      <c r="I1103" s="10">
        <v>45580</v>
      </c>
    </row>
    <row r="1104" spans="1:9" x14ac:dyDescent="0.15">
      <c r="A1104" s="9">
        <v>1103</v>
      </c>
      <c r="B1104" s="9" t="s">
        <v>9</v>
      </c>
      <c r="C1104" s="9">
        <v>1918</v>
      </c>
      <c r="D1104" s="10">
        <v>45663</v>
      </c>
      <c r="E1104" s="13" t="str">
        <f>+HYPERLINK("http://trademark.i-assist.jp/data/china/image_1918th/81394443.pdf","81394443")</f>
        <v>81394443</v>
      </c>
      <c r="F1104" s="9" t="s">
        <v>3052</v>
      </c>
      <c r="G1104" s="9" t="s">
        <v>3053</v>
      </c>
      <c r="H1104" s="9" t="s">
        <v>3054</v>
      </c>
      <c r="I1104" s="10">
        <v>45580</v>
      </c>
    </row>
    <row r="1105" spans="1:9" x14ac:dyDescent="0.15">
      <c r="A1105" s="9">
        <v>1104</v>
      </c>
      <c r="B1105" s="9" t="s">
        <v>9</v>
      </c>
      <c r="C1105" s="9">
        <v>1918</v>
      </c>
      <c r="D1105" s="10">
        <v>45663</v>
      </c>
      <c r="E1105" s="13" t="str">
        <f>+HYPERLINK("http://trademark.i-assist.jp/data/china/image_1918th/81394485.pdf","81394485")</f>
        <v>81394485</v>
      </c>
      <c r="F1105" s="12" t="s">
        <v>12</v>
      </c>
      <c r="G1105" s="9" t="s">
        <v>3055</v>
      </c>
      <c r="H1105" s="9" t="s">
        <v>3056</v>
      </c>
      <c r="I1105" s="10">
        <v>45580</v>
      </c>
    </row>
    <row r="1106" spans="1:9" x14ac:dyDescent="0.15">
      <c r="A1106" s="9">
        <v>1105</v>
      </c>
      <c r="B1106" s="9" t="s">
        <v>9</v>
      </c>
      <c r="C1106" s="9">
        <v>1918</v>
      </c>
      <c r="D1106" s="10">
        <v>45663</v>
      </c>
      <c r="E1106" s="13" t="str">
        <f>+HYPERLINK("http://trademark.i-assist.jp/data/china/image_1918th/81394523.pdf","81394523")</f>
        <v>81394523</v>
      </c>
      <c r="F1106" s="9" t="s">
        <v>3057</v>
      </c>
      <c r="G1106" s="9" t="s">
        <v>2935</v>
      </c>
      <c r="H1106" s="9" t="s">
        <v>3058</v>
      </c>
      <c r="I1106" s="10">
        <v>45580</v>
      </c>
    </row>
    <row r="1107" spans="1:9" x14ac:dyDescent="0.15">
      <c r="A1107" s="9">
        <v>1106</v>
      </c>
      <c r="B1107" s="9" t="s">
        <v>9</v>
      </c>
      <c r="C1107" s="9">
        <v>1918</v>
      </c>
      <c r="D1107" s="10">
        <v>45663</v>
      </c>
      <c r="E1107" s="13" t="str">
        <f>+HYPERLINK("http://trademark.i-assist.jp/data/china/image_1918th/81394858.pdf","81394858")</f>
        <v>81394858</v>
      </c>
      <c r="F1107" s="9" t="s">
        <v>3059</v>
      </c>
      <c r="G1107" s="12" t="s">
        <v>3048</v>
      </c>
      <c r="H1107" s="9" t="s">
        <v>3060</v>
      </c>
      <c r="I1107" s="10">
        <v>45580</v>
      </c>
    </row>
    <row r="1108" spans="1:9" x14ac:dyDescent="0.15">
      <c r="A1108" s="9">
        <v>1107</v>
      </c>
      <c r="B1108" s="9" t="s">
        <v>9</v>
      </c>
      <c r="C1108" s="9">
        <v>1918</v>
      </c>
      <c r="D1108" s="10">
        <v>45663</v>
      </c>
      <c r="E1108" s="13" t="str">
        <f>+HYPERLINK("http://trademark.i-assist.jp/data/china/image_1918th/81395011.pdf","81395011")</f>
        <v>81395011</v>
      </c>
      <c r="F1108" s="9" t="s">
        <v>3061</v>
      </c>
      <c r="G1108" s="9" t="s">
        <v>3062</v>
      </c>
      <c r="H1108" s="9" t="s">
        <v>3063</v>
      </c>
      <c r="I1108" s="10">
        <v>45580</v>
      </c>
    </row>
    <row r="1109" spans="1:9" x14ac:dyDescent="0.15">
      <c r="A1109" s="9">
        <v>1108</v>
      </c>
      <c r="B1109" s="9" t="s">
        <v>9</v>
      </c>
      <c r="C1109" s="9">
        <v>1918</v>
      </c>
      <c r="D1109" s="10">
        <v>45663</v>
      </c>
      <c r="E1109" s="13" t="str">
        <f>+HYPERLINK("http://trademark.i-assist.jp/data/china/image_1918th/81395392.pdf","81395392")</f>
        <v>81395392</v>
      </c>
      <c r="F1109" s="9" t="s">
        <v>3064</v>
      </c>
      <c r="G1109" s="9" t="s">
        <v>2970</v>
      </c>
      <c r="H1109" s="9" t="s">
        <v>3065</v>
      </c>
      <c r="I1109" s="10">
        <v>45580</v>
      </c>
    </row>
    <row r="1110" spans="1:9" x14ac:dyDescent="0.15">
      <c r="A1110" s="9">
        <v>1109</v>
      </c>
      <c r="B1110" s="9" t="s">
        <v>9</v>
      </c>
      <c r="C1110" s="9">
        <v>1918</v>
      </c>
      <c r="D1110" s="10">
        <v>45663</v>
      </c>
      <c r="E1110" s="13" t="str">
        <f>+HYPERLINK("http://trademark.i-assist.jp/data/china/image_1918th/81395781.pdf","81395781")</f>
        <v>81395781</v>
      </c>
      <c r="F1110" s="9" t="s">
        <v>3066</v>
      </c>
      <c r="G1110" s="9" t="s">
        <v>1638</v>
      </c>
      <c r="H1110" s="9" t="s">
        <v>3067</v>
      </c>
      <c r="I1110" s="10">
        <v>45580</v>
      </c>
    </row>
    <row r="1111" spans="1:9" x14ac:dyDescent="0.15">
      <c r="A1111" s="9">
        <v>1110</v>
      </c>
      <c r="B1111" s="9" t="s">
        <v>9</v>
      </c>
      <c r="C1111" s="9">
        <v>1918</v>
      </c>
      <c r="D1111" s="10">
        <v>45663</v>
      </c>
      <c r="E1111" s="13" t="str">
        <f>+HYPERLINK("http://trademark.i-assist.jp/data/china/image_1918th/81395812.pdf","81395812")</f>
        <v>81395812</v>
      </c>
      <c r="F1111" s="12" t="s">
        <v>3068</v>
      </c>
      <c r="G1111" s="9" t="s">
        <v>3069</v>
      </c>
      <c r="H1111" s="12" t="s">
        <v>3070</v>
      </c>
      <c r="I1111" s="10">
        <v>45580</v>
      </c>
    </row>
    <row r="1112" spans="1:9" x14ac:dyDescent="0.15">
      <c r="A1112" s="9">
        <v>1111</v>
      </c>
      <c r="B1112" s="9" t="s">
        <v>9</v>
      </c>
      <c r="C1112" s="9">
        <v>1918</v>
      </c>
      <c r="D1112" s="10">
        <v>45663</v>
      </c>
      <c r="E1112" s="13" t="str">
        <f>+HYPERLINK("http://trademark.i-assist.jp/data/china/image_1918th/81397659.pdf","81397659")</f>
        <v>81397659</v>
      </c>
      <c r="F1112" s="12" t="s">
        <v>3071</v>
      </c>
      <c r="G1112" s="12" t="s">
        <v>2973</v>
      </c>
      <c r="H1112" s="9" t="s">
        <v>3072</v>
      </c>
      <c r="I1112" s="10">
        <v>45580</v>
      </c>
    </row>
    <row r="1113" spans="1:9" x14ac:dyDescent="0.15">
      <c r="A1113" s="9">
        <v>1112</v>
      </c>
      <c r="B1113" s="9" t="s">
        <v>9</v>
      </c>
      <c r="C1113" s="9">
        <v>1918</v>
      </c>
      <c r="D1113" s="10">
        <v>45663</v>
      </c>
      <c r="E1113" s="13" t="str">
        <f>+HYPERLINK("http://trademark.i-assist.jp/data/china/image_1918th/81397801.pdf","81397801")</f>
        <v>81397801</v>
      </c>
      <c r="F1113" s="9" t="s">
        <v>3073</v>
      </c>
      <c r="G1113" s="12" t="s">
        <v>3048</v>
      </c>
      <c r="H1113" s="9" t="s">
        <v>3074</v>
      </c>
      <c r="I1113" s="10">
        <v>45580</v>
      </c>
    </row>
    <row r="1114" spans="1:9" x14ac:dyDescent="0.15">
      <c r="A1114" s="9">
        <v>1113</v>
      </c>
      <c r="B1114" s="9" t="s">
        <v>9</v>
      </c>
      <c r="C1114" s="9">
        <v>1918</v>
      </c>
      <c r="D1114" s="10">
        <v>45663</v>
      </c>
      <c r="E1114" s="13" t="str">
        <f>+HYPERLINK("http://trademark.i-assist.jp/data/china/image_1918th/81397847.pdf","81397847")</f>
        <v>81397847</v>
      </c>
      <c r="F1114" s="12" t="s">
        <v>3075</v>
      </c>
      <c r="G1114" s="12" t="s">
        <v>2964</v>
      </c>
      <c r="H1114" s="9" t="s">
        <v>3076</v>
      </c>
      <c r="I1114" s="10">
        <v>45580</v>
      </c>
    </row>
    <row r="1115" spans="1:9" x14ac:dyDescent="0.15">
      <c r="A1115" s="9">
        <v>1114</v>
      </c>
      <c r="B1115" s="9" t="s">
        <v>9</v>
      </c>
      <c r="C1115" s="9">
        <v>1918</v>
      </c>
      <c r="D1115" s="10">
        <v>45663</v>
      </c>
      <c r="E1115" s="13" t="str">
        <f>+HYPERLINK("http://trademark.i-assist.jp/data/china/image_1918th/81398004.pdf","81398004")</f>
        <v>81398004</v>
      </c>
      <c r="F1115" s="9" t="s">
        <v>3077</v>
      </c>
      <c r="G1115" s="9" t="s">
        <v>3078</v>
      </c>
      <c r="H1115" s="9" t="s">
        <v>3079</v>
      </c>
      <c r="I1115" s="10">
        <v>45580</v>
      </c>
    </row>
    <row r="1116" spans="1:9" x14ac:dyDescent="0.15">
      <c r="A1116" s="9">
        <v>1115</v>
      </c>
      <c r="B1116" s="9" t="s">
        <v>9</v>
      </c>
      <c r="C1116" s="9">
        <v>1918</v>
      </c>
      <c r="D1116" s="10">
        <v>45663</v>
      </c>
      <c r="E1116" s="13" t="str">
        <f>+HYPERLINK("http://trademark.i-assist.jp/data/china/image_1918th/81398605.pdf","81398605")</f>
        <v>81398605</v>
      </c>
      <c r="F1116" s="12" t="s">
        <v>3080</v>
      </c>
      <c r="G1116" s="9" t="s">
        <v>3081</v>
      </c>
      <c r="H1116" s="9" t="s">
        <v>3082</v>
      </c>
      <c r="I1116" s="10">
        <v>45580</v>
      </c>
    </row>
    <row r="1117" spans="1:9" x14ac:dyDescent="0.15">
      <c r="A1117" s="9">
        <v>1116</v>
      </c>
      <c r="B1117" s="9" t="s">
        <v>9</v>
      </c>
      <c r="C1117" s="9">
        <v>1918</v>
      </c>
      <c r="D1117" s="10">
        <v>45663</v>
      </c>
      <c r="E1117" s="13" t="str">
        <f>+HYPERLINK("http://trademark.i-assist.jp/data/china/image_1918th/81398908.pdf","81398908")</f>
        <v>81398908</v>
      </c>
      <c r="F1117" s="9" t="s">
        <v>3083</v>
      </c>
      <c r="G1117" s="12" t="s">
        <v>1513</v>
      </c>
      <c r="H1117" s="9" t="s">
        <v>3084</v>
      </c>
      <c r="I1117" s="10">
        <v>45580</v>
      </c>
    </row>
    <row r="1118" spans="1:9" x14ac:dyDescent="0.15">
      <c r="A1118" s="9">
        <v>1117</v>
      </c>
      <c r="B1118" s="9" t="s">
        <v>9</v>
      </c>
      <c r="C1118" s="9">
        <v>1918</v>
      </c>
      <c r="D1118" s="10">
        <v>45663</v>
      </c>
      <c r="E1118" s="13" t="str">
        <f>+HYPERLINK("http://trademark.i-assist.jp/data/china/image_1918th/81401420.pdf","81401420")</f>
        <v>81401420</v>
      </c>
      <c r="F1118" s="9" t="s">
        <v>3085</v>
      </c>
      <c r="G1118" s="9" t="s">
        <v>3086</v>
      </c>
      <c r="H1118" s="9" t="s">
        <v>3087</v>
      </c>
      <c r="I1118" s="10">
        <v>45580</v>
      </c>
    </row>
    <row r="1119" spans="1:9" x14ac:dyDescent="0.15">
      <c r="A1119" s="9">
        <v>1118</v>
      </c>
      <c r="B1119" s="9" t="s">
        <v>9</v>
      </c>
      <c r="C1119" s="9">
        <v>1918</v>
      </c>
      <c r="D1119" s="10">
        <v>45663</v>
      </c>
      <c r="E1119" s="13" t="str">
        <f>+HYPERLINK("http://trademark.i-assist.jp/data/china/image_1918th/81401942.pdf","81401942")</f>
        <v>81401942</v>
      </c>
      <c r="F1119" s="9" t="s">
        <v>3088</v>
      </c>
      <c r="G1119" s="12" t="s">
        <v>3048</v>
      </c>
      <c r="H1119" s="9" t="s">
        <v>3089</v>
      </c>
      <c r="I1119" s="10">
        <v>45580</v>
      </c>
    </row>
    <row r="1120" spans="1:9" x14ac:dyDescent="0.15">
      <c r="A1120" s="9">
        <v>1119</v>
      </c>
      <c r="B1120" s="9" t="s">
        <v>9</v>
      </c>
      <c r="C1120" s="9">
        <v>1918</v>
      </c>
      <c r="D1120" s="10">
        <v>45663</v>
      </c>
      <c r="E1120" s="13" t="str">
        <f>+HYPERLINK("http://trademark.i-assist.jp/data/china/image_1918th/81402700.pdf","81402700")</f>
        <v>81402700</v>
      </c>
      <c r="F1120" s="9" t="s">
        <v>3090</v>
      </c>
      <c r="G1120" s="12" t="s">
        <v>3091</v>
      </c>
      <c r="H1120" s="9" t="s">
        <v>3092</v>
      </c>
      <c r="I1120" s="10">
        <v>45580</v>
      </c>
    </row>
    <row r="1121" spans="1:9" x14ac:dyDescent="0.15">
      <c r="A1121" s="9">
        <v>1120</v>
      </c>
      <c r="B1121" s="9" t="s">
        <v>9</v>
      </c>
      <c r="C1121" s="9">
        <v>1918</v>
      </c>
      <c r="D1121" s="10">
        <v>45663</v>
      </c>
      <c r="E1121" s="13" t="str">
        <f>+HYPERLINK("http://trademark.i-assist.jp/data/china/image_1918th/81403121.pdf","81403121")</f>
        <v>81403121</v>
      </c>
      <c r="F1121" s="9" t="s">
        <v>3093</v>
      </c>
      <c r="G1121" s="12" t="s">
        <v>2973</v>
      </c>
      <c r="H1121" s="9" t="s">
        <v>3094</v>
      </c>
      <c r="I1121" s="10">
        <v>45580</v>
      </c>
    </row>
    <row r="1122" spans="1:9" x14ac:dyDescent="0.15">
      <c r="A1122" s="9">
        <v>1121</v>
      </c>
      <c r="B1122" s="9" t="s">
        <v>9</v>
      </c>
      <c r="C1122" s="9">
        <v>1918</v>
      </c>
      <c r="D1122" s="10">
        <v>45663</v>
      </c>
      <c r="E1122" s="13" t="str">
        <f>+HYPERLINK("http://trademark.i-assist.jp/data/china/image_1918th/81403155.pdf","81403155")</f>
        <v>81403155</v>
      </c>
      <c r="F1122" s="9" t="s">
        <v>3095</v>
      </c>
      <c r="G1122" s="12" t="s">
        <v>3096</v>
      </c>
      <c r="H1122" s="9" t="s">
        <v>3097</v>
      </c>
      <c r="I1122" s="10">
        <v>45580</v>
      </c>
    </row>
    <row r="1123" spans="1:9" x14ac:dyDescent="0.15">
      <c r="A1123" s="9">
        <v>1122</v>
      </c>
      <c r="B1123" s="9" t="s">
        <v>9</v>
      </c>
      <c r="C1123" s="9">
        <v>1918</v>
      </c>
      <c r="D1123" s="10">
        <v>45663</v>
      </c>
      <c r="E1123" s="13" t="str">
        <f>+HYPERLINK("http://trademark.i-assist.jp/data/china/image_1918th/81403176.pdf","81403176")</f>
        <v>81403176</v>
      </c>
      <c r="F1123" s="9" t="s">
        <v>3098</v>
      </c>
      <c r="G1123" s="12" t="s">
        <v>2964</v>
      </c>
      <c r="H1123" s="9" t="s">
        <v>3099</v>
      </c>
      <c r="I1123" s="10">
        <v>45580</v>
      </c>
    </row>
    <row r="1124" spans="1:9" x14ac:dyDescent="0.15">
      <c r="A1124" s="9">
        <v>1123</v>
      </c>
      <c r="B1124" s="9" t="s">
        <v>9</v>
      </c>
      <c r="C1124" s="9">
        <v>1918</v>
      </c>
      <c r="D1124" s="10">
        <v>45663</v>
      </c>
      <c r="E1124" s="13" t="str">
        <f>+HYPERLINK("http://trademark.i-assist.jp/data/china/image_1918th/81403401.pdf","81403401")</f>
        <v>81403401</v>
      </c>
      <c r="F1124" s="12" t="s">
        <v>3100</v>
      </c>
      <c r="G1124" s="12" t="s">
        <v>3101</v>
      </c>
      <c r="H1124" s="9" t="s">
        <v>3102</v>
      </c>
      <c r="I1124" s="10">
        <v>45580</v>
      </c>
    </row>
    <row r="1125" spans="1:9" x14ac:dyDescent="0.15">
      <c r="A1125" s="9">
        <v>1124</v>
      </c>
      <c r="B1125" s="9" t="s">
        <v>9</v>
      </c>
      <c r="C1125" s="9">
        <v>1918</v>
      </c>
      <c r="D1125" s="10">
        <v>45663</v>
      </c>
      <c r="E1125" s="13" t="str">
        <f>+HYPERLINK("http://trademark.i-assist.jp/data/china/image_1918th/81403663.pdf","81403663")</f>
        <v>81403663</v>
      </c>
      <c r="F1125" s="9" t="s">
        <v>3103</v>
      </c>
      <c r="G1125" s="9" t="s">
        <v>3104</v>
      </c>
      <c r="H1125" s="9" t="s">
        <v>3105</v>
      </c>
      <c r="I1125" s="10">
        <v>45580</v>
      </c>
    </row>
    <row r="1126" spans="1:9" x14ac:dyDescent="0.15">
      <c r="A1126" s="9">
        <v>1125</v>
      </c>
      <c r="B1126" s="9" t="s">
        <v>9</v>
      </c>
      <c r="C1126" s="9">
        <v>1918</v>
      </c>
      <c r="D1126" s="10">
        <v>45663</v>
      </c>
      <c r="E1126" s="13" t="str">
        <f>+HYPERLINK("http://trademark.i-assist.jp/data/china/image_1918th/81404367.pdf","81404367")</f>
        <v>81404367</v>
      </c>
      <c r="F1126" s="9" t="s">
        <v>3106</v>
      </c>
      <c r="G1126" s="9" t="s">
        <v>3107</v>
      </c>
      <c r="H1126" s="9" t="s">
        <v>3108</v>
      </c>
      <c r="I1126" s="10">
        <v>45580</v>
      </c>
    </row>
    <row r="1127" spans="1:9" x14ac:dyDescent="0.15">
      <c r="A1127" s="9">
        <v>1126</v>
      </c>
      <c r="B1127" s="9" t="s">
        <v>9</v>
      </c>
      <c r="C1127" s="9">
        <v>1918</v>
      </c>
      <c r="D1127" s="10">
        <v>45663</v>
      </c>
      <c r="E1127" s="13" t="str">
        <f>+HYPERLINK("http://trademark.i-assist.jp/data/china/image_1918th/81405004.pdf","81405004")</f>
        <v>81405004</v>
      </c>
      <c r="F1127" s="9" t="s">
        <v>3109</v>
      </c>
      <c r="G1127" s="9" t="s">
        <v>3110</v>
      </c>
      <c r="H1127" s="9" t="s">
        <v>3111</v>
      </c>
      <c r="I1127" s="10">
        <v>45580</v>
      </c>
    </row>
    <row r="1128" spans="1:9" x14ac:dyDescent="0.15">
      <c r="A1128" s="9">
        <v>1127</v>
      </c>
      <c r="B1128" s="9" t="s">
        <v>9</v>
      </c>
      <c r="C1128" s="9">
        <v>1918</v>
      </c>
      <c r="D1128" s="10">
        <v>45663</v>
      </c>
      <c r="E1128" s="13" t="str">
        <f>+HYPERLINK("http://trademark.i-assist.jp/data/china/image_1918th/81405538.pdf","81405538")</f>
        <v>81405538</v>
      </c>
      <c r="F1128" s="9" t="s">
        <v>3112</v>
      </c>
      <c r="G1128" s="9" t="s">
        <v>3113</v>
      </c>
      <c r="H1128" s="9" t="s">
        <v>3114</v>
      </c>
      <c r="I1128" s="10">
        <v>45581</v>
      </c>
    </row>
    <row r="1129" spans="1:9" x14ac:dyDescent="0.15">
      <c r="A1129" s="9">
        <v>1128</v>
      </c>
      <c r="B1129" s="9" t="s">
        <v>9</v>
      </c>
      <c r="C1129" s="9">
        <v>1918</v>
      </c>
      <c r="D1129" s="10">
        <v>45663</v>
      </c>
      <c r="E1129" s="13" t="str">
        <f>+HYPERLINK("http://trademark.i-assist.jp/data/china/image_1918th/81405541.pdf","81405541")</f>
        <v>81405541</v>
      </c>
      <c r="F1129" s="9" t="s">
        <v>3115</v>
      </c>
      <c r="G1129" s="9" t="s">
        <v>1826</v>
      </c>
      <c r="H1129" s="9" t="s">
        <v>3116</v>
      </c>
      <c r="I1129" s="10">
        <v>45581</v>
      </c>
    </row>
    <row r="1130" spans="1:9" x14ac:dyDescent="0.15">
      <c r="A1130" s="9">
        <v>1129</v>
      </c>
      <c r="B1130" s="9" t="s">
        <v>9</v>
      </c>
      <c r="C1130" s="9">
        <v>1918</v>
      </c>
      <c r="D1130" s="10">
        <v>45663</v>
      </c>
      <c r="E1130" s="13" t="str">
        <f>+HYPERLINK("http://trademark.i-assist.jp/data/china/image_1918th/81405690.pdf","81405690")</f>
        <v>81405690</v>
      </c>
      <c r="F1130" s="9" t="s">
        <v>3117</v>
      </c>
      <c r="G1130" s="9" t="s">
        <v>3118</v>
      </c>
      <c r="H1130" s="9" t="s">
        <v>3119</v>
      </c>
      <c r="I1130" s="10">
        <v>45581</v>
      </c>
    </row>
    <row r="1131" spans="1:9" x14ac:dyDescent="0.15">
      <c r="A1131" s="9">
        <v>1130</v>
      </c>
      <c r="B1131" s="9" t="s">
        <v>9</v>
      </c>
      <c r="C1131" s="9">
        <v>1918</v>
      </c>
      <c r="D1131" s="10">
        <v>45663</v>
      </c>
      <c r="E1131" s="13" t="str">
        <f>+HYPERLINK("http://trademark.i-assist.jp/data/china/image_1918th/81405775.pdf","81405775")</f>
        <v>81405775</v>
      </c>
      <c r="F1131" s="12" t="s">
        <v>12</v>
      </c>
      <c r="G1131" s="12" t="s">
        <v>3120</v>
      </c>
      <c r="H1131" s="9" t="s">
        <v>3121</v>
      </c>
      <c r="I1131" s="10">
        <v>45581</v>
      </c>
    </row>
    <row r="1132" spans="1:9" x14ac:dyDescent="0.15">
      <c r="A1132" s="9">
        <v>1131</v>
      </c>
      <c r="B1132" s="9" t="s">
        <v>9</v>
      </c>
      <c r="C1132" s="9">
        <v>1918</v>
      </c>
      <c r="D1132" s="10">
        <v>45663</v>
      </c>
      <c r="E1132" s="13" t="str">
        <f>+HYPERLINK("http://trademark.i-assist.jp/data/china/image_1918th/81405852.pdf","81405852")</f>
        <v>81405852</v>
      </c>
      <c r="F1132" s="12" t="s">
        <v>3122</v>
      </c>
      <c r="G1132" s="12" t="s">
        <v>3123</v>
      </c>
      <c r="H1132" s="9" t="s">
        <v>3124</v>
      </c>
      <c r="I1132" s="10">
        <v>45581</v>
      </c>
    </row>
    <row r="1133" spans="1:9" x14ac:dyDescent="0.15">
      <c r="A1133" s="9">
        <v>1132</v>
      </c>
      <c r="B1133" s="9" t="s">
        <v>9</v>
      </c>
      <c r="C1133" s="9">
        <v>1918</v>
      </c>
      <c r="D1133" s="10">
        <v>45663</v>
      </c>
      <c r="E1133" s="13" t="str">
        <f>+HYPERLINK("http://trademark.i-assist.jp/data/china/image_1918th/81405874.pdf","81405874")</f>
        <v>81405874</v>
      </c>
      <c r="F1133" s="9" t="s">
        <v>3125</v>
      </c>
      <c r="G1133" s="12" t="s">
        <v>3123</v>
      </c>
      <c r="H1133" s="9" t="s">
        <v>3126</v>
      </c>
      <c r="I1133" s="10">
        <v>45581</v>
      </c>
    </row>
    <row r="1134" spans="1:9" x14ac:dyDescent="0.15">
      <c r="A1134" s="9">
        <v>1133</v>
      </c>
      <c r="B1134" s="9" t="s">
        <v>9</v>
      </c>
      <c r="C1134" s="9">
        <v>1918</v>
      </c>
      <c r="D1134" s="10">
        <v>45663</v>
      </c>
      <c r="E1134" s="13" t="str">
        <f>+HYPERLINK("http://trademark.i-assist.jp/data/china/image_1918th/81406164.pdf","81406164")</f>
        <v>81406164</v>
      </c>
      <c r="F1134" s="9" t="s">
        <v>3127</v>
      </c>
      <c r="G1134" s="9" t="s">
        <v>3128</v>
      </c>
      <c r="H1134" s="9" t="s">
        <v>3129</v>
      </c>
      <c r="I1134" s="10">
        <v>45581</v>
      </c>
    </row>
    <row r="1135" spans="1:9" x14ac:dyDescent="0.15">
      <c r="A1135" s="9">
        <v>1134</v>
      </c>
      <c r="B1135" s="9" t="s">
        <v>9</v>
      </c>
      <c r="C1135" s="9">
        <v>1918</v>
      </c>
      <c r="D1135" s="10">
        <v>45663</v>
      </c>
      <c r="E1135" s="13" t="str">
        <f>+HYPERLINK("http://trademark.i-assist.jp/data/china/image_1918th/81406174.pdf","81406174")</f>
        <v>81406174</v>
      </c>
      <c r="F1135" s="9" t="s">
        <v>3130</v>
      </c>
      <c r="G1135" s="9" t="s">
        <v>49</v>
      </c>
      <c r="H1135" s="9" t="s">
        <v>3131</v>
      </c>
      <c r="I1135" s="10">
        <v>45581</v>
      </c>
    </row>
    <row r="1136" spans="1:9" x14ac:dyDescent="0.15">
      <c r="A1136" s="9">
        <v>1135</v>
      </c>
      <c r="B1136" s="9" t="s">
        <v>9</v>
      </c>
      <c r="C1136" s="9">
        <v>1918</v>
      </c>
      <c r="D1136" s="10">
        <v>45663</v>
      </c>
      <c r="E1136" s="13" t="str">
        <f>+HYPERLINK("http://trademark.i-assist.jp/data/china/image_1918th/81406224.pdf","81406224")</f>
        <v>81406224</v>
      </c>
      <c r="F1136" s="9" t="s">
        <v>3132</v>
      </c>
      <c r="G1136" s="9" t="s">
        <v>3133</v>
      </c>
      <c r="H1136" s="9" t="s">
        <v>3134</v>
      </c>
      <c r="I1136" s="10">
        <v>45581</v>
      </c>
    </row>
    <row r="1137" spans="1:9" x14ac:dyDescent="0.15">
      <c r="A1137" s="9">
        <v>1136</v>
      </c>
      <c r="B1137" s="9" t="s">
        <v>9</v>
      </c>
      <c r="C1137" s="9">
        <v>1918</v>
      </c>
      <c r="D1137" s="10">
        <v>45663</v>
      </c>
      <c r="E1137" s="13" t="str">
        <f>+HYPERLINK("http://trademark.i-assist.jp/data/china/image_1918th/81406342.pdf","81406342")</f>
        <v>81406342</v>
      </c>
      <c r="F1137" s="12" t="s">
        <v>3135</v>
      </c>
      <c r="G1137" s="9" t="s">
        <v>3136</v>
      </c>
      <c r="H1137" s="9" t="s">
        <v>3137</v>
      </c>
      <c r="I1137" s="10">
        <v>45581</v>
      </c>
    </row>
    <row r="1138" spans="1:9" x14ac:dyDescent="0.15">
      <c r="A1138" s="9">
        <v>1137</v>
      </c>
      <c r="B1138" s="9" t="s">
        <v>9</v>
      </c>
      <c r="C1138" s="9">
        <v>1918</v>
      </c>
      <c r="D1138" s="10">
        <v>45663</v>
      </c>
      <c r="E1138" s="13" t="str">
        <f>+HYPERLINK("http://trademark.i-assist.jp/data/china/image_1918th/81406348.pdf","81406348")</f>
        <v>81406348</v>
      </c>
      <c r="F1138" s="9" t="s">
        <v>3138</v>
      </c>
      <c r="G1138" s="9" t="s">
        <v>73</v>
      </c>
      <c r="H1138" s="9" t="s">
        <v>3139</v>
      </c>
      <c r="I1138" s="10">
        <v>45581</v>
      </c>
    </row>
    <row r="1139" spans="1:9" x14ac:dyDescent="0.15">
      <c r="A1139" s="9">
        <v>1138</v>
      </c>
      <c r="B1139" s="9" t="s">
        <v>9</v>
      </c>
      <c r="C1139" s="9">
        <v>1918</v>
      </c>
      <c r="D1139" s="10">
        <v>45663</v>
      </c>
      <c r="E1139" s="13" t="str">
        <f>+HYPERLINK("http://trademark.i-assist.jp/data/china/image_1918th/81406465.pdf","81406465")</f>
        <v>81406465</v>
      </c>
      <c r="F1139" s="9" t="s">
        <v>3140</v>
      </c>
      <c r="G1139" s="9" t="s">
        <v>3141</v>
      </c>
      <c r="H1139" s="9" t="s">
        <v>3142</v>
      </c>
      <c r="I1139" s="10">
        <v>45581</v>
      </c>
    </row>
    <row r="1140" spans="1:9" x14ac:dyDescent="0.15">
      <c r="A1140" s="9">
        <v>1139</v>
      </c>
      <c r="B1140" s="9" t="s">
        <v>9</v>
      </c>
      <c r="C1140" s="9">
        <v>1918</v>
      </c>
      <c r="D1140" s="10">
        <v>45663</v>
      </c>
      <c r="E1140" s="13" t="str">
        <f>+HYPERLINK("http://trademark.i-assist.jp/data/china/image_1918th/81406484.pdf","81406484")</f>
        <v>81406484</v>
      </c>
      <c r="F1140" s="9" t="s">
        <v>3143</v>
      </c>
      <c r="G1140" s="9" t="s">
        <v>3144</v>
      </c>
      <c r="H1140" s="9" t="s">
        <v>3145</v>
      </c>
      <c r="I1140" s="10">
        <v>45581</v>
      </c>
    </row>
    <row r="1141" spans="1:9" x14ac:dyDescent="0.15">
      <c r="A1141" s="9">
        <v>1140</v>
      </c>
      <c r="B1141" s="9" t="s">
        <v>9</v>
      </c>
      <c r="C1141" s="9">
        <v>1918</v>
      </c>
      <c r="D1141" s="10">
        <v>45663</v>
      </c>
      <c r="E1141" s="13" t="str">
        <f>+HYPERLINK("http://trademark.i-assist.jp/data/china/image_1918th/81406845.pdf","81406845")</f>
        <v>81406845</v>
      </c>
      <c r="F1141" s="9" t="s">
        <v>3146</v>
      </c>
      <c r="G1141" s="9" t="s">
        <v>3147</v>
      </c>
      <c r="H1141" s="9" t="s">
        <v>3148</v>
      </c>
      <c r="I1141" s="10">
        <v>45581</v>
      </c>
    </row>
    <row r="1142" spans="1:9" x14ac:dyDescent="0.15">
      <c r="A1142" s="9">
        <v>1141</v>
      </c>
      <c r="B1142" s="9" t="s">
        <v>9</v>
      </c>
      <c r="C1142" s="9">
        <v>1918</v>
      </c>
      <c r="D1142" s="10">
        <v>45663</v>
      </c>
      <c r="E1142" s="13" t="str">
        <f>+HYPERLINK("http://trademark.i-assist.jp/data/china/image_1918th/81406918.pdf","81406918")</f>
        <v>81406918</v>
      </c>
      <c r="F1142" s="12" t="s">
        <v>12</v>
      </c>
      <c r="G1142" s="9" t="s">
        <v>3149</v>
      </c>
      <c r="H1142" s="9" t="s">
        <v>3150</v>
      </c>
      <c r="I1142" s="10">
        <v>45581</v>
      </c>
    </row>
    <row r="1143" spans="1:9" x14ac:dyDescent="0.15">
      <c r="A1143" s="9">
        <v>1142</v>
      </c>
      <c r="B1143" s="9" t="s">
        <v>9</v>
      </c>
      <c r="C1143" s="9">
        <v>1918</v>
      </c>
      <c r="D1143" s="10">
        <v>45663</v>
      </c>
      <c r="E1143" s="13" t="str">
        <f>+HYPERLINK("http://trademark.i-assist.jp/data/china/image_1918th/81407349.pdf","81407349")</f>
        <v>81407349</v>
      </c>
      <c r="F1143" s="9" t="s">
        <v>3151</v>
      </c>
      <c r="G1143" s="9" t="s">
        <v>3152</v>
      </c>
      <c r="H1143" s="9" t="s">
        <v>3153</v>
      </c>
      <c r="I1143" s="10">
        <v>45581</v>
      </c>
    </row>
    <row r="1144" spans="1:9" x14ac:dyDescent="0.15">
      <c r="A1144" s="9">
        <v>1143</v>
      </c>
      <c r="B1144" s="9" t="s">
        <v>9</v>
      </c>
      <c r="C1144" s="9">
        <v>1918</v>
      </c>
      <c r="D1144" s="10">
        <v>45663</v>
      </c>
      <c r="E1144" s="13" t="str">
        <f>+HYPERLINK("http://trademark.i-assist.jp/data/china/image_1918th/81407361.pdf","81407361")</f>
        <v>81407361</v>
      </c>
      <c r="F1144" s="9" t="s">
        <v>3154</v>
      </c>
      <c r="G1144" s="9" t="s">
        <v>3155</v>
      </c>
      <c r="H1144" s="9" t="s">
        <v>3156</v>
      </c>
      <c r="I1144" s="10">
        <v>45581</v>
      </c>
    </row>
    <row r="1145" spans="1:9" x14ac:dyDescent="0.15">
      <c r="A1145" s="9">
        <v>1144</v>
      </c>
      <c r="B1145" s="9" t="s">
        <v>9</v>
      </c>
      <c r="C1145" s="9">
        <v>1918</v>
      </c>
      <c r="D1145" s="10">
        <v>45663</v>
      </c>
      <c r="E1145" s="13" t="str">
        <f>+HYPERLINK("http://trademark.i-assist.jp/data/china/image_1918th/81407870.pdf","81407870")</f>
        <v>81407870</v>
      </c>
      <c r="F1145" s="9" t="s">
        <v>3157</v>
      </c>
      <c r="G1145" s="9" t="s">
        <v>1638</v>
      </c>
      <c r="H1145" s="9" t="s">
        <v>3158</v>
      </c>
      <c r="I1145" s="10">
        <v>45581</v>
      </c>
    </row>
    <row r="1146" spans="1:9" x14ac:dyDescent="0.15">
      <c r="A1146" s="9">
        <v>1145</v>
      </c>
      <c r="B1146" s="9" t="s">
        <v>9</v>
      </c>
      <c r="C1146" s="9">
        <v>1918</v>
      </c>
      <c r="D1146" s="10">
        <v>45663</v>
      </c>
      <c r="E1146" s="13" t="str">
        <f>+HYPERLINK("http://trademark.i-assist.jp/data/china/image_1918th/81407949.pdf","81407949")</f>
        <v>81407949</v>
      </c>
      <c r="F1146" s="9" t="s">
        <v>3159</v>
      </c>
      <c r="G1146" s="9" t="s">
        <v>3160</v>
      </c>
      <c r="H1146" s="12" t="s">
        <v>3161</v>
      </c>
      <c r="I1146" s="10">
        <v>45581</v>
      </c>
    </row>
    <row r="1147" spans="1:9" x14ac:dyDescent="0.15">
      <c r="A1147" s="9">
        <v>1146</v>
      </c>
      <c r="B1147" s="9" t="s">
        <v>9</v>
      </c>
      <c r="C1147" s="9">
        <v>1918</v>
      </c>
      <c r="D1147" s="10">
        <v>45663</v>
      </c>
      <c r="E1147" s="13" t="str">
        <f>+HYPERLINK("http://trademark.i-assist.jp/data/china/image_1918th/81408445.pdf","81408445")</f>
        <v>81408445</v>
      </c>
      <c r="F1147" s="9" t="s">
        <v>3162</v>
      </c>
      <c r="G1147" s="12" t="s">
        <v>1840</v>
      </c>
      <c r="H1147" s="9" t="s">
        <v>3163</v>
      </c>
      <c r="I1147" s="10">
        <v>45581</v>
      </c>
    </row>
    <row r="1148" spans="1:9" x14ac:dyDescent="0.15">
      <c r="A1148" s="9">
        <v>1147</v>
      </c>
      <c r="B1148" s="9" t="s">
        <v>9</v>
      </c>
      <c r="C1148" s="9">
        <v>1918</v>
      </c>
      <c r="D1148" s="10">
        <v>45663</v>
      </c>
      <c r="E1148" s="13" t="str">
        <f>+HYPERLINK("http://trademark.i-assist.jp/data/china/image_1918th/81408623.pdf","81408623")</f>
        <v>81408623</v>
      </c>
      <c r="F1148" s="9" t="s">
        <v>3164</v>
      </c>
      <c r="G1148" s="9" t="s">
        <v>3165</v>
      </c>
      <c r="H1148" s="12" t="s">
        <v>3166</v>
      </c>
      <c r="I1148" s="10">
        <v>45581</v>
      </c>
    </row>
    <row r="1149" spans="1:9" x14ac:dyDescent="0.15">
      <c r="A1149" s="9">
        <v>1148</v>
      </c>
      <c r="B1149" s="9" t="s">
        <v>9</v>
      </c>
      <c r="C1149" s="9">
        <v>1918</v>
      </c>
      <c r="D1149" s="10">
        <v>45663</v>
      </c>
      <c r="E1149" s="13" t="str">
        <f>+HYPERLINK("http://trademark.i-assist.jp/data/china/image_1918th/81408703.pdf","81408703")</f>
        <v>81408703</v>
      </c>
      <c r="F1149" s="12" t="s">
        <v>3167</v>
      </c>
      <c r="G1149" s="9" t="s">
        <v>3168</v>
      </c>
      <c r="H1149" s="9" t="s">
        <v>3169</v>
      </c>
      <c r="I1149" s="10">
        <v>45581</v>
      </c>
    </row>
    <row r="1150" spans="1:9" x14ac:dyDescent="0.15">
      <c r="A1150" s="9">
        <v>1149</v>
      </c>
      <c r="B1150" s="9" t="s">
        <v>9</v>
      </c>
      <c r="C1150" s="9">
        <v>1918</v>
      </c>
      <c r="D1150" s="10">
        <v>45663</v>
      </c>
      <c r="E1150" s="13" t="str">
        <f>+HYPERLINK("http://trademark.i-assist.jp/data/china/image_1918th/81409013.pdf","81409013")</f>
        <v>81409013</v>
      </c>
      <c r="F1150" s="9" t="s">
        <v>3170</v>
      </c>
      <c r="G1150" s="9" t="s">
        <v>3171</v>
      </c>
      <c r="H1150" s="9" t="s">
        <v>3172</v>
      </c>
      <c r="I1150" s="10">
        <v>45581</v>
      </c>
    </row>
    <row r="1151" spans="1:9" x14ac:dyDescent="0.15">
      <c r="A1151" s="9">
        <v>1150</v>
      </c>
      <c r="B1151" s="9" t="s">
        <v>9</v>
      </c>
      <c r="C1151" s="9">
        <v>1918</v>
      </c>
      <c r="D1151" s="10">
        <v>45663</v>
      </c>
      <c r="E1151" s="13" t="str">
        <f>+HYPERLINK("http://trademark.i-assist.jp/data/china/image_1918th/81409061.pdf","81409061")</f>
        <v>81409061</v>
      </c>
      <c r="F1151" s="9" t="s">
        <v>3173</v>
      </c>
      <c r="G1151" s="9" t="s">
        <v>3174</v>
      </c>
      <c r="H1151" s="9" t="s">
        <v>3175</v>
      </c>
      <c r="I1151" s="10">
        <v>45581</v>
      </c>
    </row>
    <row r="1152" spans="1:9" x14ac:dyDescent="0.15">
      <c r="A1152" s="9">
        <v>1151</v>
      </c>
      <c r="B1152" s="9" t="s">
        <v>9</v>
      </c>
      <c r="C1152" s="9">
        <v>1918</v>
      </c>
      <c r="D1152" s="10">
        <v>45663</v>
      </c>
      <c r="E1152" s="13" t="str">
        <f>+HYPERLINK("http://trademark.i-assist.jp/data/china/image_1918th/81409067.pdf","81409067")</f>
        <v>81409067</v>
      </c>
      <c r="F1152" s="9" t="s">
        <v>3176</v>
      </c>
      <c r="G1152" s="12" t="s">
        <v>3177</v>
      </c>
      <c r="H1152" s="9" t="s">
        <v>3178</v>
      </c>
      <c r="I1152" s="10">
        <v>45581</v>
      </c>
    </row>
    <row r="1153" spans="1:9" x14ac:dyDescent="0.15">
      <c r="A1153" s="9">
        <v>1152</v>
      </c>
      <c r="B1153" s="9" t="s">
        <v>9</v>
      </c>
      <c r="C1153" s="9">
        <v>1918</v>
      </c>
      <c r="D1153" s="10">
        <v>45663</v>
      </c>
      <c r="E1153" s="13" t="str">
        <f>+HYPERLINK("http://trademark.i-assist.jp/data/china/image_1918th/81409160.pdf","81409160")</f>
        <v>81409160</v>
      </c>
      <c r="F1153" s="12" t="s">
        <v>3179</v>
      </c>
      <c r="G1153" s="9" t="s">
        <v>3180</v>
      </c>
      <c r="H1153" s="9" t="s">
        <v>3181</v>
      </c>
      <c r="I1153" s="10">
        <v>45581</v>
      </c>
    </row>
    <row r="1154" spans="1:9" x14ac:dyDescent="0.15">
      <c r="A1154" s="9">
        <v>1153</v>
      </c>
      <c r="B1154" s="9" t="s">
        <v>9</v>
      </c>
      <c r="C1154" s="9">
        <v>1918</v>
      </c>
      <c r="D1154" s="10">
        <v>45663</v>
      </c>
      <c r="E1154" s="13" t="str">
        <f>+HYPERLINK("http://trademark.i-assist.jp/data/china/image_1918th/81409458.pdf","81409458")</f>
        <v>81409458</v>
      </c>
      <c r="F1154" s="9" t="s">
        <v>3182</v>
      </c>
      <c r="G1154" s="9" t="s">
        <v>1457</v>
      </c>
      <c r="H1154" s="12" t="s">
        <v>3183</v>
      </c>
      <c r="I1154" s="10">
        <v>45581</v>
      </c>
    </row>
    <row r="1155" spans="1:9" x14ac:dyDescent="0.15">
      <c r="A1155" s="9">
        <v>1154</v>
      </c>
      <c r="B1155" s="9" t="s">
        <v>9</v>
      </c>
      <c r="C1155" s="9">
        <v>1918</v>
      </c>
      <c r="D1155" s="10">
        <v>45663</v>
      </c>
      <c r="E1155" s="13" t="str">
        <f>+HYPERLINK("http://trademark.i-assist.jp/data/china/image_1918th/81409501.pdf","81409501")</f>
        <v>81409501</v>
      </c>
      <c r="F1155" s="9" t="s">
        <v>3184</v>
      </c>
      <c r="G1155" s="9" t="s">
        <v>3185</v>
      </c>
      <c r="H1155" s="9" t="s">
        <v>3186</v>
      </c>
      <c r="I1155" s="10">
        <v>45581</v>
      </c>
    </row>
    <row r="1156" spans="1:9" x14ac:dyDescent="0.15">
      <c r="A1156" s="9">
        <v>1155</v>
      </c>
      <c r="B1156" s="9" t="s">
        <v>9</v>
      </c>
      <c r="C1156" s="9">
        <v>1918</v>
      </c>
      <c r="D1156" s="10">
        <v>45663</v>
      </c>
      <c r="E1156" s="13" t="str">
        <f>+HYPERLINK("http://trademark.i-assist.jp/data/china/image_1918th/81409534.pdf","81409534")</f>
        <v>81409534</v>
      </c>
      <c r="F1156" s="12" t="s">
        <v>3187</v>
      </c>
      <c r="G1156" s="12" t="s">
        <v>3188</v>
      </c>
      <c r="H1156" s="9" t="s">
        <v>3189</v>
      </c>
      <c r="I1156" s="10">
        <v>45581</v>
      </c>
    </row>
    <row r="1157" spans="1:9" x14ac:dyDescent="0.15">
      <c r="A1157" s="9">
        <v>1156</v>
      </c>
      <c r="B1157" s="9" t="s">
        <v>9</v>
      </c>
      <c r="C1157" s="9">
        <v>1918</v>
      </c>
      <c r="D1157" s="10">
        <v>45663</v>
      </c>
      <c r="E1157" s="13" t="str">
        <f>+HYPERLINK("http://trademark.i-assist.jp/data/china/image_1918th/81409833.pdf","81409833")</f>
        <v>81409833</v>
      </c>
      <c r="F1157" s="9" t="s">
        <v>3190</v>
      </c>
      <c r="G1157" s="9" t="s">
        <v>3191</v>
      </c>
      <c r="H1157" s="12" t="s">
        <v>3192</v>
      </c>
      <c r="I1157" s="10">
        <v>45581</v>
      </c>
    </row>
    <row r="1158" spans="1:9" x14ac:dyDescent="0.15">
      <c r="A1158" s="9">
        <v>1157</v>
      </c>
      <c r="B1158" s="9" t="s">
        <v>9</v>
      </c>
      <c r="C1158" s="9">
        <v>1918</v>
      </c>
      <c r="D1158" s="10">
        <v>45663</v>
      </c>
      <c r="E1158" s="13" t="str">
        <f>+HYPERLINK("http://trademark.i-assist.jp/data/china/image_1918th/81410017.pdf","81410017")</f>
        <v>81410017</v>
      </c>
      <c r="F1158" s="9" t="s">
        <v>3193</v>
      </c>
      <c r="G1158" s="9" t="s">
        <v>3194</v>
      </c>
      <c r="H1158" s="9" t="s">
        <v>3195</v>
      </c>
      <c r="I1158" s="10">
        <v>45581</v>
      </c>
    </row>
    <row r="1159" spans="1:9" x14ac:dyDescent="0.15">
      <c r="A1159" s="9">
        <v>1158</v>
      </c>
      <c r="B1159" s="9" t="s">
        <v>9</v>
      </c>
      <c r="C1159" s="9">
        <v>1918</v>
      </c>
      <c r="D1159" s="10">
        <v>45663</v>
      </c>
      <c r="E1159" s="13" t="str">
        <f>+HYPERLINK("http://trademark.i-assist.jp/data/china/image_1918th/81410229.pdf","81410229")</f>
        <v>81410229</v>
      </c>
      <c r="F1159" s="12" t="s">
        <v>12</v>
      </c>
      <c r="G1159" s="9" t="s">
        <v>3196</v>
      </c>
      <c r="H1159" s="9" t="s">
        <v>3197</v>
      </c>
      <c r="I1159" s="10">
        <v>45581</v>
      </c>
    </row>
    <row r="1160" spans="1:9" x14ac:dyDescent="0.15">
      <c r="A1160" s="9">
        <v>1159</v>
      </c>
      <c r="B1160" s="9" t="s">
        <v>9</v>
      </c>
      <c r="C1160" s="9">
        <v>1918</v>
      </c>
      <c r="D1160" s="10">
        <v>45663</v>
      </c>
      <c r="E1160" s="13" t="str">
        <f>+HYPERLINK("http://trademark.i-assist.jp/data/china/image_1918th/81410835.pdf","81410835")</f>
        <v>81410835</v>
      </c>
      <c r="F1160" s="9" t="s">
        <v>3198</v>
      </c>
      <c r="G1160" s="12" t="s">
        <v>3199</v>
      </c>
      <c r="H1160" s="9" t="s">
        <v>3200</v>
      </c>
      <c r="I1160" s="10">
        <v>45581</v>
      </c>
    </row>
    <row r="1161" spans="1:9" x14ac:dyDescent="0.15">
      <c r="A1161" s="9">
        <v>1160</v>
      </c>
      <c r="B1161" s="9" t="s">
        <v>9</v>
      </c>
      <c r="C1161" s="9">
        <v>1918</v>
      </c>
      <c r="D1161" s="10">
        <v>45663</v>
      </c>
      <c r="E1161" s="13" t="str">
        <f>+HYPERLINK("http://trademark.i-assist.jp/data/china/image_1918th/81410915.pdf","81410915")</f>
        <v>81410915</v>
      </c>
      <c r="F1161" s="12" t="s">
        <v>3201</v>
      </c>
      <c r="G1161" s="9" t="s">
        <v>3202</v>
      </c>
      <c r="H1161" s="9" t="s">
        <v>3203</v>
      </c>
      <c r="I1161" s="10">
        <v>45581</v>
      </c>
    </row>
    <row r="1162" spans="1:9" x14ac:dyDescent="0.15">
      <c r="A1162" s="9">
        <v>1161</v>
      </c>
      <c r="B1162" s="9" t="s">
        <v>9</v>
      </c>
      <c r="C1162" s="9">
        <v>1918</v>
      </c>
      <c r="D1162" s="10">
        <v>45663</v>
      </c>
      <c r="E1162" s="13" t="str">
        <f>+HYPERLINK("http://trademark.i-assist.jp/data/china/image_1918th/81410958.pdf","81410958")</f>
        <v>81410958</v>
      </c>
      <c r="F1162" s="9" t="s">
        <v>3204</v>
      </c>
      <c r="G1162" s="9" t="s">
        <v>3205</v>
      </c>
      <c r="H1162" s="9" t="s">
        <v>3206</v>
      </c>
      <c r="I1162" s="10">
        <v>45581</v>
      </c>
    </row>
    <row r="1163" spans="1:9" x14ac:dyDescent="0.15">
      <c r="A1163" s="9">
        <v>1162</v>
      </c>
      <c r="B1163" s="9" t="s">
        <v>9</v>
      </c>
      <c r="C1163" s="9">
        <v>1918</v>
      </c>
      <c r="D1163" s="10">
        <v>45663</v>
      </c>
      <c r="E1163" s="13" t="str">
        <f>+HYPERLINK("http://trademark.i-assist.jp/data/china/image_1918th/81410978.pdf","81410978")</f>
        <v>81410978</v>
      </c>
      <c r="F1163" s="9" t="s">
        <v>3207</v>
      </c>
      <c r="G1163" s="9" t="s">
        <v>3208</v>
      </c>
      <c r="H1163" s="9" t="s">
        <v>3209</v>
      </c>
      <c r="I1163" s="10">
        <v>45581</v>
      </c>
    </row>
    <row r="1164" spans="1:9" x14ac:dyDescent="0.15">
      <c r="A1164" s="9">
        <v>1163</v>
      </c>
      <c r="B1164" s="9" t="s">
        <v>9</v>
      </c>
      <c r="C1164" s="9">
        <v>1918</v>
      </c>
      <c r="D1164" s="10">
        <v>45663</v>
      </c>
      <c r="E1164" s="13" t="str">
        <f>+HYPERLINK("http://trademark.i-assist.jp/data/china/image_1918th/81411441.pdf","81411441")</f>
        <v>81411441</v>
      </c>
      <c r="F1164" s="9" t="s">
        <v>3210</v>
      </c>
      <c r="G1164" s="9" t="s">
        <v>3211</v>
      </c>
      <c r="H1164" s="9" t="s">
        <v>3212</v>
      </c>
      <c r="I1164" s="10">
        <v>45581</v>
      </c>
    </row>
    <row r="1165" spans="1:9" x14ac:dyDescent="0.15">
      <c r="A1165" s="9">
        <v>1164</v>
      </c>
      <c r="B1165" s="9" t="s">
        <v>9</v>
      </c>
      <c r="C1165" s="9">
        <v>1918</v>
      </c>
      <c r="D1165" s="10">
        <v>45663</v>
      </c>
      <c r="E1165" s="13" t="str">
        <f>+HYPERLINK("http://trademark.i-assist.jp/data/china/image_1918th/81411804.pdf","81411804")</f>
        <v>81411804</v>
      </c>
      <c r="F1165" s="9" t="s">
        <v>3213</v>
      </c>
      <c r="G1165" s="9" t="s">
        <v>3214</v>
      </c>
      <c r="H1165" s="9" t="s">
        <v>3215</v>
      </c>
      <c r="I1165" s="10">
        <v>45581</v>
      </c>
    </row>
    <row r="1166" spans="1:9" x14ac:dyDescent="0.15">
      <c r="A1166" s="9">
        <v>1165</v>
      </c>
      <c r="B1166" s="9" t="s">
        <v>9</v>
      </c>
      <c r="C1166" s="9">
        <v>1918</v>
      </c>
      <c r="D1166" s="10">
        <v>45663</v>
      </c>
      <c r="E1166" s="13" t="str">
        <f>+HYPERLINK("http://trademark.i-assist.jp/data/china/image_1918th/81412214.pdf","81412214")</f>
        <v>81412214</v>
      </c>
      <c r="F1166" s="9" t="s">
        <v>3216</v>
      </c>
      <c r="G1166" s="9" t="s">
        <v>3217</v>
      </c>
      <c r="H1166" s="9" t="s">
        <v>3218</v>
      </c>
      <c r="I1166" s="10">
        <v>45581</v>
      </c>
    </row>
    <row r="1167" spans="1:9" x14ac:dyDescent="0.15">
      <c r="A1167" s="9">
        <v>1166</v>
      </c>
      <c r="B1167" s="9" t="s">
        <v>9</v>
      </c>
      <c r="C1167" s="9">
        <v>1918</v>
      </c>
      <c r="D1167" s="10">
        <v>45663</v>
      </c>
      <c r="E1167" s="13" t="str">
        <f>+HYPERLINK("http://trademark.i-assist.jp/data/china/image_1918th/81412369.pdf","81412369")</f>
        <v>81412369</v>
      </c>
      <c r="F1167" s="9" t="s">
        <v>3219</v>
      </c>
      <c r="G1167" s="12" t="s">
        <v>3220</v>
      </c>
      <c r="H1167" s="9" t="s">
        <v>3221</v>
      </c>
      <c r="I1167" s="10">
        <v>45581</v>
      </c>
    </row>
    <row r="1168" spans="1:9" x14ac:dyDescent="0.15">
      <c r="A1168" s="9">
        <v>1167</v>
      </c>
      <c r="B1168" s="9" t="s">
        <v>9</v>
      </c>
      <c r="C1168" s="9">
        <v>1918</v>
      </c>
      <c r="D1168" s="10">
        <v>45663</v>
      </c>
      <c r="E1168" s="13" t="str">
        <f>+HYPERLINK("http://trademark.i-assist.jp/data/china/image_1918th/81412780.pdf","81412780")</f>
        <v>81412780</v>
      </c>
      <c r="F1168" s="12" t="s">
        <v>12</v>
      </c>
      <c r="G1168" s="9" t="s">
        <v>3222</v>
      </c>
      <c r="H1168" s="9" t="s">
        <v>3223</v>
      </c>
      <c r="I1168" s="10">
        <v>45581</v>
      </c>
    </row>
    <row r="1169" spans="1:9" x14ac:dyDescent="0.15">
      <c r="A1169" s="9">
        <v>1168</v>
      </c>
      <c r="B1169" s="9" t="s">
        <v>9</v>
      </c>
      <c r="C1169" s="9">
        <v>1918</v>
      </c>
      <c r="D1169" s="10">
        <v>45663</v>
      </c>
      <c r="E1169" s="13" t="str">
        <f>+HYPERLINK("http://trademark.i-assist.jp/data/china/image_1918th/81412820.pdf","81412820")</f>
        <v>81412820</v>
      </c>
      <c r="F1169" s="9" t="s">
        <v>3224</v>
      </c>
      <c r="G1169" s="9" t="s">
        <v>3225</v>
      </c>
      <c r="H1169" s="9" t="s">
        <v>3226</v>
      </c>
      <c r="I1169" s="10">
        <v>45581</v>
      </c>
    </row>
    <row r="1170" spans="1:9" x14ac:dyDescent="0.15">
      <c r="A1170" s="9">
        <v>1169</v>
      </c>
      <c r="B1170" s="9" t="s">
        <v>9</v>
      </c>
      <c r="C1170" s="9">
        <v>1918</v>
      </c>
      <c r="D1170" s="10">
        <v>45663</v>
      </c>
      <c r="E1170" s="13" t="str">
        <f>+HYPERLINK("http://trademark.i-assist.jp/data/china/image_1918th/81413697.pdf","81413697")</f>
        <v>81413697</v>
      </c>
      <c r="F1170" s="9" t="s">
        <v>3227</v>
      </c>
      <c r="G1170" s="9" t="s">
        <v>3228</v>
      </c>
      <c r="H1170" s="9" t="s">
        <v>3229</v>
      </c>
      <c r="I1170" s="10">
        <v>45581</v>
      </c>
    </row>
    <row r="1171" spans="1:9" x14ac:dyDescent="0.15">
      <c r="A1171" s="9">
        <v>1170</v>
      </c>
      <c r="B1171" s="9" t="s">
        <v>9</v>
      </c>
      <c r="C1171" s="9">
        <v>1918</v>
      </c>
      <c r="D1171" s="10">
        <v>45663</v>
      </c>
      <c r="E1171" s="13" t="str">
        <f>+HYPERLINK("http://trademark.i-assist.jp/data/china/image_1918th/81414102.pdf","81414102")</f>
        <v>81414102</v>
      </c>
      <c r="F1171" s="12" t="s">
        <v>12</v>
      </c>
      <c r="G1171" s="12" t="s">
        <v>3230</v>
      </c>
      <c r="H1171" s="9" t="s">
        <v>3231</v>
      </c>
      <c r="I1171" s="10">
        <v>45581</v>
      </c>
    </row>
    <row r="1172" spans="1:9" x14ac:dyDescent="0.15">
      <c r="A1172" s="9">
        <v>1171</v>
      </c>
      <c r="B1172" s="9" t="s">
        <v>9</v>
      </c>
      <c r="C1172" s="9">
        <v>1918</v>
      </c>
      <c r="D1172" s="10">
        <v>45663</v>
      </c>
      <c r="E1172" s="13" t="str">
        <f>+HYPERLINK("http://trademark.i-assist.jp/data/china/image_1918th/81414222.pdf","81414222")</f>
        <v>81414222</v>
      </c>
      <c r="F1172" s="12" t="s">
        <v>3232</v>
      </c>
      <c r="G1172" s="12" t="s">
        <v>3233</v>
      </c>
      <c r="H1172" s="9" t="s">
        <v>3234</v>
      </c>
      <c r="I1172" s="10">
        <v>45581</v>
      </c>
    </row>
    <row r="1173" spans="1:9" x14ac:dyDescent="0.15">
      <c r="A1173" s="9">
        <v>1172</v>
      </c>
      <c r="B1173" s="9" t="s">
        <v>9</v>
      </c>
      <c r="C1173" s="9">
        <v>1918</v>
      </c>
      <c r="D1173" s="10">
        <v>45663</v>
      </c>
      <c r="E1173" s="13" t="str">
        <f>+HYPERLINK("http://trademark.i-assist.jp/data/china/image_1918th/81414802.pdf","81414802")</f>
        <v>81414802</v>
      </c>
      <c r="F1173" s="12" t="s">
        <v>3235</v>
      </c>
      <c r="G1173" s="9" t="s">
        <v>3236</v>
      </c>
      <c r="H1173" s="9" t="s">
        <v>3237</v>
      </c>
      <c r="I1173" s="10">
        <v>45581</v>
      </c>
    </row>
    <row r="1174" spans="1:9" x14ac:dyDescent="0.15">
      <c r="A1174" s="9">
        <v>1173</v>
      </c>
      <c r="B1174" s="9" t="s">
        <v>9</v>
      </c>
      <c r="C1174" s="9">
        <v>1918</v>
      </c>
      <c r="D1174" s="10">
        <v>45663</v>
      </c>
      <c r="E1174" s="13" t="str">
        <f>+HYPERLINK("http://trademark.i-assist.jp/data/china/image_1918th/81415072.pdf","81415072")</f>
        <v>81415072</v>
      </c>
      <c r="F1174" s="9" t="s">
        <v>3238</v>
      </c>
      <c r="G1174" s="9" t="s">
        <v>3239</v>
      </c>
      <c r="H1174" s="12" t="s">
        <v>3240</v>
      </c>
      <c r="I1174" s="10">
        <v>45581</v>
      </c>
    </row>
    <row r="1175" spans="1:9" x14ac:dyDescent="0.15">
      <c r="A1175" s="9">
        <v>1174</v>
      </c>
      <c r="B1175" s="9" t="s">
        <v>9</v>
      </c>
      <c r="C1175" s="9">
        <v>1918</v>
      </c>
      <c r="D1175" s="10">
        <v>45663</v>
      </c>
      <c r="E1175" s="13" t="str">
        <f>+HYPERLINK("http://trademark.i-assist.jp/data/china/image_1918th/81416240.pdf","81416240")</f>
        <v>81416240</v>
      </c>
      <c r="F1175" s="12" t="s">
        <v>12</v>
      </c>
      <c r="G1175" s="9" t="s">
        <v>3241</v>
      </c>
      <c r="H1175" s="9" t="s">
        <v>3242</v>
      </c>
      <c r="I1175" s="10">
        <v>45581</v>
      </c>
    </row>
    <row r="1176" spans="1:9" x14ac:dyDescent="0.15">
      <c r="A1176" s="9">
        <v>1175</v>
      </c>
      <c r="B1176" s="9" t="s">
        <v>9</v>
      </c>
      <c r="C1176" s="9">
        <v>1918</v>
      </c>
      <c r="D1176" s="10">
        <v>45663</v>
      </c>
      <c r="E1176" s="13" t="str">
        <f>+HYPERLINK("http://trademark.i-assist.jp/data/china/image_1918th/81416482.pdf","81416482")</f>
        <v>81416482</v>
      </c>
      <c r="F1176" s="9" t="s">
        <v>3243</v>
      </c>
      <c r="G1176" s="9" t="s">
        <v>3244</v>
      </c>
      <c r="H1176" s="9" t="s">
        <v>3245</v>
      </c>
      <c r="I1176" s="10">
        <v>45581</v>
      </c>
    </row>
    <row r="1177" spans="1:9" x14ac:dyDescent="0.15">
      <c r="A1177" s="9">
        <v>1176</v>
      </c>
      <c r="B1177" s="9" t="s">
        <v>9</v>
      </c>
      <c r="C1177" s="9">
        <v>1918</v>
      </c>
      <c r="D1177" s="10">
        <v>45663</v>
      </c>
      <c r="E1177" s="13" t="str">
        <f>+HYPERLINK("http://trademark.i-assist.jp/data/china/image_1918th/81416508.pdf","81416508")</f>
        <v>81416508</v>
      </c>
      <c r="F1177" s="9" t="s">
        <v>3246</v>
      </c>
      <c r="G1177" s="9" t="s">
        <v>3247</v>
      </c>
      <c r="H1177" s="9" t="s">
        <v>3248</v>
      </c>
      <c r="I1177" s="10">
        <v>45581</v>
      </c>
    </row>
    <row r="1178" spans="1:9" x14ac:dyDescent="0.15">
      <c r="A1178" s="9">
        <v>1177</v>
      </c>
      <c r="B1178" s="9" t="s">
        <v>9</v>
      </c>
      <c r="C1178" s="9">
        <v>1918</v>
      </c>
      <c r="D1178" s="10">
        <v>45663</v>
      </c>
      <c r="E1178" s="13" t="str">
        <f>+HYPERLINK("http://trademark.i-assist.jp/data/china/image_1918th/81416620.pdf","81416620")</f>
        <v>81416620</v>
      </c>
      <c r="F1178" s="9" t="s">
        <v>3249</v>
      </c>
      <c r="G1178" s="9" t="s">
        <v>1638</v>
      </c>
      <c r="H1178" s="9" t="s">
        <v>3250</v>
      </c>
      <c r="I1178" s="10">
        <v>45581</v>
      </c>
    </row>
    <row r="1179" spans="1:9" x14ac:dyDescent="0.15">
      <c r="A1179" s="9">
        <v>1178</v>
      </c>
      <c r="B1179" s="9" t="s">
        <v>9</v>
      </c>
      <c r="C1179" s="9">
        <v>1918</v>
      </c>
      <c r="D1179" s="10">
        <v>45663</v>
      </c>
      <c r="E1179" s="13" t="str">
        <f>+HYPERLINK("http://trademark.i-assist.jp/data/china/image_1918th/81416823.pdf","81416823")</f>
        <v>81416823</v>
      </c>
      <c r="F1179" s="9" t="s">
        <v>3251</v>
      </c>
      <c r="G1179" s="12" t="s">
        <v>3252</v>
      </c>
      <c r="H1179" s="9" t="s">
        <v>3253</v>
      </c>
      <c r="I1179" s="10">
        <v>45581</v>
      </c>
    </row>
    <row r="1180" spans="1:9" x14ac:dyDescent="0.15">
      <c r="A1180" s="9">
        <v>1179</v>
      </c>
      <c r="B1180" s="9" t="s">
        <v>9</v>
      </c>
      <c r="C1180" s="9">
        <v>1918</v>
      </c>
      <c r="D1180" s="10">
        <v>45663</v>
      </c>
      <c r="E1180" s="13" t="str">
        <f>+HYPERLINK("http://trademark.i-assist.jp/data/china/image_1918th/81416824.pdf","81416824")</f>
        <v>81416824</v>
      </c>
      <c r="F1180" s="9" t="s">
        <v>3254</v>
      </c>
      <c r="G1180" s="9" t="s">
        <v>3205</v>
      </c>
      <c r="H1180" s="9" t="s">
        <v>3255</v>
      </c>
      <c r="I1180" s="10">
        <v>45581</v>
      </c>
    </row>
    <row r="1181" spans="1:9" x14ac:dyDescent="0.15">
      <c r="A1181" s="9">
        <v>1180</v>
      </c>
      <c r="B1181" s="9" t="s">
        <v>9</v>
      </c>
      <c r="C1181" s="9">
        <v>1918</v>
      </c>
      <c r="D1181" s="10">
        <v>45663</v>
      </c>
      <c r="E1181" s="13" t="str">
        <f>+HYPERLINK("http://trademark.i-assist.jp/data/china/image_1918th/81416946.pdf","81416946")</f>
        <v>81416946</v>
      </c>
      <c r="F1181" s="9" t="s">
        <v>3256</v>
      </c>
      <c r="G1181" s="11" t="s">
        <v>3257</v>
      </c>
      <c r="H1181" s="9" t="s">
        <v>3258</v>
      </c>
      <c r="I1181" s="10">
        <v>45581</v>
      </c>
    </row>
    <row r="1182" spans="1:9" x14ac:dyDescent="0.15">
      <c r="A1182" s="9">
        <v>1181</v>
      </c>
      <c r="B1182" s="9" t="s">
        <v>9</v>
      </c>
      <c r="C1182" s="9">
        <v>1918</v>
      </c>
      <c r="D1182" s="10">
        <v>45663</v>
      </c>
      <c r="E1182" s="13" t="str">
        <f>+HYPERLINK("http://trademark.i-assist.jp/data/china/image_1918th/81417056.pdf","81417056")</f>
        <v>81417056</v>
      </c>
      <c r="F1182" s="9" t="s">
        <v>3259</v>
      </c>
      <c r="G1182" s="9" t="s">
        <v>3171</v>
      </c>
      <c r="H1182" s="9" t="s">
        <v>3260</v>
      </c>
      <c r="I1182" s="10">
        <v>45581</v>
      </c>
    </row>
    <row r="1183" spans="1:9" x14ac:dyDescent="0.15">
      <c r="A1183" s="9">
        <v>1182</v>
      </c>
      <c r="B1183" s="9" t="s">
        <v>9</v>
      </c>
      <c r="C1183" s="9">
        <v>1918</v>
      </c>
      <c r="D1183" s="10">
        <v>45663</v>
      </c>
      <c r="E1183" s="13" t="str">
        <f>+HYPERLINK("http://trademark.i-assist.jp/data/china/image_1918th/81417151.pdf","81417151")</f>
        <v>81417151</v>
      </c>
      <c r="F1183" s="9" t="s">
        <v>3261</v>
      </c>
      <c r="G1183" s="9" t="s">
        <v>49</v>
      </c>
      <c r="H1183" s="12" t="s">
        <v>3262</v>
      </c>
      <c r="I1183" s="10">
        <v>45581</v>
      </c>
    </row>
    <row r="1184" spans="1:9" x14ac:dyDescent="0.15">
      <c r="A1184" s="9">
        <v>1183</v>
      </c>
      <c r="B1184" s="9" t="s">
        <v>9</v>
      </c>
      <c r="C1184" s="9">
        <v>1918</v>
      </c>
      <c r="D1184" s="10">
        <v>45663</v>
      </c>
      <c r="E1184" s="13" t="str">
        <f>+HYPERLINK("http://trademark.i-assist.jp/data/china/image_1918th/81417528.pdf","81417528")</f>
        <v>81417528</v>
      </c>
      <c r="F1184" s="9" t="s">
        <v>3263</v>
      </c>
      <c r="G1184" s="9" t="s">
        <v>3264</v>
      </c>
      <c r="H1184" s="9" t="s">
        <v>3265</v>
      </c>
      <c r="I1184" s="10">
        <v>45581</v>
      </c>
    </row>
    <row r="1185" spans="1:9" x14ac:dyDescent="0.15">
      <c r="A1185" s="9">
        <v>1184</v>
      </c>
      <c r="B1185" s="9" t="s">
        <v>9</v>
      </c>
      <c r="C1185" s="9">
        <v>1918</v>
      </c>
      <c r="D1185" s="10">
        <v>45663</v>
      </c>
      <c r="E1185" s="13" t="str">
        <f>+HYPERLINK("http://trademark.i-assist.jp/data/china/image_1918th/81417582.pdf","81417582")</f>
        <v>81417582</v>
      </c>
      <c r="F1185" s="12" t="s">
        <v>3266</v>
      </c>
      <c r="G1185" s="9" t="s">
        <v>3267</v>
      </c>
      <c r="H1185" s="9" t="s">
        <v>3268</v>
      </c>
      <c r="I1185" s="10">
        <v>45581</v>
      </c>
    </row>
    <row r="1186" spans="1:9" x14ac:dyDescent="0.15">
      <c r="A1186" s="9">
        <v>1185</v>
      </c>
      <c r="B1186" s="9" t="s">
        <v>9</v>
      </c>
      <c r="C1186" s="9">
        <v>1918</v>
      </c>
      <c r="D1186" s="10">
        <v>45663</v>
      </c>
      <c r="E1186" s="13" t="str">
        <f>+HYPERLINK("http://trademark.i-assist.jp/data/china/image_1918th/81418119.pdf","81418119")</f>
        <v>81418119</v>
      </c>
      <c r="F1186" s="9" t="s">
        <v>3269</v>
      </c>
      <c r="G1186" s="9" t="s">
        <v>3270</v>
      </c>
      <c r="H1186" s="12" t="s">
        <v>3271</v>
      </c>
      <c r="I1186" s="10">
        <v>45581</v>
      </c>
    </row>
    <row r="1187" spans="1:9" x14ac:dyDescent="0.15">
      <c r="A1187" s="9">
        <v>1186</v>
      </c>
      <c r="B1187" s="9" t="s">
        <v>9</v>
      </c>
      <c r="C1187" s="9">
        <v>1918</v>
      </c>
      <c r="D1187" s="10">
        <v>45663</v>
      </c>
      <c r="E1187" s="13" t="str">
        <f>+HYPERLINK("http://trademark.i-assist.jp/data/china/image_1918th/81418323.pdf","81418323")</f>
        <v>81418323</v>
      </c>
      <c r="F1187" s="9" t="s">
        <v>3272</v>
      </c>
      <c r="G1187" s="12" t="s">
        <v>3273</v>
      </c>
      <c r="H1187" s="9" t="s">
        <v>3274</v>
      </c>
      <c r="I1187" s="10">
        <v>45581</v>
      </c>
    </row>
    <row r="1188" spans="1:9" x14ac:dyDescent="0.15">
      <c r="A1188" s="9">
        <v>1187</v>
      </c>
      <c r="B1188" s="9" t="s">
        <v>9</v>
      </c>
      <c r="C1188" s="9">
        <v>1918</v>
      </c>
      <c r="D1188" s="10">
        <v>45663</v>
      </c>
      <c r="E1188" s="13" t="str">
        <f>+HYPERLINK("http://trademark.i-assist.jp/data/china/image_1918th/81418354.pdf","81418354")</f>
        <v>81418354</v>
      </c>
      <c r="F1188" s="12" t="s">
        <v>3275</v>
      </c>
      <c r="G1188" s="9" t="s">
        <v>3276</v>
      </c>
      <c r="H1188" s="9" t="s">
        <v>3277</v>
      </c>
      <c r="I1188" s="10">
        <v>45581</v>
      </c>
    </row>
    <row r="1189" spans="1:9" x14ac:dyDescent="0.15">
      <c r="A1189" s="9">
        <v>1188</v>
      </c>
      <c r="B1189" s="9" t="s">
        <v>9</v>
      </c>
      <c r="C1189" s="9">
        <v>1918</v>
      </c>
      <c r="D1189" s="10">
        <v>45663</v>
      </c>
      <c r="E1189" s="13" t="str">
        <f>+HYPERLINK("http://trademark.i-assist.jp/data/china/image_1918th/81418706.pdf","81418706")</f>
        <v>81418706</v>
      </c>
      <c r="F1189" s="9" t="s">
        <v>3278</v>
      </c>
      <c r="G1189" s="9" t="s">
        <v>3244</v>
      </c>
      <c r="H1189" s="9" t="s">
        <v>3279</v>
      </c>
      <c r="I1189" s="10">
        <v>45581</v>
      </c>
    </row>
    <row r="1190" spans="1:9" x14ac:dyDescent="0.15">
      <c r="A1190" s="9">
        <v>1189</v>
      </c>
      <c r="B1190" s="9" t="s">
        <v>9</v>
      </c>
      <c r="C1190" s="9">
        <v>1918</v>
      </c>
      <c r="D1190" s="10">
        <v>45663</v>
      </c>
      <c r="E1190" s="13" t="str">
        <f>+HYPERLINK("http://trademark.i-assist.jp/data/china/image_1918th/81418745.pdf","81418745")</f>
        <v>81418745</v>
      </c>
      <c r="F1190" s="12" t="s">
        <v>3280</v>
      </c>
      <c r="G1190" s="9" t="s">
        <v>3281</v>
      </c>
      <c r="H1190" s="9" t="s">
        <v>3282</v>
      </c>
      <c r="I1190" s="10">
        <v>45581</v>
      </c>
    </row>
    <row r="1191" spans="1:9" x14ac:dyDescent="0.15">
      <c r="A1191" s="9">
        <v>1190</v>
      </c>
      <c r="B1191" s="9" t="s">
        <v>9</v>
      </c>
      <c r="C1191" s="9">
        <v>1918</v>
      </c>
      <c r="D1191" s="10">
        <v>45663</v>
      </c>
      <c r="E1191" s="13" t="str">
        <f>+HYPERLINK("http://trademark.i-assist.jp/data/china/image_1918th/81419054.pdf","81419054")</f>
        <v>81419054</v>
      </c>
      <c r="F1191" s="12" t="s">
        <v>12</v>
      </c>
      <c r="G1191" s="9" t="s">
        <v>3283</v>
      </c>
      <c r="H1191" s="12" t="s">
        <v>3284</v>
      </c>
      <c r="I1191" s="10">
        <v>45581</v>
      </c>
    </row>
    <row r="1192" spans="1:9" x14ac:dyDescent="0.15">
      <c r="A1192" s="9">
        <v>1191</v>
      </c>
      <c r="B1192" s="9" t="s">
        <v>9</v>
      </c>
      <c r="C1192" s="9">
        <v>1918</v>
      </c>
      <c r="D1192" s="10">
        <v>45663</v>
      </c>
      <c r="E1192" s="13" t="str">
        <f>+HYPERLINK("http://trademark.i-assist.jp/data/china/image_1918th/81419695.pdf","81419695")</f>
        <v>81419695</v>
      </c>
      <c r="F1192" s="9" t="s">
        <v>3285</v>
      </c>
      <c r="G1192" s="9" t="s">
        <v>3286</v>
      </c>
      <c r="H1192" s="9" t="s">
        <v>3287</v>
      </c>
      <c r="I1192" s="10">
        <v>45581</v>
      </c>
    </row>
    <row r="1193" spans="1:9" x14ac:dyDescent="0.15">
      <c r="A1193" s="9">
        <v>1192</v>
      </c>
      <c r="B1193" s="9" t="s">
        <v>9</v>
      </c>
      <c r="C1193" s="9">
        <v>1918</v>
      </c>
      <c r="D1193" s="10">
        <v>45663</v>
      </c>
      <c r="E1193" s="13" t="str">
        <f>+HYPERLINK("http://trademark.i-assist.jp/data/china/image_1918th/81419981.pdf","81419981")</f>
        <v>81419981</v>
      </c>
      <c r="F1193" s="12" t="s">
        <v>12</v>
      </c>
      <c r="G1193" s="9" t="s">
        <v>3288</v>
      </c>
      <c r="H1193" s="9" t="s">
        <v>3289</v>
      </c>
      <c r="I1193" s="10">
        <v>45581</v>
      </c>
    </row>
    <row r="1194" spans="1:9" x14ac:dyDescent="0.15">
      <c r="A1194" s="9">
        <v>1193</v>
      </c>
      <c r="B1194" s="9" t="s">
        <v>9</v>
      </c>
      <c r="C1194" s="9">
        <v>1918</v>
      </c>
      <c r="D1194" s="10">
        <v>45663</v>
      </c>
      <c r="E1194" s="13" t="str">
        <f>+HYPERLINK("http://trademark.i-assist.jp/data/china/image_1918th/81420122.pdf","81420122")</f>
        <v>81420122</v>
      </c>
      <c r="F1194" s="9" t="s">
        <v>3290</v>
      </c>
      <c r="G1194" s="9" t="s">
        <v>3171</v>
      </c>
      <c r="H1194" s="9" t="s">
        <v>3291</v>
      </c>
      <c r="I1194" s="10">
        <v>45581</v>
      </c>
    </row>
    <row r="1195" spans="1:9" x14ac:dyDescent="0.15">
      <c r="A1195" s="9">
        <v>1194</v>
      </c>
      <c r="B1195" s="9" t="s">
        <v>9</v>
      </c>
      <c r="C1195" s="9">
        <v>1918</v>
      </c>
      <c r="D1195" s="10">
        <v>45663</v>
      </c>
      <c r="E1195" s="13" t="str">
        <f>+HYPERLINK("http://trademark.i-assist.jp/data/china/image_1918th/81420220.pdf","81420220")</f>
        <v>81420220</v>
      </c>
      <c r="F1195" s="9" t="s">
        <v>3292</v>
      </c>
      <c r="G1195" s="9" t="s">
        <v>3293</v>
      </c>
      <c r="H1195" s="9" t="s">
        <v>3294</v>
      </c>
      <c r="I1195" s="10">
        <v>45581</v>
      </c>
    </row>
    <row r="1196" spans="1:9" x14ac:dyDescent="0.15">
      <c r="A1196" s="9">
        <v>1195</v>
      </c>
      <c r="B1196" s="9" t="s">
        <v>9</v>
      </c>
      <c r="C1196" s="9">
        <v>1918</v>
      </c>
      <c r="D1196" s="10">
        <v>45663</v>
      </c>
      <c r="E1196" s="13" t="str">
        <f>+HYPERLINK("http://trademark.i-assist.jp/data/china/image_1918th/81420534.pdf","81420534")</f>
        <v>81420534</v>
      </c>
      <c r="F1196" s="9" t="s">
        <v>3295</v>
      </c>
      <c r="G1196" s="12" t="s">
        <v>3273</v>
      </c>
      <c r="H1196" s="9" t="s">
        <v>3296</v>
      </c>
      <c r="I1196" s="10">
        <v>45581</v>
      </c>
    </row>
    <row r="1197" spans="1:9" x14ac:dyDescent="0.15">
      <c r="A1197" s="9">
        <v>1196</v>
      </c>
      <c r="B1197" s="9" t="s">
        <v>9</v>
      </c>
      <c r="C1197" s="9">
        <v>1918</v>
      </c>
      <c r="D1197" s="10">
        <v>45663</v>
      </c>
      <c r="E1197" s="13" t="str">
        <f>+HYPERLINK("http://trademark.i-assist.jp/data/china/image_1918th/81421190.pdf","81421190")</f>
        <v>81421190</v>
      </c>
      <c r="F1197" s="9" t="s">
        <v>3297</v>
      </c>
      <c r="G1197" s="9" t="s">
        <v>3298</v>
      </c>
      <c r="H1197" s="9" t="s">
        <v>3299</v>
      </c>
      <c r="I1197" s="10">
        <v>45581</v>
      </c>
    </row>
    <row r="1198" spans="1:9" x14ac:dyDescent="0.15">
      <c r="A1198" s="9">
        <v>1197</v>
      </c>
      <c r="B1198" s="9" t="s">
        <v>9</v>
      </c>
      <c r="C1198" s="9">
        <v>1918</v>
      </c>
      <c r="D1198" s="10">
        <v>45663</v>
      </c>
      <c r="E1198" s="13" t="str">
        <f>+HYPERLINK("http://trademark.i-assist.jp/data/china/image_1918th/81421386.pdf","81421386")</f>
        <v>81421386</v>
      </c>
      <c r="F1198" s="9" t="s">
        <v>3300</v>
      </c>
      <c r="G1198" s="12" t="s">
        <v>37</v>
      </c>
      <c r="H1198" s="9" t="s">
        <v>3301</v>
      </c>
      <c r="I1198" s="10">
        <v>45581</v>
      </c>
    </row>
    <row r="1199" spans="1:9" x14ac:dyDescent="0.15">
      <c r="A1199" s="9">
        <v>1198</v>
      </c>
      <c r="B1199" s="9" t="s">
        <v>9</v>
      </c>
      <c r="C1199" s="9">
        <v>1918</v>
      </c>
      <c r="D1199" s="10">
        <v>45663</v>
      </c>
      <c r="E1199" s="13" t="str">
        <f>+HYPERLINK("http://trademark.i-assist.jp/data/china/image_1918th/81421465.pdf","81421465")</f>
        <v>81421465</v>
      </c>
      <c r="F1199" s="9" t="s">
        <v>3302</v>
      </c>
      <c r="G1199" s="9" t="s">
        <v>3303</v>
      </c>
      <c r="H1199" s="9" t="s">
        <v>3304</v>
      </c>
      <c r="I1199" s="10">
        <v>45581</v>
      </c>
    </row>
    <row r="1200" spans="1:9" x14ac:dyDescent="0.15">
      <c r="A1200" s="9">
        <v>1199</v>
      </c>
      <c r="B1200" s="9" t="s">
        <v>9</v>
      </c>
      <c r="C1200" s="9">
        <v>1918</v>
      </c>
      <c r="D1200" s="10">
        <v>45663</v>
      </c>
      <c r="E1200" s="13" t="str">
        <f>+HYPERLINK("http://trademark.i-assist.jp/data/china/image_1918th/81421770.pdf","81421770")</f>
        <v>81421770</v>
      </c>
      <c r="F1200" s="9" t="s">
        <v>3305</v>
      </c>
      <c r="G1200" s="12" t="s">
        <v>3177</v>
      </c>
      <c r="H1200" s="9" t="s">
        <v>3306</v>
      </c>
      <c r="I1200" s="10">
        <v>45581</v>
      </c>
    </row>
    <row r="1201" spans="1:9" x14ac:dyDescent="0.15">
      <c r="A1201" s="9">
        <v>1200</v>
      </c>
      <c r="B1201" s="9" t="s">
        <v>9</v>
      </c>
      <c r="C1201" s="9">
        <v>1918</v>
      </c>
      <c r="D1201" s="10">
        <v>45663</v>
      </c>
      <c r="E1201" s="13" t="str">
        <f>+HYPERLINK("http://trademark.i-assist.jp/data/china/image_1918th/81421827.pdf","81421827")</f>
        <v>81421827</v>
      </c>
      <c r="F1201" s="9" t="s">
        <v>3307</v>
      </c>
      <c r="G1201" s="12" t="s">
        <v>47</v>
      </c>
      <c r="H1201" s="9" t="s">
        <v>3308</v>
      </c>
      <c r="I1201" s="10">
        <v>45581</v>
      </c>
    </row>
    <row r="1202" spans="1:9" x14ac:dyDescent="0.15">
      <c r="A1202" s="9">
        <v>1201</v>
      </c>
      <c r="B1202" s="9" t="s">
        <v>9</v>
      </c>
      <c r="C1202" s="9">
        <v>1918</v>
      </c>
      <c r="D1202" s="10">
        <v>45663</v>
      </c>
      <c r="E1202" s="13" t="str">
        <f>+HYPERLINK("http://trademark.i-assist.jp/data/china/image_1918th/81422037.pdf","81422037")</f>
        <v>81422037</v>
      </c>
      <c r="F1202" s="12" t="s">
        <v>3309</v>
      </c>
      <c r="G1202" s="9" t="s">
        <v>3310</v>
      </c>
      <c r="H1202" s="9" t="s">
        <v>3311</v>
      </c>
      <c r="I1202" s="10">
        <v>45581</v>
      </c>
    </row>
    <row r="1203" spans="1:9" x14ac:dyDescent="0.15">
      <c r="A1203" s="9">
        <v>1202</v>
      </c>
      <c r="B1203" s="9" t="s">
        <v>9</v>
      </c>
      <c r="C1203" s="9">
        <v>1918</v>
      </c>
      <c r="D1203" s="10">
        <v>45663</v>
      </c>
      <c r="E1203" s="13" t="str">
        <f>+HYPERLINK("http://trademark.i-assist.jp/data/china/image_1918th/81422095.pdf","81422095")</f>
        <v>81422095</v>
      </c>
      <c r="F1203" s="9" t="s">
        <v>3312</v>
      </c>
      <c r="G1203" s="9" t="s">
        <v>3313</v>
      </c>
      <c r="H1203" s="12" t="s">
        <v>3314</v>
      </c>
      <c r="I1203" s="10">
        <v>45581</v>
      </c>
    </row>
    <row r="1204" spans="1:9" x14ac:dyDescent="0.15">
      <c r="A1204" s="9">
        <v>1203</v>
      </c>
      <c r="B1204" s="9" t="s">
        <v>9</v>
      </c>
      <c r="C1204" s="9">
        <v>1918</v>
      </c>
      <c r="D1204" s="10">
        <v>45663</v>
      </c>
      <c r="E1204" s="13" t="str">
        <f>+HYPERLINK("http://trademark.i-assist.jp/data/china/image_1918th/81422453.pdf","81422453")</f>
        <v>81422453</v>
      </c>
      <c r="F1204" s="12" t="s">
        <v>3315</v>
      </c>
      <c r="G1204" s="12" t="s">
        <v>3316</v>
      </c>
      <c r="H1204" s="12" t="s">
        <v>3317</v>
      </c>
      <c r="I1204" s="10">
        <v>45581</v>
      </c>
    </row>
    <row r="1205" spans="1:9" x14ac:dyDescent="0.15">
      <c r="A1205" s="9">
        <v>1204</v>
      </c>
      <c r="B1205" s="9" t="s">
        <v>9</v>
      </c>
      <c r="C1205" s="9">
        <v>1918</v>
      </c>
      <c r="D1205" s="10">
        <v>45663</v>
      </c>
      <c r="E1205" s="13" t="str">
        <f>+HYPERLINK("http://trademark.i-assist.jp/data/china/image_1918th/81422498.pdf","81422498")</f>
        <v>81422498</v>
      </c>
      <c r="F1205" s="9" t="s">
        <v>3318</v>
      </c>
      <c r="G1205" s="9" t="s">
        <v>3225</v>
      </c>
      <c r="H1205" s="9" t="s">
        <v>3319</v>
      </c>
      <c r="I1205" s="10">
        <v>45581</v>
      </c>
    </row>
    <row r="1206" spans="1:9" x14ac:dyDescent="0.15">
      <c r="A1206" s="9">
        <v>1205</v>
      </c>
      <c r="B1206" s="9" t="s">
        <v>9</v>
      </c>
      <c r="C1206" s="9">
        <v>1918</v>
      </c>
      <c r="D1206" s="10">
        <v>45663</v>
      </c>
      <c r="E1206" s="13" t="str">
        <f>+HYPERLINK("http://trademark.i-assist.jp/data/china/image_1918th/81422516.pdf","81422516")</f>
        <v>81422516</v>
      </c>
      <c r="F1206" s="9" t="s">
        <v>3320</v>
      </c>
      <c r="G1206" s="12" t="s">
        <v>3321</v>
      </c>
      <c r="H1206" s="9" t="s">
        <v>3322</v>
      </c>
      <c r="I1206" s="10">
        <v>45581</v>
      </c>
    </row>
    <row r="1207" spans="1:9" x14ac:dyDescent="0.15">
      <c r="A1207" s="9">
        <v>1206</v>
      </c>
      <c r="B1207" s="9" t="s">
        <v>9</v>
      </c>
      <c r="C1207" s="9">
        <v>1918</v>
      </c>
      <c r="D1207" s="10">
        <v>45663</v>
      </c>
      <c r="E1207" s="13" t="str">
        <f>+HYPERLINK("http://trademark.i-assist.jp/data/china/image_1918th/81423229.pdf","81423229")</f>
        <v>81423229</v>
      </c>
      <c r="F1207" s="9" t="s">
        <v>3323</v>
      </c>
      <c r="G1207" s="9" t="s">
        <v>1826</v>
      </c>
      <c r="H1207" s="9" t="s">
        <v>3324</v>
      </c>
      <c r="I1207" s="10">
        <v>45581</v>
      </c>
    </row>
    <row r="1208" spans="1:9" x14ac:dyDescent="0.15">
      <c r="A1208" s="9">
        <v>1207</v>
      </c>
      <c r="B1208" s="9" t="s">
        <v>9</v>
      </c>
      <c r="C1208" s="9">
        <v>1918</v>
      </c>
      <c r="D1208" s="10">
        <v>45663</v>
      </c>
      <c r="E1208" s="13" t="str">
        <f>+HYPERLINK("http://trademark.i-assist.jp/data/china/image_1918th/81423423.pdf","81423423")</f>
        <v>81423423</v>
      </c>
      <c r="F1208" s="12" t="s">
        <v>3325</v>
      </c>
      <c r="G1208" s="9" t="s">
        <v>3326</v>
      </c>
      <c r="H1208" s="9" t="s">
        <v>3327</v>
      </c>
      <c r="I1208" s="10">
        <v>45581</v>
      </c>
    </row>
    <row r="1209" spans="1:9" x14ac:dyDescent="0.15">
      <c r="A1209" s="9">
        <v>1208</v>
      </c>
      <c r="B1209" s="9" t="s">
        <v>9</v>
      </c>
      <c r="C1209" s="9">
        <v>1918</v>
      </c>
      <c r="D1209" s="10">
        <v>45663</v>
      </c>
      <c r="E1209" s="13" t="str">
        <f>+HYPERLINK("http://trademark.i-assist.jp/data/china/image_1918th/81423470.pdf","81423470")</f>
        <v>81423470</v>
      </c>
      <c r="F1209" s="9" t="s">
        <v>3328</v>
      </c>
      <c r="G1209" s="9" t="s">
        <v>3329</v>
      </c>
      <c r="H1209" s="9" t="s">
        <v>3330</v>
      </c>
      <c r="I1209" s="10">
        <v>45581</v>
      </c>
    </row>
    <row r="1210" spans="1:9" x14ac:dyDescent="0.15">
      <c r="A1210" s="9">
        <v>1209</v>
      </c>
      <c r="B1210" s="9" t="s">
        <v>9</v>
      </c>
      <c r="C1210" s="9">
        <v>1918</v>
      </c>
      <c r="D1210" s="10">
        <v>45663</v>
      </c>
      <c r="E1210" s="13" t="str">
        <f>+HYPERLINK("http://trademark.i-assist.jp/data/china/image_1918th/81423620.pdf","81423620")</f>
        <v>81423620</v>
      </c>
      <c r="F1210" s="12" t="s">
        <v>12</v>
      </c>
      <c r="G1210" s="9" t="s">
        <v>3149</v>
      </c>
      <c r="H1210" s="12" t="s">
        <v>3331</v>
      </c>
      <c r="I1210" s="10">
        <v>45581</v>
      </c>
    </row>
    <row r="1211" spans="1:9" x14ac:dyDescent="0.15">
      <c r="A1211" s="9">
        <v>1210</v>
      </c>
      <c r="B1211" s="9" t="s">
        <v>9</v>
      </c>
      <c r="C1211" s="9">
        <v>1918</v>
      </c>
      <c r="D1211" s="10">
        <v>45663</v>
      </c>
      <c r="E1211" s="13" t="str">
        <f>+HYPERLINK("http://trademark.i-assist.jp/data/china/image_1918th/81423832.pdf","81423832")</f>
        <v>81423832</v>
      </c>
      <c r="F1211" s="9" t="s">
        <v>3332</v>
      </c>
      <c r="G1211" s="9" t="s">
        <v>3171</v>
      </c>
      <c r="H1211" s="9" t="s">
        <v>3333</v>
      </c>
      <c r="I1211" s="10">
        <v>45581</v>
      </c>
    </row>
    <row r="1212" spans="1:9" x14ac:dyDescent="0.15">
      <c r="A1212" s="9">
        <v>1211</v>
      </c>
      <c r="B1212" s="9" t="s">
        <v>9</v>
      </c>
      <c r="C1212" s="9">
        <v>1918</v>
      </c>
      <c r="D1212" s="10">
        <v>45663</v>
      </c>
      <c r="E1212" s="13" t="str">
        <f>+HYPERLINK("http://trademark.i-assist.jp/data/china/image_1918th/81423905.pdf","81423905")</f>
        <v>81423905</v>
      </c>
      <c r="F1212" s="9" t="s">
        <v>3334</v>
      </c>
      <c r="G1212" s="12" t="s">
        <v>3335</v>
      </c>
      <c r="H1212" s="9" t="s">
        <v>3336</v>
      </c>
      <c r="I1212" s="10">
        <v>45581</v>
      </c>
    </row>
    <row r="1213" spans="1:9" x14ac:dyDescent="0.15">
      <c r="A1213" s="9">
        <v>1212</v>
      </c>
      <c r="B1213" s="9" t="s">
        <v>9</v>
      </c>
      <c r="C1213" s="9">
        <v>1918</v>
      </c>
      <c r="D1213" s="10">
        <v>45663</v>
      </c>
      <c r="E1213" s="13" t="str">
        <f>+HYPERLINK("http://trademark.i-assist.jp/data/china/image_1918th/81424877.pdf","81424877")</f>
        <v>81424877</v>
      </c>
      <c r="F1213" s="9" t="s">
        <v>3337</v>
      </c>
      <c r="G1213" s="9" t="s">
        <v>3160</v>
      </c>
      <c r="H1213" s="12" t="s">
        <v>3338</v>
      </c>
      <c r="I1213" s="10">
        <v>45581</v>
      </c>
    </row>
    <row r="1214" spans="1:9" x14ac:dyDescent="0.15">
      <c r="A1214" s="9">
        <v>1213</v>
      </c>
      <c r="B1214" s="9" t="s">
        <v>9</v>
      </c>
      <c r="C1214" s="9">
        <v>1918</v>
      </c>
      <c r="D1214" s="10">
        <v>45663</v>
      </c>
      <c r="E1214" s="13" t="str">
        <f>+HYPERLINK("http://trademark.i-assist.jp/data/china/image_1918th/81425093.pdf","81425093")</f>
        <v>81425093</v>
      </c>
      <c r="F1214" s="9" t="s">
        <v>3339</v>
      </c>
      <c r="G1214" s="12" t="s">
        <v>3177</v>
      </c>
      <c r="H1214" s="9" t="s">
        <v>3340</v>
      </c>
      <c r="I1214" s="10">
        <v>45581</v>
      </c>
    </row>
    <row r="1215" spans="1:9" x14ac:dyDescent="0.15">
      <c r="A1215" s="9">
        <v>1214</v>
      </c>
      <c r="B1215" s="9" t="s">
        <v>9</v>
      </c>
      <c r="C1215" s="9">
        <v>1918</v>
      </c>
      <c r="D1215" s="10">
        <v>45663</v>
      </c>
      <c r="E1215" s="13" t="str">
        <f>+HYPERLINK("http://trademark.i-assist.jp/data/china/image_1918th/81425174.pdf","81425174")</f>
        <v>81425174</v>
      </c>
      <c r="F1215" s="9" t="s">
        <v>3341</v>
      </c>
      <c r="G1215" s="9" t="s">
        <v>3342</v>
      </c>
      <c r="H1215" s="12" t="s">
        <v>3343</v>
      </c>
      <c r="I1215" s="10">
        <v>45581</v>
      </c>
    </row>
    <row r="1216" spans="1:9" x14ac:dyDescent="0.15">
      <c r="A1216" s="9">
        <v>1215</v>
      </c>
      <c r="B1216" s="9" t="s">
        <v>9</v>
      </c>
      <c r="C1216" s="9">
        <v>1918</v>
      </c>
      <c r="D1216" s="10">
        <v>45663</v>
      </c>
      <c r="E1216" s="13" t="str">
        <f>+HYPERLINK("http://trademark.i-assist.jp/data/china/image_1918th/81425204.pdf","81425204")</f>
        <v>81425204</v>
      </c>
      <c r="F1216" s="9" t="s">
        <v>3344</v>
      </c>
      <c r="G1216" s="9" t="s">
        <v>3345</v>
      </c>
      <c r="H1216" s="9" t="s">
        <v>3346</v>
      </c>
      <c r="I1216" s="10">
        <v>45581</v>
      </c>
    </row>
    <row r="1217" spans="1:9" x14ac:dyDescent="0.15">
      <c r="A1217" s="9">
        <v>1216</v>
      </c>
      <c r="B1217" s="9" t="s">
        <v>9</v>
      </c>
      <c r="C1217" s="9">
        <v>1918</v>
      </c>
      <c r="D1217" s="10">
        <v>45663</v>
      </c>
      <c r="E1217" s="13" t="str">
        <f>+HYPERLINK("http://trademark.i-assist.jp/data/china/image_1918th/81425621.pdf","81425621")</f>
        <v>81425621</v>
      </c>
      <c r="F1217" s="11" t="s">
        <v>3347</v>
      </c>
      <c r="G1217" s="9" t="s">
        <v>1019</v>
      </c>
      <c r="H1217" s="9" t="s">
        <v>3348</v>
      </c>
      <c r="I1217" s="10">
        <v>45581</v>
      </c>
    </row>
    <row r="1218" spans="1:9" x14ac:dyDescent="0.15">
      <c r="A1218" s="9">
        <v>1217</v>
      </c>
      <c r="B1218" s="9" t="s">
        <v>9</v>
      </c>
      <c r="C1218" s="9">
        <v>1918</v>
      </c>
      <c r="D1218" s="10">
        <v>45663</v>
      </c>
      <c r="E1218" s="13" t="str">
        <f>+HYPERLINK("http://trademark.i-assist.jp/data/china/image_1918th/81425632.pdf","81425632")</f>
        <v>81425632</v>
      </c>
      <c r="F1218" s="9" t="s">
        <v>3349</v>
      </c>
      <c r="G1218" s="9" t="s">
        <v>1019</v>
      </c>
      <c r="H1218" s="9" t="s">
        <v>3350</v>
      </c>
      <c r="I1218" s="10">
        <v>45581</v>
      </c>
    </row>
    <row r="1219" spans="1:9" x14ac:dyDescent="0.15">
      <c r="A1219" s="9">
        <v>1218</v>
      </c>
      <c r="B1219" s="9" t="s">
        <v>9</v>
      </c>
      <c r="C1219" s="9">
        <v>1918</v>
      </c>
      <c r="D1219" s="10">
        <v>45663</v>
      </c>
      <c r="E1219" s="13" t="str">
        <f>+HYPERLINK("http://trademark.i-assist.jp/data/china/image_1918th/81425641.pdf","81425641")</f>
        <v>81425641</v>
      </c>
      <c r="F1219" s="9" t="s">
        <v>3351</v>
      </c>
      <c r="G1219" s="12" t="s">
        <v>3352</v>
      </c>
      <c r="H1219" s="12" t="s">
        <v>3353</v>
      </c>
      <c r="I1219" s="10">
        <v>45581</v>
      </c>
    </row>
    <row r="1220" spans="1:9" x14ac:dyDescent="0.15">
      <c r="A1220" s="9">
        <v>1219</v>
      </c>
      <c r="B1220" s="9" t="s">
        <v>9</v>
      </c>
      <c r="C1220" s="9">
        <v>1918</v>
      </c>
      <c r="D1220" s="10">
        <v>45663</v>
      </c>
      <c r="E1220" s="13" t="str">
        <f>+HYPERLINK("http://trademark.i-assist.jp/data/china/image_1918th/81426065.pdf","81426065")</f>
        <v>81426065</v>
      </c>
      <c r="F1220" s="9" t="s">
        <v>3354</v>
      </c>
      <c r="G1220" s="9" t="s">
        <v>3355</v>
      </c>
      <c r="H1220" s="9" t="s">
        <v>3356</v>
      </c>
      <c r="I1220" s="10">
        <v>45581</v>
      </c>
    </row>
    <row r="1221" spans="1:9" x14ac:dyDescent="0.15">
      <c r="A1221" s="9">
        <v>1220</v>
      </c>
      <c r="B1221" s="9" t="s">
        <v>9</v>
      </c>
      <c r="C1221" s="9">
        <v>1918</v>
      </c>
      <c r="D1221" s="10">
        <v>45663</v>
      </c>
      <c r="E1221" s="13" t="str">
        <f>+HYPERLINK("http://trademark.i-assist.jp/data/china/image_1918th/81426207.pdf","81426207")</f>
        <v>81426207</v>
      </c>
      <c r="F1221" s="12" t="s">
        <v>3357</v>
      </c>
      <c r="G1221" s="9" t="s">
        <v>3244</v>
      </c>
      <c r="H1221" s="9" t="s">
        <v>3358</v>
      </c>
      <c r="I1221" s="10">
        <v>45581</v>
      </c>
    </row>
    <row r="1222" spans="1:9" x14ac:dyDescent="0.15">
      <c r="A1222" s="9">
        <v>1221</v>
      </c>
      <c r="B1222" s="9" t="s">
        <v>9</v>
      </c>
      <c r="C1222" s="9">
        <v>1918</v>
      </c>
      <c r="D1222" s="10">
        <v>45663</v>
      </c>
      <c r="E1222" s="13" t="str">
        <f>+HYPERLINK("http://trademark.i-assist.jp/data/china/image_1918th/81427849.pdf","81427849")</f>
        <v>81427849</v>
      </c>
      <c r="F1222" s="9" t="s">
        <v>3359</v>
      </c>
      <c r="G1222" s="9" t="s">
        <v>3360</v>
      </c>
      <c r="H1222" s="9" t="s">
        <v>3361</v>
      </c>
      <c r="I1222" s="10">
        <v>45581</v>
      </c>
    </row>
    <row r="1223" spans="1:9" x14ac:dyDescent="0.15">
      <c r="A1223" s="9">
        <v>1222</v>
      </c>
      <c r="B1223" s="9" t="s">
        <v>9</v>
      </c>
      <c r="C1223" s="9">
        <v>1918</v>
      </c>
      <c r="D1223" s="10">
        <v>45663</v>
      </c>
      <c r="E1223" s="13" t="str">
        <f>+HYPERLINK("http://trademark.i-assist.jp/data/china/image_1918th/81427926.pdf","81427926")</f>
        <v>81427926</v>
      </c>
      <c r="F1223" s="12" t="s">
        <v>3362</v>
      </c>
      <c r="G1223" s="12" t="s">
        <v>3363</v>
      </c>
      <c r="H1223" s="9" t="s">
        <v>3364</v>
      </c>
      <c r="I1223" s="10">
        <v>45581</v>
      </c>
    </row>
    <row r="1224" spans="1:9" x14ac:dyDescent="0.15">
      <c r="A1224" s="9">
        <v>1223</v>
      </c>
      <c r="B1224" s="9" t="s">
        <v>9</v>
      </c>
      <c r="C1224" s="9">
        <v>1918</v>
      </c>
      <c r="D1224" s="10">
        <v>45663</v>
      </c>
      <c r="E1224" s="13" t="str">
        <f>+HYPERLINK("http://trademark.i-assist.jp/data/china/image_1918th/81428038.pdf","81428038")</f>
        <v>81428038</v>
      </c>
      <c r="F1224" s="9" t="s">
        <v>3365</v>
      </c>
      <c r="G1224" s="9" t="s">
        <v>3366</v>
      </c>
      <c r="H1224" s="9" t="s">
        <v>3367</v>
      </c>
      <c r="I1224" s="10">
        <v>45581</v>
      </c>
    </row>
    <row r="1225" spans="1:9" x14ac:dyDescent="0.15">
      <c r="A1225" s="9">
        <v>1224</v>
      </c>
      <c r="B1225" s="9" t="s">
        <v>9</v>
      </c>
      <c r="C1225" s="9">
        <v>1918</v>
      </c>
      <c r="D1225" s="10">
        <v>45663</v>
      </c>
      <c r="E1225" s="13" t="str">
        <f>+HYPERLINK("http://trademark.i-assist.jp/data/china/image_1918th/81428332.pdf","81428332")</f>
        <v>81428332</v>
      </c>
      <c r="F1225" s="12" t="s">
        <v>3368</v>
      </c>
      <c r="G1225" s="12" t="s">
        <v>3369</v>
      </c>
      <c r="H1225" s="9" t="s">
        <v>3370</v>
      </c>
      <c r="I1225" s="10">
        <v>45581</v>
      </c>
    </row>
    <row r="1226" spans="1:9" x14ac:dyDescent="0.15">
      <c r="A1226" s="9">
        <v>1225</v>
      </c>
      <c r="B1226" s="9" t="s">
        <v>9</v>
      </c>
      <c r="C1226" s="9">
        <v>1918</v>
      </c>
      <c r="D1226" s="10">
        <v>45663</v>
      </c>
      <c r="E1226" s="13" t="str">
        <f>+HYPERLINK("http://trademark.i-assist.jp/data/china/image_1918th/81428827.pdf","81428827")</f>
        <v>81428827</v>
      </c>
      <c r="F1226" s="9" t="s">
        <v>3371</v>
      </c>
      <c r="G1226" s="9" t="s">
        <v>3372</v>
      </c>
      <c r="H1226" s="9" t="s">
        <v>3373</v>
      </c>
      <c r="I1226" s="10">
        <v>45581</v>
      </c>
    </row>
    <row r="1227" spans="1:9" x14ac:dyDescent="0.15">
      <c r="A1227" s="9">
        <v>1226</v>
      </c>
      <c r="B1227" s="9" t="s">
        <v>9</v>
      </c>
      <c r="C1227" s="9">
        <v>1918</v>
      </c>
      <c r="D1227" s="10">
        <v>45663</v>
      </c>
      <c r="E1227" s="13" t="str">
        <f>+HYPERLINK("http://trademark.i-assist.jp/data/china/image_1918th/81429592.pdf","81429592")</f>
        <v>81429592</v>
      </c>
      <c r="F1227" s="9" t="s">
        <v>3374</v>
      </c>
      <c r="G1227" s="12" t="s">
        <v>3375</v>
      </c>
      <c r="H1227" s="12" t="s">
        <v>3376</v>
      </c>
      <c r="I1227" s="10">
        <v>45582</v>
      </c>
    </row>
    <row r="1228" spans="1:9" x14ac:dyDescent="0.15">
      <c r="A1228" s="9">
        <v>1227</v>
      </c>
      <c r="B1228" s="9" t="s">
        <v>9</v>
      </c>
      <c r="C1228" s="9">
        <v>1918</v>
      </c>
      <c r="D1228" s="10">
        <v>45663</v>
      </c>
      <c r="E1228" s="13" t="str">
        <f>+HYPERLINK("http://trademark.i-assist.jp/data/china/image_1918th/81429826.pdf","81429826")</f>
        <v>81429826</v>
      </c>
      <c r="F1228" s="9" t="s">
        <v>3377</v>
      </c>
      <c r="G1228" s="9" t="s">
        <v>3378</v>
      </c>
      <c r="H1228" s="9" t="s">
        <v>3379</v>
      </c>
      <c r="I1228" s="10">
        <v>45582</v>
      </c>
    </row>
    <row r="1229" spans="1:9" x14ac:dyDescent="0.15">
      <c r="A1229" s="9">
        <v>1228</v>
      </c>
      <c r="B1229" s="9" t="s">
        <v>9</v>
      </c>
      <c r="C1229" s="9">
        <v>1918</v>
      </c>
      <c r="D1229" s="10">
        <v>45663</v>
      </c>
      <c r="E1229" s="13" t="str">
        <f>+HYPERLINK("http://trademark.i-assist.jp/data/china/image_1918th/81429881.pdf","81429881")</f>
        <v>81429881</v>
      </c>
      <c r="F1229" s="9" t="s">
        <v>3380</v>
      </c>
      <c r="G1229" s="9" t="s">
        <v>3381</v>
      </c>
      <c r="H1229" s="9" t="s">
        <v>3382</v>
      </c>
      <c r="I1229" s="10">
        <v>45582</v>
      </c>
    </row>
    <row r="1230" spans="1:9" x14ac:dyDescent="0.15">
      <c r="A1230" s="9">
        <v>1229</v>
      </c>
      <c r="B1230" s="9" t="s">
        <v>9</v>
      </c>
      <c r="C1230" s="9">
        <v>1918</v>
      </c>
      <c r="D1230" s="10">
        <v>45663</v>
      </c>
      <c r="E1230" s="13" t="str">
        <f>+HYPERLINK("http://trademark.i-assist.jp/data/china/image_1918th/81430023.pdf","81430023")</f>
        <v>81430023</v>
      </c>
      <c r="F1230" s="9" t="s">
        <v>3383</v>
      </c>
      <c r="G1230" s="12" t="s">
        <v>25</v>
      </c>
      <c r="H1230" s="9" t="s">
        <v>3384</v>
      </c>
      <c r="I1230" s="10">
        <v>45582</v>
      </c>
    </row>
    <row r="1231" spans="1:9" x14ac:dyDescent="0.15">
      <c r="A1231" s="9">
        <v>1230</v>
      </c>
      <c r="B1231" s="9" t="s">
        <v>9</v>
      </c>
      <c r="C1231" s="9">
        <v>1918</v>
      </c>
      <c r="D1231" s="10">
        <v>45663</v>
      </c>
      <c r="E1231" s="13" t="str">
        <f>+HYPERLINK("http://trademark.i-assist.jp/data/china/image_1918th/81430159.pdf","81430159")</f>
        <v>81430159</v>
      </c>
      <c r="F1231" s="9" t="s">
        <v>3385</v>
      </c>
      <c r="G1231" s="9" t="s">
        <v>3386</v>
      </c>
      <c r="H1231" s="9" t="s">
        <v>3387</v>
      </c>
      <c r="I1231" s="10">
        <v>45583</v>
      </c>
    </row>
    <row r="1232" spans="1:9" x14ac:dyDescent="0.15">
      <c r="A1232" s="9">
        <v>1231</v>
      </c>
      <c r="B1232" s="9" t="s">
        <v>9</v>
      </c>
      <c r="C1232" s="9">
        <v>1918</v>
      </c>
      <c r="D1232" s="10">
        <v>45663</v>
      </c>
      <c r="E1232" s="13" t="str">
        <f>+HYPERLINK("http://trademark.i-assist.jp/data/china/image_1918th/81430302.pdf","81430302")</f>
        <v>81430302</v>
      </c>
      <c r="F1232" s="9" t="s">
        <v>3388</v>
      </c>
      <c r="G1232" s="9" t="s">
        <v>3389</v>
      </c>
      <c r="H1232" s="9" t="s">
        <v>3390</v>
      </c>
      <c r="I1232" s="10">
        <v>45583</v>
      </c>
    </row>
    <row r="1233" spans="1:9" x14ac:dyDescent="0.15">
      <c r="A1233" s="9">
        <v>1232</v>
      </c>
      <c r="B1233" s="9" t="s">
        <v>9</v>
      </c>
      <c r="C1233" s="9">
        <v>1918</v>
      </c>
      <c r="D1233" s="10">
        <v>45663</v>
      </c>
      <c r="E1233" s="13" t="str">
        <f>+HYPERLINK("http://trademark.i-assist.jp/data/china/image_1918th/81430426.pdf","81430426")</f>
        <v>81430426</v>
      </c>
      <c r="F1233" s="9" t="s">
        <v>3391</v>
      </c>
      <c r="G1233" s="9" t="s">
        <v>3392</v>
      </c>
      <c r="H1233" s="9" t="s">
        <v>3393</v>
      </c>
      <c r="I1233" s="10">
        <v>45582</v>
      </c>
    </row>
    <row r="1234" spans="1:9" x14ac:dyDescent="0.15">
      <c r="A1234" s="9">
        <v>1233</v>
      </c>
      <c r="B1234" s="9" t="s">
        <v>9</v>
      </c>
      <c r="C1234" s="9">
        <v>1918</v>
      </c>
      <c r="D1234" s="10">
        <v>45663</v>
      </c>
      <c r="E1234" s="13" t="str">
        <f>+HYPERLINK("http://trademark.i-assist.jp/data/china/image_1918th/81430676.pdf","81430676")</f>
        <v>81430676</v>
      </c>
      <c r="F1234" s="9" t="s">
        <v>3394</v>
      </c>
      <c r="G1234" s="9" t="s">
        <v>40</v>
      </c>
      <c r="H1234" s="9" t="s">
        <v>3395</v>
      </c>
      <c r="I1234" s="10">
        <v>45583</v>
      </c>
    </row>
    <row r="1235" spans="1:9" x14ac:dyDescent="0.15">
      <c r="A1235" s="9">
        <v>1234</v>
      </c>
      <c r="B1235" s="9" t="s">
        <v>9</v>
      </c>
      <c r="C1235" s="9">
        <v>1918</v>
      </c>
      <c r="D1235" s="10">
        <v>45663</v>
      </c>
      <c r="E1235" s="13" t="str">
        <f>+HYPERLINK("http://trademark.i-assist.jp/data/china/image_1918th/81430783.pdf","81430783")</f>
        <v>81430783</v>
      </c>
      <c r="F1235" s="12" t="s">
        <v>3396</v>
      </c>
      <c r="G1235" s="9" t="s">
        <v>3397</v>
      </c>
      <c r="H1235" s="9" t="s">
        <v>3398</v>
      </c>
      <c r="I1235" s="10">
        <v>45583</v>
      </c>
    </row>
    <row r="1236" spans="1:9" x14ac:dyDescent="0.15">
      <c r="A1236" s="9">
        <v>1235</v>
      </c>
      <c r="B1236" s="9" t="s">
        <v>9</v>
      </c>
      <c r="C1236" s="9">
        <v>1918</v>
      </c>
      <c r="D1236" s="10">
        <v>45663</v>
      </c>
      <c r="E1236" s="13" t="str">
        <f>+HYPERLINK("http://trademark.i-assist.jp/data/china/image_1918th/81430983.pdf","81430983")</f>
        <v>81430983</v>
      </c>
      <c r="F1236" s="9" t="s">
        <v>3399</v>
      </c>
      <c r="G1236" s="12" t="s">
        <v>3400</v>
      </c>
      <c r="H1236" s="12" t="s">
        <v>3401</v>
      </c>
      <c r="I1236" s="10">
        <v>45582</v>
      </c>
    </row>
    <row r="1237" spans="1:9" x14ac:dyDescent="0.15">
      <c r="A1237" s="9">
        <v>1236</v>
      </c>
      <c r="B1237" s="9" t="s">
        <v>9</v>
      </c>
      <c r="C1237" s="9">
        <v>1918</v>
      </c>
      <c r="D1237" s="10">
        <v>45663</v>
      </c>
      <c r="E1237" s="13" t="str">
        <f>+HYPERLINK("http://trademark.i-assist.jp/data/china/image_1918th/81431072.pdf","81431072")</f>
        <v>81431072</v>
      </c>
      <c r="F1237" s="9" t="s">
        <v>3402</v>
      </c>
      <c r="G1237" s="9" t="s">
        <v>3403</v>
      </c>
      <c r="H1237" s="9" t="s">
        <v>3404</v>
      </c>
      <c r="I1237" s="10">
        <v>45582</v>
      </c>
    </row>
    <row r="1238" spans="1:9" x14ac:dyDescent="0.15">
      <c r="A1238" s="9">
        <v>1237</v>
      </c>
      <c r="B1238" s="9" t="s">
        <v>9</v>
      </c>
      <c r="C1238" s="9">
        <v>1918</v>
      </c>
      <c r="D1238" s="10">
        <v>45663</v>
      </c>
      <c r="E1238" s="13" t="str">
        <f>+HYPERLINK("http://trademark.i-assist.jp/data/china/image_1918th/81431424.pdf","81431424")</f>
        <v>81431424</v>
      </c>
      <c r="F1238" s="9" t="s">
        <v>3405</v>
      </c>
      <c r="G1238" s="9" t="s">
        <v>3406</v>
      </c>
      <c r="H1238" s="9" t="s">
        <v>3407</v>
      </c>
      <c r="I1238" s="10">
        <v>45582</v>
      </c>
    </row>
    <row r="1239" spans="1:9" x14ac:dyDescent="0.15">
      <c r="A1239" s="9">
        <v>1238</v>
      </c>
      <c r="B1239" s="9" t="s">
        <v>9</v>
      </c>
      <c r="C1239" s="9">
        <v>1918</v>
      </c>
      <c r="D1239" s="10">
        <v>45663</v>
      </c>
      <c r="E1239" s="13" t="str">
        <f>+HYPERLINK("http://trademark.i-assist.jp/data/china/image_1918th/81431816.pdf","81431816")</f>
        <v>81431816</v>
      </c>
      <c r="F1239" s="9" t="s">
        <v>3408</v>
      </c>
      <c r="G1239" s="9" t="s">
        <v>3409</v>
      </c>
      <c r="H1239" s="9" t="s">
        <v>3410</v>
      </c>
      <c r="I1239" s="10">
        <v>45583</v>
      </c>
    </row>
    <row r="1240" spans="1:9" x14ac:dyDescent="0.15">
      <c r="A1240" s="9">
        <v>1239</v>
      </c>
      <c r="B1240" s="9" t="s">
        <v>9</v>
      </c>
      <c r="C1240" s="9">
        <v>1918</v>
      </c>
      <c r="D1240" s="10">
        <v>45663</v>
      </c>
      <c r="E1240" s="13" t="str">
        <f>+HYPERLINK("http://trademark.i-assist.jp/data/china/image_1918th/81432159.pdf","81432159")</f>
        <v>81432159</v>
      </c>
      <c r="F1240" s="9" t="s">
        <v>3411</v>
      </c>
      <c r="G1240" s="12" t="s">
        <v>3412</v>
      </c>
      <c r="H1240" s="9" t="s">
        <v>3413</v>
      </c>
      <c r="I1240" s="10">
        <v>45582</v>
      </c>
    </row>
    <row r="1241" spans="1:9" x14ac:dyDescent="0.15">
      <c r="A1241" s="9">
        <v>1240</v>
      </c>
      <c r="B1241" s="9" t="s">
        <v>9</v>
      </c>
      <c r="C1241" s="9">
        <v>1918</v>
      </c>
      <c r="D1241" s="10">
        <v>45663</v>
      </c>
      <c r="E1241" s="13" t="str">
        <f>+HYPERLINK("http://trademark.i-assist.jp/data/china/image_1918th/81432931.pdf","81432931")</f>
        <v>81432931</v>
      </c>
      <c r="F1241" s="9" t="s">
        <v>3414</v>
      </c>
      <c r="G1241" s="9" t="s">
        <v>3415</v>
      </c>
      <c r="H1241" s="9" t="s">
        <v>3416</v>
      </c>
      <c r="I1241" s="10">
        <v>45583</v>
      </c>
    </row>
    <row r="1242" spans="1:9" x14ac:dyDescent="0.15">
      <c r="A1242" s="9">
        <v>1241</v>
      </c>
      <c r="B1242" s="9" t="s">
        <v>9</v>
      </c>
      <c r="C1242" s="9">
        <v>1918</v>
      </c>
      <c r="D1242" s="10">
        <v>45663</v>
      </c>
      <c r="E1242" s="13" t="str">
        <f>+HYPERLINK("http://trademark.i-assist.jp/data/china/image_1918th/81433015.pdf","81433015")</f>
        <v>81433015</v>
      </c>
      <c r="F1242" s="9" t="s">
        <v>3417</v>
      </c>
      <c r="G1242" s="9" t="s">
        <v>3418</v>
      </c>
      <c r="H1242" s="9" t="s">
        <v>3419</v>
      </c>
      <c r="I1242" s="10">
        <v>45583</v>
      </c>
    </row>
    <row r="1243" spans="1:9" x14ac:dyDescent="0.15">
      <c r="A1243" s="9">
        <v>1242</v>
      </c>
      <c r="B1243" s="9" t="s">
        <v>9</v>
      </c>
      <c r="C1243" s="9">
        <v>1918</v>
      </c>
      <c r="D1243" s="10">
        <v>45663</v>
      </c>
      <c r="E1243" s="13" t="str">
        <f>+HYPERLINK("http://trademark.i-assist.jp/data/china/image_1918th/81433173.pdf","81433173")</f>
        <v>81433173</v>
      </c>
      <c r="F1243" s="9" t="s">
        <v>3420</v>
      </c>
      <c r="G1243" s="9" t="s">
        <v>3421</v>
      </c>
      <c r="H1243" s="12" t="s">
        <v>3422</v>
      </c>
      <c r="I1243" s="10">
        <v>45582</v>
      </c>
    </row>
    <row r="1244" spans="1:9" x14ac:dyDescent="0.15">
      <c r="A1244" s="9">
        <v>1243</v>
      </c>
      <c r="B1244" s="9" t="s">
        <v>9</v>
      </c>
      <c r="C1244" s="9">
        <v>1918</v>
      </c>
      <c r="D1244" s="10">
        <v>45663</v>
      </c>
      <c r="E1244" s="13" t="str">
        <f>+HYPERLINK("http://trademark.i-assist.jp/data/china/image_1918th/81433241.pdf","81433241")</f>
        <v>81433241</v>
      </c>
      <c r="F1244" s="9" t="s">
        <v>3423</v>
      </c>
      <c r="G1244" s="9" t="s">
        <v>3424</v>
      </c>
      <c r="H1244" s="9" t="s">
        <v>3425</v>
      </c>
      <c r="I1244" s="10">
        <v>45582</v>
      </c>
    </row>
    <row r="1245" spans="1:9" x14ac:dyDescent="0.15">
      <c r="A1245" s="9">
        <v>1244</v>
      </c>
      <c r="B1245" s="9" t="s">
        <v>9</v>
      </c>
      <c r="C1245" s="9">
        <v>1918</v>
      </c>
      <c r="D1245" s="10">
        <v>45663</v>
      </c>
      <c r="E1245" s="13" t="str">
        <f>+HYPERLINK("http://trademark.i-assist.jp/data/china/image_1918th/81433637.pdf","81433637")</f>
        <v>81433637</v>
      </c>
      <c r="F1245" s="9" t="s">
        <v>3426</v>
      </c>
      <c r="G1245" s="9" t="s">
        <v>3427</v>
      </c>
      <c r="H1245" s="9" t="s">
        <v>3428</v>
      </c>
      <c r="I1245" s="10">
        <v>45582</v>
      </c>
    </row>
    <row r="1246" spans="1:9" x14ac:dyDescent="0.15">
      <c r="A1246" s="9">
        <v>1245</v>
      </c>
      <c r="B1246" s="9" t="s">
        <v>9</v>
      </c>
      <c r="C1246" s="9">
        <v>1918</v>
      </c>
      <c r="D1246" s="10">
        <v>45663</v>
      </c>
      <c r="E1246" s="13" t="str">
        <f>+HYPERLINK("http://trademark.i-assist.jp/data/china/image_1918th/81434214.pdf","81434214")</f>
        <v>81434214</v>
      </c>
      <c r="F1246" s="9" t="s">
        <v>3429</v>
      </c>
      <c r="G1246" s="12" t="s">
        <v>3430</v>
      </c>
      <c r="H1246" s="9" t="s">
        <v>3431</v>
      </c>
      <c r="I1246" s="10">
        <v>45582</v>
      </c>
    </row>
    <row r="1247" spans="1:9" x14ac:dyDescent="0.15">
      <c r="A1247" s="9">
        <v>1246</v>
      </c>
      <c r="B1247" s="9" t="s">
        <v>9</v>
      </c>
      <c r="C1247" s="9">
        <v>1918</v>
      </c>
      <c r="D1247" s="10">
        <v>45663</v>
      </c>
      <c r="E1247" s="13" t="str">
        <f>+HYPERLINK("http://trademark.i-assist.jp/data/china/image_1918th/81434349.pdf","81434349")</f>
        <v>81434349</v>
      </c>
      <c r="F1247" s="9" t="s">
        <v>3432</v>
      </c>
      <c r="G1247" s="9" t="s">
        <v>3433</v>
      </c>
      <c r="H1247" s="9" t="s">
        <v>3434</v>
      </c>
      <c r="I1247" s="10">
        <v>45582</v>
      </c>
    </row>
    <row r="1248" spans="1:9" x14ac:dyDescent="0.15">
      <c r="A1248" s="9">
        <v>1247</v>
      </c>
      <c r="B1248" s="9" t="s">
        <v>9</v>
      </c>
      <c r="C1248" s="9">
        <v>1918</v>
      </c>
      <c r="D1248" s="10">
        <v>45663</v>
      </c>
      <c r="E1248" s="13" t="str">
        <f>+HYPERLINK("http://trademark.i-assist.jp/data/china/image_1918th/81434447.pdf","81434447")</f>
        <v>81434447</v>
      </c>
      <c r="F1248" s="9" t="s">
        <v>3435</v>
      </c>
      <c r="G1248" s="12" t="s">
        <v>3400</v>
      </c>
      <c r="H1248" s="9" t="s">
        <v>3436</v>
      </c>
      <c r="I1248" s="10">
        <v>45582</v>
      </c>
    </row>
    <row r="1249" spans="1:9" x14ac:dyDescent="0.15">
      <c r="A1249" s="9">
        <v>1248</v>
      </c>
      <c r="B1249" s="9" t="s">
        <v>9</v>
      </c>
      <c r="C1249" s="9">
        <v>1918</v>
      </c>
      <c r="D1249" s="10">
        <v>45663</v>
      </c>
      <c r="E1249" s="13" t="str">
        <f>+HYPERLINK("http://trademark.i-assist.jp/data/china/image_1918th/81434462.pdf","81434462")</f>
        <v>81434462</v>
      </c>
      <c r="F1249" s="9" t="s">
        <v>3437</v>
      </c>
      <c r="G1249" s="12" t="s">
        <v>2206</v>
      </c>
      <c r="H1249" s="9" t="s">
        <v>3438</v>
      </c>
      <c r="I1249" s="10">
        <v>45582</v>
      </c>
    </row>
    <row r="1250" spans="1:9" x14ac:dyDescent="0.15">
      <c r="A1250" s="9">
        <v>1249</v>
      </c>
      <c r="B1250" s="9" t="s">
        <v>9</v>
      </c>
      <c r="C1250" s="9">
        <v>1918</v>
      </c>
      <c r="D1250" s="10">
        <v>45663</v>
      </c>
      <c r="E1250" s="13" t="str">
        <f>+HYPERLINK("http://trademark.i-assist.jp/data/china/image_1918th/81435166.pdf","81435166")</f>
        <v>81435166</v>
      </c>
      <c r="F1250" s="9" t="s">
        <v>3439</v>
      </c>
      <c r="G1250" s="12" t="s">
        <v>3440</v>
      </c>
      <c r="H1250" s="9" t="s">
        <v>3441</v>
      </c>
      <c r="I1250" s="10">
        <v>45582</v>
      </c>
    </row>
    <row r="1251" spans="1:9" x14ac:dyDescent="0.15">
      <c r="A1251" s="9">
        <v>1250</v>
      </c>
      <c r="B1251" s="9" t="s">
        <v>9</v>
      </c>
      <c r="C1251" s="9">
        <v>1918</v>
      </c>
      <c r="D1251" s="10">
        <v>45663</v>
      </c>
      <c r="E1251" s="13" t="str">
        <f>+HYPERLINK("http://trademark.i-assist.jp/data/china/image_1918th/81435169.pdf","81435169")</f>
        <v>81435169</v>
      </c>
      <c r="F1251" s="9" t="s">
        <v>3442</v>
      </c>
      <c r="G1251" s="12" t="s">
        <v>3443</v>
      </c>
      <c r="H1251" s="12" t="s">
        <v>3444</v>
      </c>
      <c r="I1251" s="10">
        <v>45582</v>
      </c>
    </row>
    <row r="1252" spans="1:9" x14ac:dyDescent="0.15">
      <c r="A1252" s="9">
        <v>1251</v>
      </c>
      <c r="B1252" s="9" t="s">
        <v>9</v>
      </c>
      <c r="C1252" s="9">
        <v>1918</v>
      </c>
      <c r="D1252" s="10">
        <v>45663</v>
      </c>
      <c r="E1252" s="13" t="str">
        <f>+HYPERLINK("http://trademark.i-assist.jp/data/china/image_1918th/81435260.pdf","81435260")</f>
        <v>81435260</v>
      </c>
      <c r="F1252" s="9" t="s">
        <v>3445</v>
      </c>
      <c r="G1252" s="9" t="s">
        <v>3446</v>
      </c>
      <c r="H1252" s="9" t="s">
        <v>3447</v>
      </c>
      <c r="I1252" s="10">
        <v>45582</v>
      </c>
    </row>
    <row r="1253" spans="1:9" x14ac:dyDescent="0.15">
      <c r="A1253" s="9">
        <v>1252</v>
      </c>
      <c r="B1253" s="9" t="s">
        <v>9</v>
      </c>
      <c r="C1253" s="9">
        <v>1918</v>
      </c>
      <c r="D1253" s="10">
        <v>45663</v>
      </c>
      <c r="E1253" s="13" t="str">
        <f>+HYPERLINK("http://trademark.i-assist.jp/data/china/image_1918th/81435366.pdf","81435366")</f>
        <v>81435366</v>
      </c>
      <c r="F1253" s="9" t="s">
        <v>3448</v>
      </c>
      <c r="G1253" s="12" t="s">
        <v>3449</v>
      </c>
      <c r="H1253" s="9" t="s">
        <v>3450</v>
      </c>
      <c r="I1253" s="10">
        <v>45582</v>
      </c>
    </row>
    <row r="1254" spans="1:9" x14ac:dyDescent="0.15">
      <c r="A1254" s="9">
        <v>1253</v>
      </c>
      <c r="B1254" s="9" t="s">
        <v>9</v>
      </c>
      <c r="C1254" s="9">
        <v>1918</v>
      </c>
      <c r="D1254" s="10">
        <v>45663</v>
      </c>
      <c r="E1254" s="13" t="str">
        <f>+HYPERLINK("http://trademark.i-assist.jp/data/china/image_1918th/81435762.pdf","81435762")</f>
        <v>81435762</v>
      </c>
      <c r="F1254" s="9" t="s">
        <v>3451</v>
      </c>
      <c r="G1254" s="9" t="s">
        <v>3452</v>
      </c>
      <c r="H1254" s="9" t="s">
        <v>3453</v>
      </c>
      <c r="I1254" s="10">
        <v>45582</v>
      </c>
    </row>
    <row r="1255" spans="1:9" x14ac:dyDescent="0.15">
      <c r="A1255" s="9">
        <v>1254</v>
      </c>
      <c r="B1255" s="9" t="s">
        <v>9</v>
      </c>
      <c r="C1255" s="9">
        <v>1918</v>
      </c>
      <c r="D1255" s="10">
        <v>45663</v>
      </c>
      <c r="E1255" s="13" t="str">
        <f>+HYPERLINK("http://trademark.i-assist.jp/data/china/image_1918th/81435915.pdf","81435915")</f>
        <v>81435915</v>
      </c>
      <c r="F1255" s="9" t="s">
        <v>3454</v>
      </c>
      <c r="G1255" s="9" t="s">
        <v>3455</v>
      </c>
      <c r="H1255" s="9" t="s">
        <v>3456</v>
      </c>
      <c r="I1255" s="10">
        <v>45582</v>
      </c>
    </row>
    <row r="1256" spans="1:9" x14ac:dyDescent="0.15">
      <c r="A1256" s="9">
        <v>1255</v>
      </c>
      <c r="B1256" s="9" t="s">
        <v>9</v>
      </c>
      <c r="C1256" s="9">
        <v>1918</v>
      </c>
      <c r="D1256" s="10">
        <v>45663</v>
      </c>
      <c r="E1256" s="13" t="str">
        <f>+HYPERLINK("http://trademark.i-assist.jp/data/china/image_1918th/81436105.pdf","81436105")</f>
        <v>81436105</v>
      </c>
      <c r="F1256" s="9" t="s">
        <v>3457</v>
      </c>
      <c r="G1256" s="9" t="s">
        <v>3458</v>
      </c>
      <c r="H1256" s="9" t="s">
        <v>3459</v>
      </c>
      <c r="I1256" s="10">
        <v>45582</v>
      </c>
    </row>
    <row r="1257" spans="1:9" x14ac:dyDescent="0.15">
      <c r="A1257" s="9">
        <v>1256</v>
      </c>
      <c r="B1257" s="9" t="s">
        <v>9</v>
      </c>
      <c r="C1257" s="9">
        <v>1918</v>
      </c>
      <c r="D1257" s="10">
        <v>45663</v>
      </c>
      <c r="E1257" s="13" t="str">
        <f>+HYPERLINK("http://trademark.i-assist.jp/data/china/image_1918th/81436302.pdf","81436302")</f>
        <v>81436302</v>
      </c>
      <c r="F1257" s="9" t="s">
        <v>3460</v>
      </c>
      <c r="G1257" s="12" t="s">
        <v>3461</v>
      </c>
      <c r="H1257" s="9" t="s">
        <v>3462</v>
      </c>
      <c r="I1257" s="10">
        <v>45582</v>
      </c>
    </row>
    <row r="1258" spans="1:9" x14ac:dyDescent="0.15">
      <c r="A1258" s="9">
        <v>1257</v>
      </c>
      <c r="B1258" s="9" t="s">
        <v>9</v>
      </c>
      <c r="C1258" s="9">
        <v>1918</v>
      </c>
      <c r="D1258" s="10">
        <v>45663</v>
      </c>
      <c r="E1258" s="13" t="str">
        <f>+HYPERLINK("http://trademark.i-assist.jp/data/china/image_1918th/81436889.pdf","81436889")</f>
        <v>81436889</v>
      </c>
      <c r="F1258" s="9" t="s">
        <v>3463</v>
      </c>
      <c r="G1258" s="9" t="s">
        <v>3464</v>
      </c>
      <c r="H1258" s="9" t="s">
        <v>3465</v>
      </c>
      <c r="I1258" s="10">
        <v>45582</v>
      </c>
    </row>
    <row r="1259" spans="1:9" x14ac:dyDescent="0.15">
      <c r="A1259" s="9">
        <v>1258</v>
      </c>
      <c r="B1259" s="9" t="s">
        <v>9</v>
      </c>
      <c r="C1259" s="9">
        <v>1918</v>
      </c>
      <c r="D1259" s="10">
        <v>45663</v>
      </c>
      <c r="E1259" s="13" t="str">
        <f>+HYPERLINK("http://trademark.i-assist.jp/data/china/image_1918th/81438127.pdf","81438127")</f>
        <v>81438127</v>
      </c>
      <c r="F1259" s="9" t="s">
        <v>3466</v>
      </c>
      <c r="G1259" s="9" t="s">
        <v>3467</v>
      </c>
      <c r="H1259" s="12" t="s">
        <v>3468</v>
      </c>
      <c r="I1259" s="10">
        <v>45582</v>
      </c>
    </row>
    <row r="1260" spans="1:9" x14ac:dyDescent="0.15">
      <c r="A1260" s="9">
        <v>1259</v>
      </c>
      <c r="B1260" s="9" t="s">
        <v>9</v>
      </c>
      <c r="C1260" s="9">
        <v>1918</v>
      </c>
      <c r="D1260" s="10">
        <v>45663</v>
      </c>
      <c r="E1260" s="13" t="str">
        <f>+HYPERLINK("http://trademark.i-assist.jp/data/china/image_1918th/81438853.pdf","81438853")</f>
        <v>81438853</v>
      </c>
      <c r="F1260" s="9" t="s">
        <v>3469</v>
      </c>
      <c r="G1260" s="9" t="s">
        <v>3470</v>
      </c>
      <c r="H1260" s="9" t="s">
        <v>3471</v>
      </c>
      <c r="I1260" s="10">
        <v>45582</v>
      </c>
    </row>
    <row r="1261" spans="1:9" x14ac:dyDescent="0.15">
      <c r="A1261" s="9">
        <v>1260</v>
      </c>
      <c r="B1261" s="9" t="s">
        <v>9</v>
      </c>
      <c r="C1261" s="9">
        <v>1918</v>
      </c>
      <c r="D1261" s="10">
        <v>45663</v>
      </c>
      <c r="E1261" s="13" t="str">
        <f>+HYPERLINK("http://trademark.i-assist.jp/data/china/image_1918th/81439057.pdf","81439057")</f>
        <v>81439057</v>
      </c>
      <c r="F1261" s="12" t="s">
        <v>12</v>
      </c>
      <c r="G1261" s="12" t="s">
        <v>3472</v>
      </c>
      <c r="H1261" s="9" t="s">
        <v>3473</v>
      </c>
      <c r="I1261" s="10">
        <v>45582</v>
      </c>
    </row>
    <row r="1262" spans="1:9" x14ac:dyDescent="0.15">
      <c r="A1262" s="9">
        <v>1261</v>
      </c>
      <c r="B1262" s="9" t="s">
        <v>9</v>
      </c>
      <c r="C1262" s="9">
        <v>1918</v>
      </c>
      <c r="D1262" s="10">
        <v>45663</v>
      </c>
      <c r="E1262" s="13" t="str">
        <f>+HYPERLINK("http://trademark.i-assist.jp/data/china/image_1918th/81439634.pdf","81439634")</f>
        <v>81439634</v>
      </c>
      <c r="F1262" s="9" t="s">
        <v>3474</v>
      </c>
      <c r="G1262" s="9" t="s">
        <v>3475</v>
      </c>
      <c r="H1262" s="9" t="s">
        <v>3476</v>
      </c>
      <c r="I1262" s="10">
        <v>45582</v>
      </c>
    </row>
    <row r="1263" spans="1:9" x14ac:dyDescent="0.15">
      <c r="A1263" s="9">
        <v>1262</v>
      </c>
      <c r="B1263" s="9" t="s">
        <v>9</v>
      </c>
      <c r="C1263" s="9">
        <v>1918</v>
      </c>
      <c r="D1263" s="10">
        <v>45663</v>
      </c>
      <c r="E1263" s="13" t="str">
        <f>+HYPERLINK("http://trademark.i-assist.jp/data/china/image_1918th/81439866.pdf","81439866")</f>
        <v>81439866</v>
      </c>
      <c r="F1263" s="9" t="s">
        <v>3423</v>
      </c>
      <c r="G1263" s="9" t="s">
        <v>3424</v>
      </c>
      <c r="H1263" s="9" t="s">
        <v>3477</v>
      </c>
      <c r="I1263" s="10">
        <v>45582</v>
      </c>
    </row>
    <row r="1264" spans="1:9" x14ac:dyDescent="0.15">
      <c r="A1264" s="9">
        <v>1263</v>
      </c>
      <c r="B1264" s="9" t="s">
        <v>9</v>
      </c>
      <c r="C1264" s="9">
        <v>1918</v>
      </c>
      <c r="D1264" s="10">
        <v>45663</v>
      </c>
      <c r="E1264" s="13" t="str">
        <f>+HYPERLINK("http://trademark.i-assist.jp/data/china/image_1918th/81440219.pdf","81440219")</f>
        <v>81440219</v>
      </c>
      <c r="F1264" s="9" t="s">
        <v>3478</v>
      </c>
      <c r="G1264" s="9" t="s">
        <v>3479</v>
      </c>
      <c r="H1264" s="9" t="s">
        <v>3480</v>
      </c>
      <c r="I1264" s="10">
        <v>45582</v>
      </c>
    </row>
    <row r="1265" spans="1:9" x14ac:dyDescent="0.15">
      <c r="A1265" s="9">
        <v>1264</v>
      </c>
      <c r="B1265" s="9" t="s">
        <v>9</v>
      </c>
      <c r="C1265" s="9">
        <v>1918</v>
      </c>
      <c r="D1265" s="10">
        <v>45663</v>
      </c>
      <c r="E1265" s="13" t="str">
        <f>+HYPERLINK("http://trademark.i-assist.jp/data/china/image_1918th/81440357.pdf","81440357")</f>
        <v>81440357</v>
      </c>
      <c r="F1265" s="9" t="s">
        <v>3481</v>
      </c>
      <c r="G1265" s="12" t="s">
        <v>3482</v>
      </c>
      <c r="H1265" s="9" t="s">
        <v>3483</v>
      </c>
      <c r="I1265" s="10">
        <v>45582</v>
      </c>
    </row>
    <row r="1266" spans="1:9" x14ac:dyDescent="0.15">
      <c r="A1266" s="9">
        <v>1265</v>
      </c>
      <c r="B1266" s="9" t="s">
        <v>9</v>
      </c>
      <c r="C1266" s="9">
        <v>1918</v>
      </c>
      <c r="D1266" s="10">
        <v>45663</v>
      </c>
      <c r="E1266" s="13" t="str">
        <f>+HYPERLINK("http://trademark.i-assist.jp/data/china/image_1918th/81441524.pdf","81441524")</f>
        <v>81441524</v>
      </c>
      <c r="F1266" s="9" t="s">
        <v>3484</v>
      </c>
      <c r="G1266" s="9" t="s">
        <v>3485</v>
      </c>
      <c r="H1266" s="9" t="s">
        <v>3486</v>
      </c>
      <c r="I1266" s="10">
        <v>45582</v>
      </c>
    </row>
    <row r="1267" spans="1:9" x14ac:dyDescent="0.15">
      <c r="A1267" s="9">
        <v>1266</v>
      </c>
      <c r="B1267" s="9" t="s">
        <v>9</v>
      </c>
      <c r="C1267" s="9">
        <v>1918</v>
      </c>
      <c r="D1267" s="10">
        <v>45663</v>
      </c>
      <c r="E1267" s="13" t="str">
        <f>+HYPERLINK("http://trademark.i-assist.jp/data/china/image_1918th/81441636.pdf","81441636")</f>
        <v>81441636</v>
      </c>
      <c r="F1267" s="9" t="s">
        <v>3487</v>
      </c>
      <c r="G1267" s="9" t="s">
        <v>3488</v>
      </c>
      <c r="H1267" s="9" t="s">
        <v>3489</v>
      </c>
      <c r="I1267" s="10">
        <v>45582</v>
      </c>
    </row>
    <row r="1268" spans="1:9" x14ac:dyDescent="0.15">
      <c r="A1268" s="9">
        <v>1267</v>
      </c>
      <c r="B1268" s="9" t="s">
        <v>9</v>
      </c>
      <c r="C1268" s="9">
        <v>1918</v>
      </c>
      <c r="D1268" s="10">
        <v>45663</v>
      </c>
      <c r="E1268" s="13" t="str">
        <f>+HYPERLINK("http://trademark.i-assist.jp/data/china/image_1918th/81441924.pdf","81441924")</f>
        <v>81441924</v>
      </c>
      <c r="F1268" s="9" t="s">
        <v>3490</v>
      </c>
      <c r="G1268" s="12" t="s">
        <v>3449</v>
      </c>
      <c r="H1268" s="9" t="s">
        <v>3491</v>
      </c>
      <c r="I1268" s="10">
        <v>45582</v>
      </c>
    </row>
    <row r="1269" spans="1:9" x14ac:dyDescent="0.15">
      <c r="A1269" s="9">
        <v>1268</v>
      </c>
      <c r="B1269" s="9" t="s">
        <v>9</v>
      </c>
      <c r="C1269" s="9">
        <v>1918</v>
      </c>
      <c r="D1269" s="10">
        <v>45663</v>
      </c>
      <c r="E1269" s="13" t="str">
        <f>+HYPERLINK("http://trademark.i-assist.jp/data/china/image_1918th/81441944.pdf","81441944")</f>
        <v>81441944</v>
      </c>
      <c r="F1269" s="12" t="s">
        <v>3492</v>
      </c>
      <c r="G1269" s="12" t="s">
        <v>3449</v>
      </c>
      <c r="H1269" s="9" t="s">
        <v>3493</v>
      </c>
      <c r="I1269" s="10">
        <v>45582</v>
      </c>
    </row>
    <row r="1270" spans="1:9" x14ac:dyDescent="0.15">
      <c r="A1270" s="9">
        <v>1269</v>
      </c>
      <c r="B1270" s="9" t="s">
        <v>9</v>
      </c>
      <c r="C1270" s="9">
        <v>1918</v>
      </c>
      <c r="D1270" s="10">
        <v>45663</v>
      </c>
      <c r="E1270" s="13" t="str">
        <f>+HYPERLINK("http://trademark.i-assist.jp/data/china/image_1918th/81442660.pdf","81442660")</f>
        <v>81442660</v>
      </c>
      <c r="F1270" s="9" t="s">
        <v>3494</v>
      </c>
      <c r="G1270" s="9" t="s">
        <v>3495</v>
      </c>
      <c r="H1270" s="9" t="s">
        <v>3496</v>
      </c>
      <c r="I1270" s="10">
        <v>45582</v>
      </c>
    </row>
    <row r="1271" spans="1:9" x14ac:dyDescent="0.15">
      <c r="A1271" s="9">
        <v>1270</v>
      </c>
      <c r="B1271" s="9" t="s">
        <v>9</v>
      </c>
      <c r="C1271" s="9">
        <v>1918</v>
      </c>
      <c r="D1271" s="10">
        <v>45663</v>
      </c>
      <c r="E1271" s="13" t="str">
        <f>+HYPERLINK("http://trademark.i-assist.jp/data/china/image_1918th/81442760.pdf","81442760")</f>
        <v>81442760</v>
      </c>
      <c r="F1271" s="9" t="s">
        <v>3402</v>
      </c>
      <c r="G1271" s="9" t="s">
        <v>3403</v>
      </c>
      <c r="H1271" s="12" t="s">
        <v>3497</v>
      </c>
      <c r="I1271" s="10">
        <v>45582</v>
      </c>
    </row>
    <row r="1272" spans="1:9" x14ac:dyDescent="0.15">
      <c r="A1272" s="9">
        <v>1271</v>
      </c>
      <c r="B1272" s="9" t="s">
        <v>9</v>
      </c>
      <c r="C1272" s="9">
        <v>1918</v>
      </c>
      <c r="D1272" s="10">
        <v>45663</v>
      </c>
      <c r="E1272" s="13" t="str">
        <f>+HYPERLINK("http://trademark.i-assist.jp/data/china/image_1918th/81443210.pdf","81443210")</f>
        <v>81443210</v>
      </c>
      <c r="F1272" s="12" t="s">
        <v>3498</v>
      </c>
      <c r="G1272" s="12" t="s">
        <v>3499</v>
      </c>
      <c r="H1272" s="9" t="s">
        <v>3500</v>
      </c>
      <c r="I1272" s="10">
        <v>45582</v>
      </c>
    </row>
    <row r="1273" spans="1:9" x14ac:dyDescent="0.15">
      <c r="A1273" s="9">
        <v>1272</v>
      </c>
      <c r="B1273" s="9" t="s">
        <v>9</v>
      </c>
      <c r="C1273" s="9">
        <v>1918</v>
      </c>
      <c r="D1273" s="10">
        <v>45663</v>
      </c>
      <c r="E1273" s="13" t="str">
        <f>+HYPERLINK("http://trademark.i-assist.jp/data/china/image_1918th/81443513.pdf","81443513")</f>
        <v>81443513</v>
      </c>
      <c r="F1273" s="9" t="s">
        <v>3501</v>
      </c>
      <c r="G1273" s="9" t="s">
        <v>3502</v>
      </c>
      <c r="H1273" s="9" t="s">
        <v>3503</v>
      </c>
      <c r="I1273" s="10">
        <v>45582</v>
      </c>
    </row>
    <row r="1274" spans="1:9" x14ac:dyDescent="0.15">
      <c r="A1274" s="9">
        <v>1273</v>
      </c>
      <c r="B1274" s="9" t="s">
        <v>9</v>
      </c>
      <c r="C1274" s="9">
        <v>1918</v>
      </c>
      <c r="D1274" s="10">
        <v>45663</v>
      </c>
      <c r="E1274" s="13" t="str">
        <f>+HYPERLINK("http://trademark.i-assist.jp/data/china/image_1918th/81443754.pdf","81443754")</f>
        <v>81443754</v>
      </c>
      <c r="F1274" s="9" t="s">
        <v>3504</v>
      </c>
      <c r="G1274" s="9" t="s">
        <v>3505</v>
      </c>
      <c r="H1274" s="9" t="s">
        <v>3506</v>
      </c>
      <c r="I1274" s="10">
        <v>45582</v>
      </c>
    </row>
    <row r="1275" spans="1:9" x14ac:dyDescent="0.15">
      <c r="A1275" s="9">
        <v>1274</v>
      </c>
      <c r="B1275" s="9" t="s">
        <v>9</v>
      </c>
      <c r="C1275" s="9">
        <v>1918</v>
      </c>
      <c r="D1275" s="10">
        <v>45663</v>
      </c>
      <c r="E1275" s="13" t="str">
        <f>+HYPERLINK("http://trademark.i-assist.jp/data/china/image_1918th/81443970.pdf","81443970")</f>
        <v>81443970</v>
      </c>
      <c r="F1275" s="12" t="s">
        <v>12</v>
      </c>
      <c r="G1275" s="9" t="s">
        <v>3507</v>
      </c>
      <c r="H1275" s="9" t="s">
        <v>3508</v>
      </c>
      <c r="I1275" s="10">
        <v>45582</v>
      </c>
    </row>
    <row r="1276" spans="1:9" x14ac:dyDescent="0.15">
      <c r="A1276" s="9">
        <v>1275</v>
      </c>
      <c r="B1276" s="9" t="s">
        <v>9</v>
      </c>
      <c r="C1276" s="9">
        <v>1918</v>
      </c>
      <c r="D1276" s="10">
        <v>45663</v>
      </c>
      <c r="E1276" s="13" t="str">
        <f>+HYPERLINK("http://trademark.i-assist.jp/data/china/image_1918th/81443973.pdf","81443973")</f>
        <v>81443973</v>
      </c>
      <c r="F1276" s="12" t="s">
        <v>12</v>
      </c>
      <c r="G1276" s="9" t="s">
        <v>3507</v>
      </c>
      <c r="H1276" s="9" t="s">
        <v>3509</v>
      </c>
      <c r="I1276" s="10">
        <v>45582</v>
      </c>
    </row>
    <row r="1277" spans="1:9" x14ac:dyDescent="0.15">
      <c r="A1277" s="9">
        <v>1276</v>
      </c>
      <c r="B1277" s="9" t="s">
        <v>9</v>
      </c>
      <c r="C1277" s="9">
        <v>1918</v>
      </c>
      <c r="D1277" s="10">
        <v>45663</v>
      </c>
      <c r="E1277" s="13" t="str">
        <f>+HYPERLINK("http://trademark.i-assist.jp/data/china/image_1918th/81445040.pdf","81445040")</f>
        <v>81445040</v>
      </c>
      <c r="F1277" s="12" t="s">
        <v>12</v>
      </c>
      <c r="G1277" s="12" t="s">
        <v>3510</v>
      </c>
      <c r="H1277" s="9" t="s">
        <v>3511</v>
      </c>
      <c r="I1277" s="10">
        <v>45582</v>
      </c>
    </row>
    <row r="1278" spans="1:9" x14ac:dyDescent="0.15">
      <c r="A1278" s="9">
        <v>1277</v>
      </c>
      <c r="B1278" s="9" t="s">
        <v>9</v>
      </c>
      <c r="C1278" s="9">
        <v>1918</v>
      </c>
      <c r="D1278" s="10">
        <v>45663</v>
      </c>
      <c r="E1278" s="13" t="str">
        <f>+HYPERLINK("http://trademark.i-assist.jp/data/china/image_1918th/81445593.pdf","81445593")</f>
        <v>81445593</v>
      </c>
      <c r="F1278" s="9" t="s">
        <v>3512</v>
      </c>
      <c r="G1278" s="9" t="s">
        <v>3513</v>
      </c>
      <c r="H1278" s="9" t="s">
        <v>3514</v>
      </c>
      <c r="I1278" s="10">
        <v>45582</v>
      </c>
    </row>
    <row r="1279" spans="1:9" x14ac:dyDescent="0.15">
      <c r="A1279" s="9">
        <v>1278</v>
      </c>
      <c r="B1279" s="9" t="s">
        <v>9</v>
      </c>
      <c r="C1279" s="9">
        <v>1918</v>
      </c>
      <c r="D1279" s="10">
        <v>45663</v>
      </c>
      <c r="E1279" s="13" t="str">
        <f>+HYPERLINK("http://trademark.i-assist.jp/data/china/image_1918th/81446123.pdf","81446123")</f>
        <v>81446123</v>
      </c>
      <c r="F1279" s="12" t="s">
        <v>12</v>
      </c>
      <c r="G1279" s="9" t="s">
        <v>3515</v>
      </c>
      <c r="H1279" s="9" t="s">
        <v>3516</v>
      </c>
      <c r="I1279" s="10">
        <v>45582</v>
      </c>
    </row>
    <row r="1280" spans="1:9" x14ac:dyDescent="0.15">
      <c r="A1280" s="9">
        <v>1279</v>
      </c>
      <c r="B1280" s="9" t="s">
        <v>9</v>
      </c>
      <c r="C1280" s="9">
        <v>1918</v>
      </c>
      <c r="D1280" s="10">
        <v>45663</v>
      </c>
      <c r="E1280" s="13" t="str">
        <f>+HYPERLINK("http://trademark.i-assist.jp/data/china/image_1918th/81447446.pdf","81447446")</f>
        <v>81447446</v>
      </c>
      <c r="F1280" s="9" t="s">
        <v>3423</v>
      </c>
      <c r="G1280" s="9" t="s">
        <v>3424</v>
      </c>
      <c r="H1280" s="9" t="s">
        <v>3517</v>
      </c>
      <c r="I1280" s="10">
        <v>45582</v>
      </c>
    </row>
    <row r="1281" spans="1:9" x14ac:dyDescent="0.15">
      <c r="A1281" s="9">
        <v>1280</v>
      </c>
      <c r="B1281" s="9" t="s">
        <v>9</v>
      </c>
      <c r="C1281" s="9">
        <v>1918</v>
      </c>
      <c r="D1281" s="10">
        <v>45663</v>
      </c>
      <c r="E1281" s="13" t="str">
        <f>+HYPERLINK("http://trademark.i-assist.jp/data/china/image_1918th/81447763.pdf","81447763")</f>
        <v>81447763</v>
      </c>
      <c r="F1281" s="9" t="s">
        <v>3518</v>
      </c>
      <c r="G1281" s="9" t="s">
        <v>3519</v>
      </c>
      <c r="H1281" s="12" t="s">
        <v>3520</v>
      </c>
      <c r="I1281" s="10">
        <v>45582</v>
      </c>
    </row>
    <row r="1282" spans="1:9" x14ac:dyDescent="0.15">
      <c r="A1282" s="9">
        <v>1281</v>
      </c>
      <c r="B1282" s="9" t="s">
        <v>9</v>
      </c>
      <c r="C1282" s="9">
        <v>1918</v>
      </c>
      <c r="D1282" s="10">
        <v>45663</v>
      </c>
      <c r="E1282" s="13" t="str">
        <f>+HYPERLINK("http://trademark.i-assist.jp/data/china/image_1918th/81447977.pdf","81447977")</f>
        <v>81447977</v>
      </c>
      <c r="F1282" s="12" t="s">
        <v>12</v>
      </c>
      <c r="G1282" s="9" t="s">
        <v>3406</v>
      </c>
      <c r="H1282" s="9" t="s">
        <v>3521</v>
      </c>
      <c r="I1282" s="10">
        <v>45582</v>
      </c>
    </row>
    <row r="1283" spans="1:9" x14ac:dyDescent="0.15">
      <c r="A1283" s="9">
        <v>1282</v>
      </c>
      <c r="B1283" s="9" t="s">
        <v>9</v>
      </c>
      <c r="C1283" s="9">
        <v>1918</v>
      </c>
      <c r="D1283" s="10">
        <v>45663</v>
      </c>
      <c r="E1283" s="13" t="str">
        <f>+HYPERLINK("http://trademark.i-assist.jp/data/china/image_1918th/81448272.pdf","81448272")</f>
        <v>81448272</v>
      </c>
      <c r="F1283" s="9" t="s">
        <v>3522</v>
      </c>
      <c r="G1283" s="9" t="s">
        <v>2744</v>
      </c>
      <c r="H1283" s="9" t="s">
        <v>3523</v>
      </c>
      <c r="I1283" s="10">
        <v>45583</v>
      </c>
    </row>
    <row r="1284" spans="1:9" x14ac:dyDescent="0.15">
      <c r="A1284" s="9">
        <v>1283</v>
      </c>
      <c r="B1284" s="9" t="s">
        <v>9</v>
      </c>
      <c r="C1284" s="9">
        <v>1918</v>
      </c>
      <c r="D1284" s="10">
        <v>45663</v>
      </c>
      <c r="E1284" s="13" t="str">
        <f>+HYPERLINK("http://trademark.i-assist.jp/data/china/image_1918th/81448580.pdf","81448580")</f>
        <v>81448580</v>
      </c>
      <c r="F1284" s="9" t="s">
        <v>3524</v>
      </c>
      <c r="G1284" s="9" t="s">
        <v>3525</v>
      </c>
      <c r="H1284" s="9" t="s">
        <v>3526</v>
      </c>
      <c r="I1284" s="10">
        <v>45582</v>
      </c>
    </row>
    <row r="1285" spans="1:9" x14ac:dyDescent="0.15">
      <c r="A1285" s="9">
        <v>1284</v>
      </c>
      <c r="B1285" s="9" t="s">
        <v>9</v>
      </c>
      <c r="C1285" s="9">
        <v>1918</v>
      </c>
      <c r="D1285" s="10">
        <v>45663</v>
      </c>
      <c r="E1285" s="13" t="str">
        <f>+HYPERLINK("http://trademark.i-assist.jp/data/china/image_1918th/81448982.pdf","81448982")</f>
        <v>81448982</v>
      </c>
      <c r="F1285" s="9" t="s">
        <v>3527</v>
      </c>
      <c r="G1285" s="9" t="s">
        <v>3528</v>
      </c>
      <c r="H1285" s="9" t="s">
        <v>3529</v>
      </c>
      <c r="I1285" s="10">
        <v>45582</v>
      </c>
    </row>
    <row r="1286" spans="1:9" x14ac:dyDescent="0.15">
      <c r="A1286" s="9">
        <v>1285</v>
      </c>
      <c r="B1286" s="9" t="s">
        <v>9</v>
      </c>
      <c r="C1286" s="9">
        <v>1918</v>
      </c>
      <c r="D1286" s="10">
        <v>45663</v>
      </c>
      <c r="E1286" s="13" t="str">
        <f>+HYPERLINK("http://trademark.i-assist.jp/data/china/image_1918th/81449037.pdf","81449037")</f>
        <v>81449037</v>
      </c>
      <c r="F1286" s="9" t="s">
        <v>3530</v>
      </c>
      <c r="G1286" s="12" t="s">
        <v>3400</v>
      </c>
      <c r="H1286" s="9" t="s">
        <v>3531</v>
      </c>
      <c r="I1286" s="10">
        <v>45582</v>
      </c>
    </row>
    <row r="1287" spans="1:9" x14ac:dyDescent="0.15">
      <c r="A1287" s="9">
        <v>1286</v>
      </c>
      <c r="B1287" s="9" t="s">
        <v>9</v>
      </c>
      <c r="C1287" s="9">
        <v>1918</v>
      </c>
      <c r="D1287" s="10">
        <v>45663</v>
      </c>
      <c r="E1287" s="13" t="str">
        <f>+HYPERLINK("http://trademark.i-assist.jp/data/china/image_1918th/81449049.pdf","81449049")</f>
        <v>81449049</v>
      </c>
      <c r="F1287" s="9" t="s">
        <v>3532</v>
      </c>
      <c r="G1287" s="12" t="s">
        <v>3400</v>
      </c>
      <c r="H1287" s="9" t="s">
        <v>3533</v>
      </c>
      <c r="I1287" s="10">
        <v>45582</v>
      </c>
    </row>
    <row r="1288" spans="1:9" x14ac:dyDescent="0.15">
      <c r="A1288" s="9">
        <v>1287</v>
      </c>
      <c r="B1288" s="9" t="s">
        <v>9</v>
      </c>
      <c r="C1288" s="9">
        <v>1918</v>
      </c>
      <c r="D1288" s="10">
        <v>45663</v>
      </c>
      <c r="E1288" s="13" t="str">
        <f>+HYPERLINK("http://trademark.i-assist.jp/data/china/image_1918th/81449109.pdf","81449109")</f>
        <v>81449109</v>
      </c>
      <c r="F1288" s="11" t="s">
        <v>3534</v>
      </c>
      <c r="G1288" s="9" t="s">
        <v>3535</v>
      </c>
      <c r="H1288" s="12" t="s">
        <v>3536</v>
      </c>
      <c r="I1288" s="10">
        <v>45582</v>
      </c>
    </row>
    <row r="1289" spans="1:9" x14ac:dyDescent="0.15">
      <c r="A1289" s="9">
        <v>1288</v>
      </c>
      <c r="B1289" s="9" t="s">
        <v>9</v>
      </c>
      <c r="C1289" s="9">
        <v>1918</v>
      </c>
      <c r="D1289" s="10">
        <v>45663</v>
      </c>
      <c r="E1289" s="13" t="str">
        <f>+HYPERLINK("http://trademark.i-assist.jp/data/china/image_1918th/81449264.pdf","81449264")</f>
        <v>81449264</v>
      </c>
      <c r="F1289" s="9" t="s">
        <v>3537</v>
      </c>
      <c r="G1289" s="9" t="s">
        <v>3538</v>
      </c>
      <c r="H1289" s="9" t="s">
        <v>3539</v>
      </c>
      <c r="I1289" s="10">
        <v>45583</v>
      </c>
    </row>
    <row r="1290" spans="1:9" x14ac:dyDescent="0.15">
      <c r="A1290" s="9">
        <v>1289</v>
      </c>
      <c r="B1290" s="9" t="s">
        <v>9</v>
      </c>
      <c r="C1290" s="9">
        <v>1918</v>
      </c>
      <c r="D1290" s="10">
        <v>45663</v>
      </c>
      <c r="E1290" s="13" t="str">
        <f>+HYPERLINK("http://trademark.i-assist.jp/data/china/image_1918th/81449389.pdf","81449389")</f>
        <v>81449389</v>
      </c>
      <c r="F1290" s="12" t="s">
        <v>3540</v>
      </c>
      <c r="G1290" s="12" t="s">
        <v>3541</v>
      </c>
      <c r="H1290" s="9" t="s">
        <v>3542</v>
      </c>
      <c r="I1290" s="10">
        <v>45582</v>
      </c>
    </row>
    <row r="1291" spans="1:9" x14ac:dyDescent="0.15">
      <c r="A1291" s="9">
        <v>1290</v>
      </c>
      <c r="B1291" s="9" t="s">
        <v>9</v>
      </c>
      <c r="C1291" s="9">
        <v>1918</v>
      </c>
      <c r="D1291" s="10">
        <v>45663</v>
      </c>
      <c r="E1291" s="13" t="str">
        <f>+HYPERLINK("http://trademark.i-assist.jp/data/china/image_1918th/81449969.pdf","81449969")</f>
        <v>81449969</v>
      </c>
      <c r="F1291" s="9" t="s">
        <v>3543</v>
      </c>
      <c r="G1291" s="9" t="s">
        <v>3544</v>
      </c>
      <c r="H1291" s="9" t="s">
        <v>3545</v>
      </c>
      <c r="I1291" s="10">
        <v>45582</v>
      </c>
    </row>
    <row r="1292" spans="1:9" x14ac:dyDescent="0.15">
      <c r="A1292" s="9">
        <v>1291</v>
      </c>
      <c r="B1292" s="9" t="s">
        <v>9</v>
      </c>
      <c r="C1292" s="9">
        <v>1918</v>
      </c>
      <c r="D1292" s="10">
        <v>45663</v>
      </c>
      <c r="E1292" s="13" t="str">
        <f>+HYPERLINK("http://trademark.i-assist.jp/data/china/image_1918th/81450525.pdf","81450525")</f>
        <v>81450525</v>
      </c>
      <c r="F1292" s="9" t="s">
        <v>3546</v>
      </c>
      <c r="G1292" s="9" t="s">
        <v>3547</v>
      </c>
      <c r="H1292" s="9" t="s">
        <v>3548</v>
      </c>
      <c r="I1292" s="10">
        <v>45582</v>
      </c>
    </row>
    <row r="1293" spans="1:9" x14ac:dyDescent="0.15">
      <c r="A1293" s="9">
        <v>1292</v>
      </c>
      <c r="B1293" s="9" t="s">
        <v>9</v>
      </c>
      <c r="C1293" s="9">
        <v>1918</v>
      </c>
      <c r="D1293" s="10">
        <v>45663</v>
      </c>
      <c r="E1293" s="13" t="str">
        <f>+HYPERLINK("http://trademark.i-assist.jp/data/china/image_1918th/81450647.pdf","81450647")</f>
        <v>81450647</v>
      </c>
      <c r="F1293" s="12" t="s">
        <v>12</v>
      </c>
      <c r="G1293" s="9" t="s">
        <v>3549</v>
      </c>
      <c r="H1293" s="9" t="s">
        <v>3550</v>
      </c>
      <c r="I1293" s="10">
        <v>45582</v>
      </c>
    </row>
    <row r="1294" spans="1:9" x14ac:dyDescent="0.15">
      <c r="A1294" s="9">
        <v>1293</v>
      </c>
      <c r="B1294" s="9" t="s">
        <v>9</v>
      </c>
      <c r="C1294" s="9">
        <v>1918</v>
      </c>
      <c r="D1294" s="10">
        <v>45663</v>
      </c>
      <c r="E1294" s="13" t="str">
        <f>+HYPERLINK("http://trademark.i-assist.jp/data/china/image_1918th/81450958.pdf","81450958")</f>
        <v>81450958</v>
      </c>
      <c r="F1294" s="9" t="s">
        <v>3551</v>
      </c>
      <c r="G1294" s="9" t="s">
        <v>3552</v>
      </c>
      <c r="H1294" s="9" t="s">
        <v>3553</v>
      </c>
      <c r="I1294" s="10">
        <v>45582</v>
      </c>
    </row>
    <row r="1295" spans="1:9" x14ac:dyDescent="0.15">
      <c r="A1295" s="9">
        <v>1294</v>
      </c>
      <c r="B1295" s="9" t="s">
        <v>9</v>
      </c>
      <c r="C1295" s="9">
        <v>1918</v>
      </c>
      <c r="D1295" s="10">
        <v>45663</v>
      </c>
      <c r="E1295" s="13" t="str">
        <f>+HYPERLINK("http://trademark.i-assist.jp/data/china/image_1918th/81453375.pdf","81453375")</f>
        <v>81453375</v>
      </c>
      <c r="F1295" s="12" t="s">
        <v>12</v>
      </c>
      <c r="G1295" s="12" t="s">
        <v>3554</v>
      </c>
      <c r="H1295" s="9" t="s">
        <v>3555</v>
      </c>
      <c r="I1295" s="10">
        <v>45583</v>
      </c>
    </row>
    <row r="1296" spans="1:9" x14ac:dyDescent="0.15">
      <c r="A1296" s="9">
        <v>1295</v>
      </c>
      <c r="B1296" s="9" t="s">
        <v>9</v>
      </c>
      <c r="C1296" s="9">
        <v>1918</v>
      </c>
      <c r="D1296" s="10">
        <v>45663</v>
      </c>
      <c r="E1296" s="13" t="str">
        <f>+HYPERLINK("http://trademark.i-assist.jp/data/china/image_1918th/81453874.pdf","81453874")</f>
        <v>81453874</v>
      </c>
      <c r="F1296" s="9" t="s">
        <v>3556</v>
      </c>
      <c r="G1296" s="12" t="s">
        <v>3557</v>
      </c>
      <c r="H1296" s="9" t="s">
        <v>3558</v>
      </c>
      <c r="I1296" s="10">
        <v>45583</v>
      </c>
    </row>
    <row r="1297" spans="1:9" x14ac:dyDescent="0.15">
      <c r="A1297" s="9">
        <v>1296</v>
      </c>
      <c r="B1297" s="9" t="s">
        <v>9</v>
      </c>
      <c r="C1297" s="9">
        <v>1918</v>
      </c>
      <c r="D1297" s="10">
        <v>45663</v>
      </c>
      <c r="E1297" s="13" t="str">
        <f>+HYPERLINK("http://trademark.i-assist.jp/data/china/image_1918th/81453906.pdf","81453906")</f>
        <v>81453906</v>
      </c>
      <c r="F1297" s="9" t="s">
        <v>3559</v>
      </c>
      <c r="G1297" s="9" t="s">
        <v>3538</v>
      </c>
      <c r="H1297" s="9" t="s">
        <v>3560</v>
      </c>
      <c r="I1297" s="10">
        <v>45583</v>
      </c>
    </row>
    <row r="1298" spans="1:9" x14ac:dyDescent="0.15">
      <c r="A1298" s="9">
        <v>1297</v>
      </c>
      <c r="B1298" s="9" t="s">
        <v>9</v>
      </c>
      <c r="C1298" s="9">
        <v>1918</v>
      </c>
      <c r="D1298" s="10">
        <v>45663</v>
      </c>
      <c r="E1298" s="13" t="str">
        <f>+HYPERLINK("http://trademark.i-assist.jp/data/china/image_1918th/81453909.pdf","81453909")</f>
        <v>81453909</v>
      </c>
      <c r="F1298" s="9" t="s">
        <v>3561</v>
      </c>
      <c r="G1298" s="9" t="s">
        <v>3562</v>
      </c>
      <c r="H1298" s="9" t="s">
        <v>3563</v>
      </c>
      <c r="I1298" s="10">
        <v>45583</v>
      </c>
    </row>
    <row r="1299" spans="1:9" x14ac:dyDescent="0.15">
      <c r="A1299" s="9">
        <v>1298</v>
      </c>
      <c r="B1299" s="9" t="s">
        <v>9</v>
      </c>
      <c r="C1299" s="9">
        <v>1918</v>
      </c>
      <c r="D1299" s="10">
        <v>45663</v>
      </c>
      <c r="E1299" s="13" t="str">
        <f>+HYPERLINK("http://trademark.i-assist.jp/data/china/image_1918th/81454234.pdf","81454234")</f>
        <v>81454234</v>
      </c>
      <c r="F1299" s="12" t="s">
        <v>3564</v>
      </c>
      <c r="G1299" s="12" t="s">
        <v>3482</v>
      </c>
      <c r="H1299" s="9" t="s">
        <v>3565</v>
      </c>
      <c r="I1299" s="10">
        <v>45582</v>
      </c>
    </row>
    <row r="1300" spans="1:9" x14ac:dyDescent="0.15">
      <c r="A1300" s="9">
        <v>1299</v>
      </c>
      <c r="B1300" s="9" t="s">
        <v>9</v>
      </c>
      <c r="C1300" s="9">
        <v>1918</v>
      </c>
      <c r="D1300" s="10">
        <v>45663</v>
      </c>
      <c r="E1300" s="13" t="str">
        <f>+HYPERLINK("http://trademark.i-assist.jp/data/china/image_1918th/81454523.pdf","81454523")</f>
        <v>81454523</v>
      </c>
      <c r="F1300" s="9" t="s">
        <v>3566</v>
      </c>
      <c r="G1300" s="12" t="s">
        <v>90</v>
      </c>
      <c r="H1300" s="9" t="s">
        <v>3567</v>
      </c>
      <c r="I1300" s="10">
        <v>45583</v>
      </c>
    </row>
    <row r="1301" spans="1:9" x14ac:dyDescent="0.15">
      <c r="A1301" s="9">
        <v>1300</v>
      </c>
      <c r="B1301" s="9" t="s">
        <v>9</v>
      </c>
      <c r="C1301" s="9">
        <v>1918</v>
      </c>
      <c r="D1301" s="10">
        <v>45663</v>
      </c>
      <c r="E1301" s="13" t="str">
        <f>+HYPERLINK("http://trademark.i-assist.jp/data/china/image_1918th/81454885.pdf","81454885")</f>
        <v>81454885</v>
      </c>
      <c r="F1301" s="9" t="s">
        <v>3568</v>
      </c>
      <c r="G1301" s="9" t="s">
        <v>3569</v>
      </c>
      <c r="H1301" s="9" t="s">
        <v>3570</v>
      </c>
      <c r="I1301" s="10">
        <v>45583</v>
      </c>
    </row>
    <row r="1302" spans="1:9" x14ac:dyDescent="0.15">
      <c r="A1302" s="9">
        <v>1301</v>
      </c>
      <c r="B1302" s="9" t="s">
        <v>9</v>
      </c>
      <c r="C1302" s="9">
        <v>1918</v>
      </c>
      <c r="D1302" s="10">
        <v>45663</v>
      </c>
      <c r="E1302" s="13" t="str">
        <f>+HYPERLINK("http://trademark.i-assist.jp/data/china/image_1918th/81455223.pdf","81455223")</f>
        <v>81455223</v>
      </c>
      <c r="F1302" s="9" t="s">
        <v>3571</v>
      </c>
      <c r="G1302" s="9" t="s">
        <v>3572</v>
      </c>
      <c r="H1302" s="9" t="s">
        <v>3573</v>
      </c>
      <c r="I1302" s="10">
        <v>45583</v>
      </c>
    </row>
    <row r="1303" spans="1:9" x14ac:dyDescent="0.15">
      <c r="A1303" s="9">
        <v>1302</v>
      </c>
      <c r="B1303" s="9" t="s">
        <v>9</v>
      </c>
      <c r="C1303" s="9">
        <v>1918</v>
      </c>
      <c r="D1303" s="10">
        <v>45663</v>
      </c>
      <c r="E1303" s="13" t="str">
        <f>+HYPERLINK("http://trademark.i-assist.jp/data/china/image_1918th/81455506.pdf","81455506")</f>
        <v>81455506</v>
      </c>
      <c r="F1303" s="9" t="s">
        <v>3574</v>
      </c>
      <c r="G1303" s="9" t="s">
        <v>3575</v>
      </c>
      <c r="H1303" s="9" t="s">
        <v>3576</v>
      </c>
      <c r="I1303" s="10">
        <v>45582</v>
      </c>
    </row>
    <row r="1304" spans="1:9" x14ac:dyDescent="0.15">
      <c r="A1304" s="9">
        <v>1303</v>
      </c>
      <c r="B1304" s="9" t="s">
        <v>9</v>
      </c>
      <c r="C1304" s="9">
        <v>1918</v>
      </c>
      <c r="D1304" s="10">
        <v>45663</v>
      </c>
      <c r="E1304" s="13" t="str">
        <f>+HYPERLINK("http://trademark.i-assist.jp/data/china/image_1918th/81456256.pdf","81456256")</f>
        <v>81456256</v>
      </c>
      <c r="F1304" s="9" t="s">
        <v>3577</v>
      </c>
      <c r="G1304" s="12" t="s">
        <v>3578</v>
      </c>
      <c r="H1304" s="9" t="s">
        <v>3579</v>
      </c>
      <c r="I1304" s="10">
        <v>45583</v>
      </c>
    </row>
    <row r="1305" spans="1:9" x14ac:dyDescent="0.15">
      <c r="A1305" s="9">
        <v>1304</v>
      </c>
      <c r="B1305" s="9" t="s">
        <v>9</v>
      </c>
      <c r="C1305" s="9">
        <v>1918</v>
      </c>
      <c r="D1305" s="10">
        <v>45663</v>
      </c>
      <c r="E1305" s="13" t="str">
        <f>+HYPERLINK("http://trademark.i-assist.jp/data/china/image_1918th/81456915.pdf","81456915")</f>
        <v>81456915</v>
      </c>
      <c r="F1305" s="9" t="s">
        <v>3580</v>
      </c>
      <c r="G1305" s="9" t="s">
        <v>3581</v>
      </c>
      <c r="H1305" s="9" t="s">
        <v>3582</v>
      </c>
      <c r="I1305" s="10">
        <v>45582</v>
      </c>
    </row>
    <row r="1306" spans="1:9" x14ac:dyDescent="0.15">
      <c r="A1306" s="9">
        <v>1305</v>
      </c>
      <c r="B1306" s="9" t="s">
        <v>9</v>
      </c>
      <c r="C1306" s="9">
        <v>1918</v>
      </c>
      <c r="D1306" s="10">
        <v>45663</v>
      </c>
      <c r="E1306" s="13" t="str">
        <f>+HYPERLINK("http://trademark.i-assist.jp/data/china/image_1918th/81457079.pdf","81457079")</f>
        <v>81457079</v>
      </c>
      <c r="F1306" s="9" t="s">
        <v>3583</v>
      </c>
      <c r="G1306" s="9" t="s">
        <v>3584</v>
      </c>
      <c r="H1306" s="12" t="s">
        <v>3585</v>
      </c>
      <c r="I1306" s="10">
        <v>45583</v>
      </c>
    </row>
    <row r="1307" spans="1:9" x14ac:dyDescent="0.15">
      <c r="A1307" s="9">
        <v>1306</v>
      </c>
      <c r="B1307" s="9" t="s">
        <v>9</v>
      </c>
      <c r="C1307" s="9">
        <v>1918</v>
      </c>
      <c r="D1307" s="10">
        <v>45663</v>
      </c>
      <c r="E1307" s="13" t="str">
        <f>+HYPERLINK("http://trademark.i-assist.jp/data/china/image_1918th/81457149.pdf","81457149")</f>
        <v>81457149</v>
      </c>
      <c r="F1307" s="9" t="s">
        <v>3586</v>
      </c>
      <c r="G1307" s="12" t="s">
        <v>90</v>
      </c>
      <c r="H1307" s="9" t="s">
        <v>3587</v>
      </c>
      <c r="I1307" s="10">
        <v>45583</v>
      </c>
    </row>
    <row r="1308" spans="1:9" x14ac:dyDescent="0.15">
      <c r="A1308" s="9">
        <v>1307</v>
      </c>
      <c r="B1308" s="9" t="s">
        <v>9</v>
      </c>
      <c r="C1308" s="9">
        <v>1918</v>
      </c>
      <c r="D1308" s="10">
        <v>45663</v>
      </c>
      <c r="E1308" s="13" t="str">
        <f>+HYPERLINK("http://trademark.i-assist.jp/data/china/image_1918th/81458758.pdf","81458758")</f>
        <v>81458758</v>
      </c>
      <c r="F1308" s="9" t="s">
        <v>3588</v>
      </c>
      <c r="G1308" s="9" t="s">
        <v>3589</v>
      </c>
      <c r="H1308" s="12" t="s">
        <v>3590</v>
      </c>
      <c r="I1308" s="10">
        <v>45583</v>
      </c>
    </row>
    <row r="1309" spans="1:9" x14ac:dyDescent="0.15">
      <c r="A1309" s="9">
        <v>1308</v>
      </c>
      <c r="B1309" s="9" t="s">
        <v>9</v>
      </c>
      <c r="C1309" s="9">
        <v>1918</v>
      </c>
      <c r="D1309" s="10">
        <v>45663</v>
      </c>
      <c r="E1309" s="13" t="str">
        <f>+HYPERLINK("http://trademark.i-assist.jp/data/china/image_1918th/81458825.pdf","81458825")</f>
        <v>81458825</v>
      </c>
      <c r="F1309" s="9" t="s">
        <v>1974</v>
      </c>
      <c r="G1309" s="9" t="s">
        <v>3591</v>
      </c>
      <c r="H1309" s="12" t="s">
        <v>3592</v>
      </c>
      <c r="I1309" s="10">
        <v>45583</v>
      </c>
    </row>
    <row r="1310" spans="1:9" x14ac:dyDescent="0.15">
      <c r="A1310" s="9">
        <v>1309</v>
      </c>
      <c r="B1310" s="9" t="s">
        <v>9</v>
      </c>
      <c r="C1310" s="9">
        <v>1918</v>
      </c>
      <c r="D1310" s="10">
        <v>45663</v>
      </c>
      <c r="E1310" s="13" t="str">
        <f>+HYPERLINK("http://trademark.i-assist.jp/data/china/image_1918th/81459051.pdf","81459051")</f>
        <v>81459051</v>
      </c>
      <c r="F1310" s="9" t="s">
        <v>3593</v>
      </c>
      <c r="G1310" s="12" t="s">
        <v>3594</v>
      </c>
      <c r="H1310" s="9" t="s">
        <v>3595</v>
      </c>
      <c r="I1310" s="10">
        <v>45583</v>
      </c>
    </row>
    <row r="1311" spans="1:9" x14ac:dyDescent="0.15">
      <c r="A1311" s="9">
        <v>1310</v>
      </c>
      <c r="B1311" s="9" t="s">
        <v>9</v>
      </c>
      <c r="C1311" s="9">
        <v>1918</v>
      </c>
      <c r="D1311" s="10">
        <v>45663</v>
      </c>
      <c r="E1311" s="13" t="str">
        <f>+HYPERLINK("http://trademark.i-assist.jp/data/china/image_1918th/81459311.pdf","81459311")</f>
        <v>81459311</v>
      </c>
      <c r="F1311" s="9" t="s">
        <v>3596</v>
      </c>
      <c r="G1311" s="9" t="s">
        <v>3597</v>
      </c>
      <c r="H1311" s="9" t="s">
        <v>3598</v>
      </c>
      <c r="I1311" s="10">
        <v>45583</v>
      </c>
    </row>
    <row r="1312" spans="1:9" x14ac:dyDescent="0.15">
      <c r="A1312" s="9">
        <v>1311</v>
      </c>
      <c r="B1312" s="9" t="s">
        <v>9</v>
      </c>
      <c r="C1312" s="9">
        <v>1918</v>
      </c>
      <c r="D1312" s="10">
        <v>45663</v>
      </c>
      <c r="E1312" s="13" t="str">
        <f>+HYPERLINK("http://trademark.i-assist.jp/data/china/image_1918th/81459556.pdf","81459556")</f>
        <v>81459556</v>
      </c>
      <c r="F1312" s="9" t="s">
        <v>3599</v>
      </c>
      <c r="G1312" s="12" t="s">
        <v>3600</v>
      </c>
      <c r="H1312" s="9" t="s">
        <v>3601</v>
      </c>
      <c r="I1312" s="10">
        <v>45583</v>
      </c>
    </row>
    <row r="1313" spans="1:9" x14ac:dyDescent="0.15">
      <c r="A1313" s="9">
        <v>1312</v>
      </c>
      <c r="B1313" s="9" t="s">
        <v>9</v>
      </c>
      <c r="C1313" s="9">
        <v>1918</v>
      </c>
      <c r="D1313" s="10">
        <v>45663</v>
      </c>
      <c r="E1313" s="13" t="str">
        <f>+HYPERLINK("http://trademark.i-assist.jp/data/china/image_1918th/81459557.pdf","81459557")</f>
        <v>81459557</v>
      </c>
      <c r="F1313" s="9" t="s">
        <v>3602</v>
      </c>
      <c r="G1313" s="12" t="s">
        <v>3603</v>
      </c>
      <c r="H1313" s="9" t="s">
        <v>3604</v>
      </c>
      <c r="I1313" s="10">
        <v>45583</v>
      </c>
    </row>
    <row r="1314" spans="1:9" x14ac:dyDescent="0.15">
      <c r="A1314" s="9">
        <v>1313</v>
      </c>
      <c r="B1314" s="9" t="s">
        <v>9</v>
      </c>
      <c r="C1314" s="9">
        <v>1918</v>
      </c>
      <c r="D1314" s="10">
        <v>45663</v>
      </c>
      <c r="E1314" s="13" t="str">
        <f>+HYPERLINK("http://trademark.i-assist.jp/data/china/image_1918th/81459857.pdf","81459857")</f>
        <v>81459857</v>
      </c>
      <c r="F1314" s="9" t="s">
        <v>3605</v>
      </c>
      <c r="G1314" s="9" t="s">
        <v>3606</v>
      </c>
      <c r="H1314" s="9" t="s">
        <v>3607</v>
      </c>
      <c r="I1314" s="10">
        <v>45583</v>
      </c>
    </row>
    <row r="1315" spans="1:9" x14ac:dyDescent="0.15">
      <c r="A1315" s="9">
        <v>1314</v>
      </c>
      <c r="B1315" s="9" t="s">
        <v>9</v>
      </c>
      <c r="C1315" s="9">
        <v>1918</v>
      </c>
      <c r="D1315" s="10">
        <v>45663</v>
      </c>
      <c r="E1315" s="13" t="str">
        <f>+HYPERLINK("http://trademark.i-assist.jp/data/china/image_1918th/81460014.pdf","81460014")</f>
        <v>81460014</v>
      </c>
      <c r="F1315" s="9" t="s">
        <v>3608</v>
      </c>
      <c r="G1315" s="12" t="s">
        <v>90</v>
      </c>
      <c r="H1315" s="9" t="s">
        <v>3609</v>
      </c>
      <c r="I1315" s="10">
        <v>45583</v>
      </c>
    </row>
    <row r="1316" spans="1:9" x14ac:dyDescent="0.15">
      <c r="A1316" s="9">
        <v>1315</v>
      </c>
      <c r="B1316" s="9" t="s">
        <v>9</v>
      </c>
      <c r="C1316" s="9">
        <v>1918</v>
      </c>
      <c r="D1316" s="10">
        <v>45663</v>
      </c>
      <c r="E1316" s="13" t="str">
        <f>+HYPERLINK("http://trademark.i-assist.jp/data/china/image_1918th/81460016.pdf","81460016")</f>
        <v>81460016</v>
      </c>
      <c r="F1316" s="9" t="s">
        <v>3610</v>
      </c>
      <c r="G1316" s="12" t="s">
        <v>90</v>
      </c>
      <c r="H1316" s="9" t="s">
        <v>3611</v>
      </c>
      <c r="I1316" s="10">
        <v>45583</v>
      </c>
    </row>
    <row r="1317" spans="1:9" x14ac:dyDescent="0.15">
      <c r="A1317" s="9">
        <v>1316</v>
      </c>
      <c r="B1317" s="9" t="s">
        <v>9</v>
      </c>
      <c r="C1317" s="9">
        <v>1918</v>
      </c>
      <c r="D1317" s="10">
        <v>45663</v>
      </c>
      <c r="E1317" s="13" t="str">
        <f>+HYPERLINK("http://trademark.i-assist.jp/data/china/image_1918th/81460052.pdf","81460052")</f>
        <v>81460052</v>
      </c>
      <c r="F1317" s="9" t="s">
        <v>3612</v>
      </c>
      <c r="G1317" s="9" t="s">
        <v>290</v>
      </c>
      <c r="H1317" s="9" t="s">
        <v>3613</v>
      </c>
      <c r="I1317" s="10">
        <v>45583</v>
      </c>
    </row>
    <row r="1318" spans="1:9" x14ac:dyDescent="0.15">
      <c r="A1318" s="9">
        <v>1317</v>
      </c>
      <c r="B1318" s="9" t="s">
        <v>9</v>
      </c>
      <c r="C1318" s="9">
        <v>1918</v>
      </c>
      <c r="D1318" s="10">
        <v>45663</v>
      </c>
      <c r="E1318" s="13" t="str">
        <f>+HYPERLINK("http://trademark.i-assist.jp/data/china/image_1918th/81461390.pdf","81461390")</f>
        <v>81461390</v>
      </c>
      <c r="F1318" s="9" t="s">
        <v>3614</v>
      </c>
      <c r="G1318" s="9" t="s">
        <v>3615</v>
      </c>
      <c r="H1318" s="9" t="s">
        <v>3616</v>
      </c>
      <c r="I1318" s="10">
        <v>45583</v>
      </c>
    </row>
    <row r="1319" spans="1:9" x14ac:dyDescent="0.15">
      <c r="A1319" s="9">
        <v>1318</v>
      </c>
      <c r="B1319" s="9" t="s">
        <v>9</v>
      </c>
      <c r="C1319" s="9">
        <v>1918</v>
      </c>
      <c r="D1319" s="10">
        <v>45663</v>
      </c>
      <c r="E1319" s="13" t="str">
        <f>+HYPERLINK("http://trademark.i-assist.jp/data/china/image_1918th/81461991.pdf","81461991")</f>
        <v>81461991</v>
      </c>
      <c r="F1319" s="9" t="s">
        <v>3617</v>
      </c>
      <c r="G1319" s="9" t="s">
        <v>3618</v>
      </c>
      <c r="H1319" s="9" t="s">
        <v>3619</v>
      </c>
      <c r="I1319" s="10">
        <v>45583</v>
      </c>
    </row>
    <row r="1320" spans="1:9" x14ac:dyDescent="0.15">
      <c r="A1320" s="9">
        <v>1319</v>
      </c>
      <c r="B1320" s="9" t="s">
        <v>9</v>
      </c>
      <c r="C1320" s="9">
        <v>1918</v>
      </c>
      <c r="D1320" s="10">
        <v>45663</v>
      </c>
      <c r="E1320" s="13" t="str">
        <f>+HYPERLINK("http://trademark.i-assist.jp/data/china/image_1918th/81462349.pdf","81462349")</f>
        <v>81462349</v>
      </c>
      <c r="F1320" s="9" t="s">
        <v>3620</v>
      </c>
      <c r="G1320" s="12" t="s">
        <v>3621</v>
      </c>
      <c r="H1320" s="12" t="s">
        <v>3622</v>
      </c>
      <c r="I1320" s="10">
        <v>45583</v>
      </c>
    </row>
    <row r="1321" spans="1:9" x14ac:dyDescent="0.15">
      <c r="A1321" s="9">
        <v>1320</v>
      </c>
      <c r="B1321" s="9" t="s">
        <v>9</v>
      </c>
      <c r="C1321" s="9">
        <v>1918</v>
      </c>
      <c r="D1321" s="10">
        <v>45663</v>
      </c>
      <c r="E1321" s="13" t="str">
        <f>+HYPERLINK("http://trademark.i-assist.jp/data/china/image_1918th/81462437.pdf","81462437")</f>
        <v>81462437</v>
      </c>
      <c r="F1321" s="9" t="s">
        <v>3623</v>
      </c>
      <c r="G1321" s="9" t="s">
        <v>3624</v>
      </c>
      <c r="H1321" s="9" t="s">
        <v>3625</v>
      </c>
      <c r="I1321" s="10">
        <v>45583</v>
      </c>
    </row>
    <row r="1322" spans="1:9" x14ac:dyDescent="0.15">
      <c r="A1322" s="9">
        <v>1321</v>
      </c>
      <c r="B1322" s="9" t="s">
        <v>9</v>
      </c>
      <c r="C1322" s="9">
        <v>1918</v>
      </c>
      <c r="D1322" s="10">
        <v>45663</v>
      </c>
      <c r="E1322" s="13" t="str">
        <f>+HYPERLINK("http://trademark.i-assist.jp/data/china/image_1918th/81463765.pdf","81463765")</f>
        <v>81463765</v>
      </c>
      <c r="F1322" s="12" t="s">
        <v>3626</v>
      </c>
      <c r="G1322" s="9" t="s">
        <v>3627</v>
      </c>
      <c r="H1322" s="9" t="s">
        <v>3628</v>
      </c>
      <c r="I1322" s="10">
        <v>45583</v>
      </c>
    </row>
    <row r="1323" spans="1:9" x14ac:dyDescent="0.15">
      <c r="A1323" s="9">
        <v>1322</v>
      </c>
      <c r="B1323" s="9" t="s">
        <v>9</v>
      </c>
      <c r="C1323" s="9">
        <v>1918</v>
      </c>
      <c r="D1323" s="10">
        <v>45663</v>
      </c>
      <c r="E1323" s="13" t="str">
        <f>+HYPERLINK("http://trademark.i-assist.jp/data/china/image_1918th/81463807.pdf","81463807")</f>
        <v>81463807</v>
      </c>
      <c r="F1323" s="12" t="s">
        <v>3629</v>
      </c>
      <c r="G1323" s="9" t="s">
        <v>3569</v>
      </c>
      <c r="H1323" s="9" t="s">
        <v>3630</v>
      </c>
      <c r="I1323" s="10">
        <v>45583</v>
      </c>
    </row>
    <row r="1324" spans="1:9" x14ac:dyDescent="0.15">
      <c r="A1324" s="9">
        <v>1323</v>
      </c>
      <c r="B1324" s="9" t="s">
        <v>9</v>
      </c>
      <c r="C1324" s="9">
        <v>1918</v>
      </c>
      <c r="D1324" s="10">
        <v>45663</v>
      </c>
      <c r="E1324" s="13" t="str">
        <f>+HYPERLINK("http://trademark.i-assist.jp/data/china/image_1918th/81464913.pdf","81464913")</f>
        <v>81464913</v>
      </c>
      <c r="F1324" s="9" t="s">
        <v>3631</v>
      </c>
      <c r="G1324" s="9" t="s">
        <v>3597</v>
      </c>
      <c r="H1324" s="9" t="s">
        <v>3632</v>
      </c>
      <c r="I1324" s="10">
        <v>45583</v>
      </c>
    </row>
    <row r="1325" spans="1:9" x14ac:dyDescent="0.15">
      <c r="A1325" s="9">
        <v>1324</v>
      </c>
      <c r="B1325" s="9" t="s">
        <v>9</v>
      </c>
      <c r="C1325" s="9">
        <v>1918</v>
      </c>
      <c r="D1325" s="10">
        <v>45663</v>
      </c>
      <c r="E1325" s="13" t="str">
        <f>+HYPERLINK("http://trademark.i-assist.jp/data/china/image_1918th/81465044.pdf","81465044")</f>
        <v>81465044</v>
      </c>
      <c r="F1325" s="9" t="s">
        <v>3633</v>
      </c>
      <c r="G1325" s="9" t="s">
        <v>3634</v>
      </c>
      <c r="H1325" s="9" t="s">
        <v>3635</v>
      </c>
      <c r="I1325" s="10">
        <v>45583</v>
      </c>
    </row>
    <row r="1326" spans="1:9" x14ac:dyDescent="0.15">
      <c r="A1326" s="9">
        <v>1325</v>
      </c>
      <c r="B1326" s="9" t="s">
        <v>9</v>
      </c>
      <c r="C1326" s="9">
        <v>1918</v>
      </c>
      <c r="D1326" s="10">
        <v>45663</v>
      </c>
      <c r="E1326" s="13" t="str">
        <f>+HYPERLINK("http://trademark.i-assist.jp/data/china/image_1918th/81465226.pdf","81465226")</f>
        <v>81465226</v>
      </c>
      <c r="F1326" s="9" t="s">
        <v>3636</v>
      </c>
      <c r="G1326" s="9" t="s">
        <v>3572</v>
      </c>
      <c r="H1326" s="9" t="s">
        <v>3637</v>
      </c>
      <c r="I1326" s="10">
        <v>45583</v>
      </c>
    </row>
    <row r="1327" spans="1:9" x14ac:dyDescent="0.15">
      <c r="A1327" s="9">
        <v>1326</v>
      </c>
      <c r="B1327" s="9" t="s">
        <v>9</v>
      </c>
      <c r="C1327" s="9">
        <v>1918</v>
      </c>
      <c r="D1327" s="10">
        <v>45663</v>
      </c>
      <c r="E1327" s="13" t="str">
        <f>+HYPERLINK("http://trademark.i-assist.jp/data/china/image_1918th/81465509.pdf","81465509")</f>
        <v>81465509</v>
      </c>
      <c r="F1327" s="12" t="s">
        <v>3638</v>
      </c>
      <c r="G1327" s="12" t="s">
        <v>3639</v>
      </c>
      <c r="H1327" s="9" t="s">
        <v>3640</v>
      </c>
      <c r="I1327" s="10">
        <v>45583</v>
      </c>
    </row>
    <row r="1328" spans="1:9" x14ac:dyDescent="0.15">
      <c r="A1328" s="9">
        <v>1327</v>
      </c>
      <c r="B1328" s="9" t="s">
        <v>9</v>
      </c>
      <c r="C1328" s="9">
        <v>1918</v>
      </c>
      <c r="D1328" s="10">
        <v>45663</v>
      </c>
      <c r="E1328" s="13" t="str">
        <f>+HYPERLINK("http://trademark.i-assist.jp/data/china/image_1918th/81465654.pdf","81465654")</f>
        <v>81465654</v>
      </c>
      <c r="F1328" s="9" t="s">
        <v>3641</v>
      </c>
      <c r="G1328" s="9" t="s">
        <v>3538</v>
      </c>
      <c r="H1328" s="12" t="s">
        <v>3642</v>
      </c>
      <c r="I1328" s="10">
        <v>45583</v>
      </c>
    </row>
    <row r="1329" spans="1:9" x14ac:dyDescent="0.15">
      <c r="A1329" s="9">
        <v>1328</v>
      </c>
      <c r="B1329" s="9" t="s">
        <v>9</v>
      </c>
      <c r="C1329" s="9">
        <v>1918</v>
      </c>
      <c r="D1329" s="10">
        <v>45663</v>
      </c>
      <c r="E1329" s="13" t="str">
        <f>+HYPERLINK("http://trademark.i-assist.jp/data/china/image_1918th/81465934.pdf","81465934")</f>
        <v>81465934</v>
      </c>
      <c r="F1329" s="12" t="s">
        <v>3643</v>
      </c>
      <c r="G1329" s="9" t="s">
        <v>3644</v>
      </c>
      <c r="H1329" s="9" t="s">
        <v>3645</v>
      </c>
      <c r="I1329" s="10">
        <v>45583</v>
      </c>
    </row>
    <row r="1330" spans="1:9" x14ac:dyDescent="0.15">
      <c r="A1330" s="9">
        <v>1329</v>
      </c>
      <c r="B1330" s="9" t="s">
        <v>9</v>
      </c>
      <c r="C1330" s="9">
        <v>1918</v>
      </c>
      <c r="D1330" s="10">
        <v>45663</v>
      </c>
      <c r="E1330" s="13" t="str">
        <f>+HYPERLINK("http://trademark.i-assist.jp/data/china/image_1918th/81466005.pdf","81466005")</f>
        <v>81466005</v>
      </c>
      <c r="F1330" s="9" t="s">
        <v>3646</v>
      </c>
      <c r="G1330" s="9" t="s">
        <v>3647</v>
      </c>
      <c r="H1330" s="9" t="s">
        <v>3648</v>
      </c>
      <c r="I1330" s="10">
        <v>45583</v>
      </c>
    </row>
    <row r="1331" spans="1:9" x14ac:dyDescent="0.15">
      <c r="A1331" s="9">
        <v>1330</v>
      </c>
      <c r="B1331" s="9" t="s">
        <v>9</v>
      </c>
      <c r="C1331" s="9">
        <v>1918</v>
      </c>
      <c r="D1331" s="10">
        <v>45663</v>
      </c>
      <c r="E1331" s="13" t="str">
        <f>+HYPERLINK("http://trademark.i-assist.jp/data/china/image_1918th/81466289.pdf","81466289")</f>
        <v>81466289</v>
      </c>
      <c r="F1331" s="9" t="s">
        <v>3649</v>
      </c>
      <c r="G1331" s="9" t="s">
        <v>3650</v>
      </c>
      <c r="H1331" s="9" t="s">
        <v>3651</v>
      </c>
      <c r="I1331" s="10">
        <v>45583</v>
      </c>
    </row>
    <row r="1332" spans="1:9" x14ac:dyDescent="0.15">
      <c r="A1332" s="9">
        <v>1331</v>
      </c>
      <c r="B1332" s="9" t="s">
        <v>9</v>
      </c>
      <c r="C1332" s="9">
        <v>1918</v>
      </c>
      <c r="D1332" s="10">
        <v>45663</v>
      </c>
      <c r="E1332" s="13" t="str">
        <f>+HYPERLINK("http://trademark.i-assist.jp/data/china/image_1918th/81467134.pdf","81467134")</f>
        <v>81467134</v>
      </c>
      <c r="F1332" s="9" t="s">
        <v>3652</v>
      </c>
      <c r="G1332" s="9" t="s">
        <v>3644</v>
      </c>
      <c r="H1332" s="9" t="s">
        <v>3653</v>
      </c>
      <c r="I1332" s="10">
        <v>45583</v>
      </c>
    </row>
    <row r="1333" spans="1:9" x14ac:dyDescent="0.15">
      <c r="A1333" s="9">
        <v>1332</v>
      </c>
      <c r="B1333" s="9" t="s">
        <v>9</v>
      </c>
      <c r="C1333" s="9">
        <v>1918</v>
      </c>
      <c r="D1333" s="10">
        <v>45663</v>
      </c>
      <c r="E1333" s="13" t="str">
        <f>+HYPERLINK("http://trademark.i-assist.jp/data/china/image_1918th/81467956.pdf","81467956")</f>
        <v>81467956</v>
      </c>
      <c r="F1333" s="9" t="s">
        <v>3654</v>
      </c>
      <c r="G1333" s="9" t="s">
        <v>3538</v>
      </c>
      <c r="H1333" s="9" t="s">
        <v>3655</v>
      </c>
      <c r="I1333" s="10">
        <v>45583</v>
      </c>
    </row>
    <row r="1334" spans="1:9" x14ac:dyDescent="0.15">
      <c r="A1334" s="9">
        <v>1333</v>
      </c>
      <c r="B1334" s="9" t="s">
        <v>9</v>
      </c>
      <c r="C1334" s="9">
        <v>1918</v>
      </c>
      <c r="D1334" s="10">
        <v>45663</v>
      </c>
      <c r="E1334" s="13" t="str">
        <f>+HYPERLINK("http://trademark.i-assist.jp/data/china/image_1918th/81468840.pdf","81468840")</f>
        <v>81468840</v>
      </c>
      <c r="F1334" s="9" t="s">
        <v>3656</v>
      </c>
      <c r="G1334" s="9" t="s">
        <v>1638</v>
      </c>
      <c r="H1334" s="9" t="s">
        <v>3657</v>
      </c>
      <c r="I1334" s="10">
        <v>45583</v>
      </c>
    </row>
    <row r="1335" spans="1:9" x14ac:dyDescent="0.15">
      <c r="A1335" s="9">
        <v>1334</v>
      </c>
      <c r="B1335" s="9" t="s">
        <v>9</v>
      </c>
      <c r="C1335" s="9">
        <v>1918</v>
      </c>
      <c r="D1335" s="10">
        <v>45663</v>
      </c>
      <c r="E1335" s="13" t="str">
        <f>+HYPERLINK("http://trademark.i-assist.jp/data/china/image_1918th/81468925.pdf","81468925")</f>
        <v>81468925</v>
      </c>
      <c r="F1335" s="12" t="s">
        <v>12</v>
      </c>
      <c r="G1335" s="9" t="s">
        <v>3658</v>
      </c>
      <c r="H1335" s="12" t="s">
        <v>3659</v>
      </c>
      <c r="I1335" s="10">
        <v>45583</v>
      </c>
    </row>
    <row r="1336" spans="1:9" x14ac:dyDescent="0.15">
      <c r="A1336" s="9">
        <v>1335</v>
      </c>
      <c r="B1336" s="9" t="s">
        <v>9</v>
      </c>
      <c r="C1336" s="9">
        <v>1918</v>
      </c>
      <c r="D1336" s="10">
        <v>45663</v>
      </c>
      <c r="E1336" s="13" t="str">
        <f>+HYPERLINK("http://trademark.i-assist.jp/data/china/image_1918th/81469103.pdf","81469103")</f>
        <v>81469103</v>
      </c>
      <c r="F1336" s="9" t="s">
        <v>3660</v>
      </c>
      <c r="G1336" s="9" t="s">
        <v>3624</v>
      </c>
      <c r="H1336" s="9" t="s">
        <v>3661</v>
      </c>
      <c r="I1336" s="10">
        <v>45583</v>
      </c>
    </row>
    <row r="1337" spans="1:9" x14ac:dyDescent="0.15">
      <c r="A1337" s="9">
        <v>1336</v>
      </c>
      <c r="B1337" s="9" t="s">
        <v>9</v>
      </c>
      <c r="C1337" s="9">
        <v>1918</v>
      </c>
      <c r="D1337" s="10">
        <v>45663</v>
      </c>
      <c r="E1337" s="13" t="str">
        <f>+HYPERLINK("http://trademark.i-assist.jp/data/china/image_1918th/81469774.pdf","81469774")</f>
        <v>81469774</v>
      </c>
      <c r="F1337" s="9" t="s">
        <v>3662</v>
      </c>
      <c r="G1337" s="9" t="s">
        <v>3397</v>
      </c>
      <c r="H1337" s="9" t="s">
        <v>3398</v>
      </c>
      <c r="I1337" s="10">
        <v>45583</v>
      </c>
    </row>
    <row r="1338" spans="1:9" x14ac:dyDescent="0.15">
      <c r="A1338" s="9">
        <v>1337</v>
      </c>
      <c r="B1338" s="9" t="s">
        <v>9</v>
      </c>
      <c r="C1338" s="9">
        <v>1918</v>
      </c>
      <c r="D1338" s="10">
        <v>45663</v>
      </c>
      <c r="E1338" s="13" t="str">
        <f>+HYPERLINK("http://trademark.i-assist.jp/data/china/image_1918th/81470483.pdf","81470483")</f>
        <v>81470483</v>
      </c>
      <c r="F1338" s="9" t="s">
        <v>3663</v>
      </c>
      <c r="G1338" s="9" t="s">
        <v>3664</v>
      </c>
      <c r="H1338" s="9" t="s">
        <v>3665</v>
      </c>
      <c r="I1338" s="10">
        <v>45583</v>
      </c>
    </row>
    <row r="1339" spans="1:9" x14ac:dyDescent="0.15">
      <c r="A1339" s="9">
        <v>1338</v>
      </c>
      <c r="B1339" s="9" t="s">
        <v>9</v>
      </c>
      <c r="C1339" s="9">
        <v>1918</v>
      </c>
      <c r="D1339" s="10">
        <v>45663</v>
      </c>
      <c r="E1339" s="13" t="str">
        <f>+HYPERLINK("http://trademark.i-assist.jp/data/china/image_1918th/81470793.pdf","81470793")</f>
        <v>81470793</v>
      </c>
      <c r="F1339" s="12" t="s">
        <v>3666</v>
      </c>
      <c r="G1339" s="9" t="s">
        <v>3667</v>
      </c>
      <c r="H1339" s="9" t="s">
        <v>3668</v>
      </c>
      <c r="I1339" s="10">
        <v>45583</v>
      </c>
    </row>
    <row r="1340" spans="1:9" x14ac:dyDescent="0.15">
      <c r="A1340" s="9">
        <v>1339</v>
      </c>
      <c r="B1340" s="9" t="s">
        <v>9</v>
      </c>
      <c r="C1340" s="9">
        <v>1918</v>
      </c>
      <c r="D1340" s="10">
        <v>45663</v>
      </c>
      <c r="E1340" s="13" t="str">
        <f>+HYPERLINK("http://trademark.i-assist.jp/data/china/image_1918th/81471071.pdf","81471071")</f>
        <v>81471071</v>
      </c>
      <c r="F1340" s="12" t="s">
        <v>12</v>
      </c>
      <c r="G1340" s="12" t="s">
        <v>3669</v>
      </c>
      <c r="H1340" s="9" t="s">
        <v>3670</v>
      </c>
      <c r="I1340" s="10">
        <v>45583</v>
      </c>
    </row>
    <row r="1341" spans="1:9" x14ac:dyDescent="0.15">
      <c r="A1341" s="9">
        <v>1340</v>
      </c>
      <c r="B1341" s="9" t="s">
        <v>9</v>
      </c>
      <c r="C1341" s="9">
        <v>1918</v>
      </c>
      <c r="D1341" s="10">
        <v>45663</v>
      </c>
      <c r="E1341" s="13" t="str">
        <f>+HYPERLINK("http://trademark.i-assist.jp/data/china/image_1918th/81471083.pdf","81471083")</f>
        <v>81471083</v>
      </c>
      <c r="F1341" s="9" t="s">
        <v>3671</v>
      </c>
      <c r="G1341" s="9" t="s">
        <v>3597</v>
      </c>
      <c r="H1341" s="9" t="s">
        <v>3672</v>
      </c>
      <c r="I1341" s="10">
        <v>45583</v>
      </c>
    </row>
    <row r="1342" spans="1:9" x14ac:dyDescent="0.15">
      <c r="A1342" s="9">
        <v>1341</v>
      </c>
      <c r="B1342" s="9" t="s">
        <v>9</v>
      </c>
      <c r="C1342" s="9">
        <v>1918</v>
      </c>
      <c r="D1342" s="10">
        <v>45663</v>
      </c>
      <c r="E1342" s="13" t="str">
        <f>+HYPERLINK("http://trademark.i-assist.jp/data/china/image_1918th/81471420.pdf","81471420")</f>
        <v>81471420</v>
      </c>
      <c r="F1342" s="9" t="s">
        <v>3673</v>
      </c>
      <c r="G1342" s="9" t="s">
        <v>3674</v>
      </c>
      <c r="H1342" s="9" t="s">
        <v>3675</v>
      </c>
      <c r="I1342" s="10">
        <v>45583</v>
      </c>
    </row>
    <row r="1343" spans="1:9" x14ac:dyDescent="0.15">
      <c r="A1343" s="9">
        <v>1342</v>
      </c>
      <c r="B1343" s="9" t="s">
        <v>9</v>
      </c>
      <c r="C1343" s="9">
        <v>1918</v>
      </c>
      <c r="D1343" s="10">
        <v>45663</v>
      </c>
      <c r="E1343" s="13" t="str">
        <f>+HYPERLINK("http://trademark.i-assist.jp/data/china/image_1918th/81471529.pdf","81471529")</f>
        <v>81471529</v>
      </c>
      <c r="F1343" s="9" t="s">
        <v>3676</v>
      </c>
      <c r="G1343" s="9" t="s">
        <v>3677</v>
      </c>
      <c r="H1343" s="9" t="s">
        <v>3678</v>
      </c>
      <c r="I1343" s="10">
        <v>45583</v>
      </c>
    </row>
    <row r="1344" spans="1:9" x14ac:dyDescent="0.15">
      <c r="A1344" s="9">
        <v>1343</v>
      </c>
      <c r="B1344" s="9" t="s">
        <v>9</v>
      </c>
      <c r="C1344" s="9">
        <v>1918</v>
      </c>
      <c r="D1344" s="10">
        <v>45663</v>
      </c>
      <c r="E1344" s="13" t="str">
        <f>+HYPERLINK("http://trademark.i-assist.jp/data/china/image_1918th/81471713.pdf","81471713")</f>
        <v>81471713</v>
      </c>
      <c r="F1344" s="9" t="s">
        <v>3679</v>
      </c>
      <c r="G1344" s="9" t="s">
        <v>3680</v>
      </c>
      <c r="H1344" s="9" t="s">
        <v>3681</v>
      </c>
      <c r="I1344" s="10">
        <v>45583</v>
      </c>
    </row>
    <row r="1345" spans="1:9" x14ac:dyDescent="0.15">
      <c r="A1345" s="9">
        <v>1344</v>
      </c>
      <c r="B1345" s="9" t="s">
        <v>9</v>
      </c>
      <c r="C1345" s="9">
        <v>1918</v>
      </c>
      <c r="D1345" s="10">
        <v>45663</v>
      </c>
      <c r="E1345" s="13" t="str">
        <f>+HYPERLINK("http://trademark.i-assist.jp/data/china/image_1918th/81472163.pdf","81472163")</f>
        <v>81472163</v>
      </c>
      <c r="F1345" s="9" t="s">
        <v>3682</v>
      </c>
      <c r="G1345" s="9" t="s">
        <v>3683</v>
      </c>
      <c r="H1345" s="9" t="s">
        <v>3684</v>
      </c>
      <c r="I1345" s="10">
        <v>45583</v>
      </c>
    </row>
    <row r="1346" spans="1:9" x14ac:dyDescent="0.15">
      <c r="A1346" s="9">
        <v>1345</v>
      </c>
      <c r="B1346" s="9" t="s">
        <v>9</v>
      </c>
      <c r="C1346" s="9">
        <v>1918</v>
      </c>
      <c r="D1346" s="10">
        <v>45663</v>
      </c>
      <c r="E1346" s="13" t="str">
        <f>+HYPERLINK("http://trademark.i-assist.jp/data/china/image_1918th/81472481.pdf","81472481")</f>
        <v>81472481</v>
      </c>
      <c r="F1346" s="9" t="s">
        <v>3685</v>
      </c>
      <c r="G1346" s="9" t="s">
        <v>3686</v>
      </c>
      <c r="H1346" s="9" t="s">
        <v>3687</v>
      </c>
      <c r="I1346" s="10">
        <v>45583</v>
      </c>
    </row>
    <row r="1347" spans="1:9" x14ac:dyDescent="0.15">
      <c r="A1347" s="9">
        <v>1346</v>
      </c>
      <c r="B1347" s="9" t="s">
        <v>9</v>
      </c>
      <c r="C1347" s="9">
        <v>1918</v>
      </c>
      <c r="D1347" s="10">
        <v>45663</v>
      </c>
      <c r="E1347" s="13" t="str">
        <f>+HYPERLINK("http://trademark.i-assist.jp/data/china/image_1918th/81472766.pdf","81472766")</f>
        <v>81472766</v>
      </c>
      <c r="F1347" s="12" t="s">
        <v>3688</v>
      </c>
      <c r="G1347" s="12" t="s">
        <v>3689</v>
      </c>
      <c r="H1347" s="9" t="s">
        <v>3690</v>
      </c>
      <c r="I1347" s="10">
        <v>45583</v>
      </c>
    </row>
    <row r="1348" spans="1:9" x14ac:dyDescent="0.15">
      <c r="A1348" s="9">
        <v>1347</v>
      </c>
      <c r="B1348" s="9" t="s">
        <v>9</v>
      </c>
      <c r="C1348" s="9">
        <v>1918</v>
      </c>
      <c r="D1348" s="10">
        <v>45663</v>
      </c>
      <c r="E1348" s="13" t="str">
        <f>+HYPERLINK("http://trademark.i-assist.jp/data/china/image_1918th/81474449.pdf","81474449")</f>
        <v>81474449</v>
      </c>
      <c r="F1348" s="9" t="s">
        <v>3691</v>
      </c>
      <c r="G1348" s="9" t="s">
        <v>3692</v>
      </c>
      <c r="H1348" s="9" t="s">
        <v>3693</v>
      </c>
      <c r="I1348" s="10">
        <v>45583</v>
      </c>
    </row>
    <row r="1349" spans="1:9" x14ac:dyDescent="0.15">
      <c r="A1349" s="9">
        <v>1348</v>
      </c>
      <c r="B1349" s="9" t="s">
        <v>9</v>
      </c>
      <c r="C1349" s="9">
        <v>1918</v>
      </c>
      <c r="D1349" s="10">
        <v>45663</v>
      </c>
      <c r="E1349" s="13" t="str">
        <f>+HYPERLINK("http://trademark.i-assist.jp/data/china/image_1918th/81475155.pdf","81475155")</f>
        <v>81475155</v>
      </c>
      <c r="F1349" s="9" t="s">
        <v>3694</v>
      </c>
      <c r="G1349" s="9" t="s">
        <v>3695</v>
      </c>
      <c r="H1349" s="9" t="s">
        <v>3696</v>
      </c>
      <c r="I1349" s="10">
        <v>45583</v>
      </c>
    </row>
    <row r="1350" spans="1:9" x14ac:dyDescent="0.15">
      <c r="A1350" s="9">
        <v>1349</v>
      </c>
      <c r="B1350" s="9" t="s">
        <v>9</v>
      </c>
      <c r="C1350" s="9">
        <v>1918</v>
      </c>
      <c r="D1350" s="10">
        <v>45663</v>
      </c>
      <c r="E1350" s="13" t="str">
        <f>+HYPERLINK("http://trademark.i-assist.jp/data/china/image_1918th/81476413.pdf","81476413")</f>
        <v>81476413</v>
      </c>
      <c r="F1350" s="9" t="s">
        <v>3697</v>
      </c>
      <c r="G1350" s="12" t="s">
        <v>3698</v>
      </c>
      <c r="H1350" s="9" t="s">
        <v>3699</v>
      </c>
      <c r="I1350" s="10">
        <v>45584</v>
      </c>
    </row>
    <row r="1351" spans="1:9" x14ac:dyDescent="0.15">
      <c r="A1351" s="9">
        <v>1350</v>
      </c>
      <c r="B1351" s="9" t="s">
        <v>9</v>
      </c>
      <c r="C1351" s="9">
        <v>1918</v>
      </c>
      <c r="D1351" s="10">
        <v>45663</v>
      </c>
      <c r="E1351" s="13" t="str">
        <f>+HYPERLINK("http://trademark.i-assist.jp/data/china/image_1918th/81476785.pdf","81476785")</f>
        <v>81476785</v>
      </c>
      <c r="F1351" s="12" t="s">
        <v>3700</v>
      </c>
      <c r="G1351" s="9" t="s">
        <v>3701</v>
      </c>
      <c r="H1351" s="9" t="s">
        <v>3702</v>
      </c>
      <c r="I1351" s="10">
        <v>45584</v>
      </c>
    </row>
    <row r="1352" spans="1:9" x14ac:dyDescent="0.15">
      <c r="A1352" s="9">
        <v>1351</v>
      </c>
      <c r="B1352" s="9" t="s">
        <v>9</v>
      </c>
      <c r="C1352" s="9">
        <v>1918</v>
      </c>
      <c r="D1352" s="10">
        <v>45663</v>
      </c>
      <c r="E1352" s="13" t="str">
        <f>+HYPERLINK("http://trademark.i-assist.jp/data/china/image_1918th/81477186.pdf","81477186")</f>
        <v>81477186</v>
      </c>
      <c r="F1352" s="9" t="s">
        <v>3703</v>
      </c>
      <c r="G1352" s="9" t="s">
        <v>3704</v>
      </c>
      <c r="H1352" s="12" t="s">
        <v>3705</v>
      </c>
      <c r="I1352" s="10">
        <v>45584</v>
      </c>
    </row>
    <row r="1353" spans="1:9" x14ac:dyDescent="0.15">
      <c r="A1353" s="9">
        <v>1352</v>
      </c>
      <c r="B1353" s="9" t="s">
        <v>9</v>
      </c>
      <c r="C1353" s="9">
        <v>1918</v>
      </c>
      <c r="D1353" s="10">
        <v>45663</v>
      </c>
      <c r="E1353" s="13" t="str">
        <f>+HYPERLINK("http://trademark.i-assist.jp/data/china/image_1918th/81477523.pdf","81477523")</f>
        <v>81477523</v>
      </c>
      <c r="F1353" s="9" t="s">
        <v>3706</v>
      </c>
      <c r="G1353" s="9" t="s">
        <v>3704</v>
      </c>
      <c r="H1353" s="9" t="s">
        <v>3707</v>
      </c>
      <c r="I1353" s="10">
        <v>45584</v>
      </c>
    </row>
    <row r="1354" spans="1:9" x14ac:dyDescent="0.15">
      <c r="A1354" s="9">
        <v>1353</v>
      </c>
      <c r="B1354" s="9" t="s">
        <v>9</v>
      </c>
      <c r="C1354" s="9">
        <v>1918</v>
      </c>
      <c r="D1354" s="10">
        <v>45663</v>
      </c>
      <c r="E1354" s="13" t="str">
        <f>+HYPERLINK("http://trademark.i-assist.jp/data/china/image_1918th/81477606.pdf","81477606")</f>
        <v>81477606</v>
      </c>
      <c r="F1354" s="12" t="s">
        <v>3708</v>
      </c>
      <c r="G1354" s="9" t="s">
        <v>3709</v>
      </c>
      <c r="H1354" s="12" t="s">
        <v>3710</v>
      </c>
      <c r="I1354" s="10">
        <v>45584</v>
      </c>
    </row>
    <row r="1355" spans="1:9" x14ac:dyDescent="0.15">
      <c r="A1355" s="9">
        <v>1354</v>
      </c>
      <c r="B1355" s="9" t="s">
        <v>9</v>
      </c>
      <c r="C1355" s="9">
        <v>1918</v>
      </c>
      <c r="D1355" s="10">
        <v>45663</v>
      </c>
      <c r="E1355" s="13" t="str">
        <f>+HYPERLINK("http://trademark.i-assist.jp/data/china/image_1918th/81478288.pdf","81478288")</f>
        <v>81478288</v>
      </c>
      <c r="F1355" s="9" t="s">
        <v>3711</v>
      </c>
      <c r="G1355" s="9" t="s">
        <v>3712</v>
      </c>
      <c r="H1355" s="9" t="s">
        <v>3713</v>
      </c>
      <c r="I1355" s="10">
        <v>45584</v>
      </c>
    </row>
    <row r="1356" spans="1:9" x14ac:dyDescent="0.15">
      <c r="A1356" s="9">
        <v>1355</v>
      </c>
      <c r="B1356" s="9" t="s">
        <v>9</v>
      </c>
      <c r="C1356" s="9">
        <v>1918</v>
      </c>
      <c r="D1356" s="10">
        <v>45663</v>
      </c>
      <c r="E1356" s="13" t="str">
        <f>+HYPERLINK("http://trademark.i-assist.jp/data/china/image_1918th/81478413.pdf","81478413")</f>
        <v>81478413</v>
      </c>
      <c r="F1356" s="12" t="s">
        <v>12</v>
      </c>
      <c r="G1356" s="12" t="s">
        <v>3714</v>
      </c>
      <c r="H1356" s="9" t="s">
        <v>11</v>
      </c>
      <c r="I1356" s="10">
        <v>45584</v>
      </c>
    </row>
    <row r="1357" spans="1:9" x14ac:dyDescent="0.15">
      <c r="A1357" s="9">
        <v>1356</v>
      </c>
      <c r="B1357" s="9" t="s">
        <v>9</v>
      </c>
      <c r="C1357" s="9">
        <v>1918</v>
      </c>
      <c r="D1357" s="10">
        <v>45663</v>
      </c>
      <c r="E1357" s="13" t="str">
        <f>+HYPERLINK("http://trademark.i-assist.jp/data/china/image_1918th/81478418.pdf","81478418")</f>
        <v>81478418</v>
      </c>
      <c r="F1357" s="12" t="s">
        <v>12</v>
      </c>
      <c r="G1357" s="12" t="s">
        <v>3714</v>
      </c>
      <c r="H1357" s="9" t="s">
        <v>11</v>
      </c>
      <c r="I1357" s="10">
        <v>45584</v>
      </c>
    </row>
    <row r="1358" spans="1:9" x14ac:dyDescent="0.15">
      <c r="A1358" s="9">
        <v>1357</v>
      </c>
      <c r="B1358" s="9" t="s">
        <v>9</v>
      </c>
      <c r="C1358" s="9">
        <v>1918</v>
      </c>
      <c r="D1358" s="10">
        <v>45663</v>
      </c>
      <c r="E1358" s="13" t="str">
        <f>+HYPERLINK("http://trademark.i-assist.jp/data/china/image_1918th/81479281.pdf","81479281")</f>
        <v>81479281</v>
      </c>
      <c r="F1358" s="9" t="s">
        <v>3715</v>
      </c>
      <c r="G1358" s="9" t="s">
        <v>3716</v>
      </c>
      <c r="H1358" s="9" t="s">
        <v>3717</v>
      </c>
      <c r="I1358" s="10">
        <v>45584</v>
      </c>
    </row>
    <row r="1359" spans="1:9" x14ac:dyDescent="0.15">
      <c r="A1359" s="9">
        <v>1358</v>
      </c>
      <c r="B1359" s="9" t="s">
        <v>9</v>
      </c>
      <c r="C1359" s="9">
        <v>1918</v>
      </c>
      <c r="D1359" s="10">
        <v>45663</v>
      </c>
      <c r="E1359" s="13" t="str">
        <f>+HYPERLINK("http://trademark.i-assist.jp/data/china/image_1918th/81480781.pdf","81480781")</f>
        <v>81480781</v>
      </c>
      <c r="F1359" s="12" t="s">
        <v>3718</v>
      </c>
      <c r="G1359" s="9" t="s">
        <v>3719</v>
      </c>
      <c r="H1359" s="9" t="s">
        <v>3720</v>
      </c>
      <c r="I1359" s="10">
        <v>45584</v>
      </c>
    </row>
    <row r="1360" spans="1:9" x14ac:dyDescent="0.15">
      <c r="A1360" s="9">
        <v>1359</v>
      </c>
      <c r="B1360" s="9" t="s">
        <v>9</v>
      </c>
      <c r="C1360" s="9">
        <v>1918</v>
      </c>
      <c r="D1360" s="10">
        <v>45663</v>
      </c>
      <c r="E1360" s="13" t="str">
        <f>+HYPERLINK("http://trademark.i-assist.jp/data/china/image_1918th/81480962.pdf","81480962")</f>
        <v>81480962</v>
      </c>
      <c r="F1360" s="12" t="s">
        <v>3721</v>
      </c>
      <c r="G1360" s="9" t="s">
        <v>3722</v>
      </c>
      <c r="H1360" s="9" t="s">
        <v>3723</v>
      </c>
      <c r="I1360" s="10">
        <v>45584</v>
      </c>
    </row>
    <row r="1361" spans="1:9" x14ac:dyDescent="0.15">
      <c r="A1361" s="9">
        <v>1360</v>
      </c>
      <c r="B1361" s="9" t="s">
        <v>9</v>
      </c>
      <c r="C1361" s="9">
        <v>1918</v>
      </c>
      <c r="D1361" s="10">
        <v>45663</v>
      </c>
      <c r="E1361" s="13" t="str">
        <f>+HYPERLINK("http://trademark.i-assist.jp/data/china/image_1918th/81481160.pdf","81481160")</f>
        <v>81481160</v>
      </c>
      <c r="F1361" s="9" t="s">
        <v>3724</v>
      </c>
      <c r="G1361" s="9" t="s">
        <v>3725</v>
      </c>
      <c r="H1361" s="9" t="s">
        <v>3726</v>
      </c>
      <c r="I1361" s="10">
        <v>45584</v>
      </c>
    </row>
    <row r="1362" spans="1:9" x14ac:dyDescent="0.15">
      <c r="A1362" s="9">
        <v>1361</v>
      </c>
      <c r="B1362" s="9" t="s">
        <v>9</v>
      </c>
      <c r="C1362" s="9">
        <v>1918</v>
      </c>
      <c r="D1362" s="10">
        <v>45663</v>
      </c>
      <c r="E1362" s="13" t="str">
        <f>+HYPERLINK("http://trademark.i-assist.jp/data/china/image_1918th/81481815.pdf","81481815")</f>
        <v>81481815</v>
      </c>
      <c r="F1362" s="9" t="s">
        <v>3727</v>
      </c>
      <c r="G1362" s="9" t="s">
        <v>3728</v>
      </c>
      <c r="H1362" s="9" t="s">
        <v>3729</v>
      </c>
      <c r="I1362" s="10">
        <v>45585</v>
      </c>
    </row>
    <row r="1363" spans="1:9" x14ac:dyDescent="0.15">
      <c r="A1363" s="9">
        <v>1362</v>
      </c>
      <c r="B1363" s="9" t="s">
        <v>9</v>
      </c>
      <c r="C1363" s="9">
        <v>1918</v>
      </c>
      <c r="D1363" s="10">
        <v>45663</v>
      </c>
      <c r="E1363" s="13" t="str">
        <f>+HYPERLINK("http://trademark.i-assist.jp/data/china/image_1918th/81481876.pdf","81481876")</f>
        <v>81481876</v>
      </c>
      <c r="F1363" s="9" t="s">
        <v>3730</v>
      </c>
      <c r="G1363" s="12" t="s">
        <v>3731</v>
      </c>
      <c r="H1363" s="9" t="s">
        <v>3732</v>
      </c>
      <c r="I1363" s="10">
        <v>45585</v>
      </c>
    </row>
    <row r="1364" spans="1:9" x14ac:dyDescent="0.15">
      <c r="A1364" s="9">
        <v>1363</v>
      </c>
      <c r="B1364" s="9" t="s">
        <v>9</v>
      </c>
      <c r="C1364" s="9">
        <v>1918</v>
      </c>
      <c r="D1364" s="10">
        <v>45663</v>
      </c>
      <c r="E1364" s="13" t="str">
        <f>+HYPERLINK("http://trademark.i-assist.jp/data/china/image_1918th/81482168.pdf","81482168")</f>
        <v>81482168</v>
      </c>
      <c r="F1364" s="9" t="s">
        <v>3733</v>
      </c>
      <c r="G1364" s="9" t="s">
        <v>1334</v>
      </c>
      <c r="H1364" s="9" t="s">
        <v>3734</v>
      </c>
      <c r="I1364" s="10">
        <v>45585</v>
      </c>
    </row>
    <row r="1365" spans="1:9" x14ac:dyDescent="0.15">
      <c r="A1365" s="9">
        <v>1364</v>
      </c>
      <c r="B1365" s="9" t="s">
        <v>9</v>
      </c>
      <c r="C1365" s="9">
        <v>1918</v>
      </c>
      <c r="D1365" s="10">
        <v>45663</v>
      </c>
      <c r="E1365" s="13" t="str">
        <f>+HYPERLINK("http://trademark.i-assist.jp/data/china/image_1918th/81482862.pdf","81482862")</f>
        <v>81482862</v>
      </c>
      <c r="F1365" s="12" t="s">
        <v>3735</v>
      </c>
      <c r="G1365" s="9" t="s">
        <v>3736</v>
      </c>
      <c r="H1365" s="9" t="s">
        <v>3737</v>
      </c>
      <c r="I1365" s="10">
        <v>45585</v>
      </c>
    </row>
    <row r="1366" spans="1:9" x14ac:dyDescent="0.15">
      <c r="A1366" s="9">
        <v>1365</v>
      </c>
      <c r="B1366" s="9" t="s">
        <v>9</v>
      </c>
      <c r="C1366" s="9">
        <v>1918</v>
      </c>
      <c r="D1366" s="10">
        <v>45663</v>
      </c>
      <c r="E1366" s="13" t="str">
        <f>+HYPERLINK("http://trademark.i-assist.jp/data/china/image_1918th/81484151.pdf","81484151")</f>
        <v>81484151</v>
      </c>
      <c r="F1366" s="12" t="s">
        <v>3738</v>
      </c>
      <c r="G1366" s="12" t="s">
        <v>3739</v>
      </c>
      <c r="H1366" s="9" t="s">
        <v>3740</v>
      </c>
      <c r="I1366" s="10">
        <v>45585</v>
      </c>
    </row>
    <row r="1367" spans="1:9" x14ac:dyDescent="0.15">
      <c r="A1367" s="9">
        <v>1366</v>
      </c>
      <c r="B1367" s="9" t="s">
        <v>9</v>
      </c>
      <c r="C1367" s="9">
        <v>1918</v>
      </c>
      <c r="D1367" s="10">
        <v>45663</v>
      </c>
      <c r="E1367" s="13" t="str">
        <f>+HYPERLINK("http://trademark.i-assist.jp/data/china/image_1918th/81484198.pdf","81484198")</f>
        <v>81484198</v>
      </c>
      <c r="F1367" s="12" t="s">
        <v>3741</v>
      </c>
      <c r="G1367" s="12" t="s">
        <v>3742</v>
      </c>
      <c r="H1367" s="9" t="s">
        <v>3743</v>
      </c>
      <c r="I1367" s="10">
        <v>45585</v>
      </c>
    </row>
    <row r="1368" spans="1:9" x14ac:dyDescent="0.15">
      <c r="A1368" s="9">
        <v>1367</v>
      </c>
      <c r="B1368" s="9" t="s">
        <v>9</v>
      </c>
      <c r="C1368" s="9">
        <v>1918</v>
      </c>
      <c r="D1368" s="10">
        <v>45663</v>
      </c>
      <c r="E1368" s="13" t="str">
        <f>+HYPERLINK("http://trademark.i-assist.jp/data/china/image_1918th/81484276.pdf","81484276")</f>
        <v>81484276</v>
      </c>
      <c r="F1368" s="12" t="s">
        <v>3744</v>
      </c>
      <c r="G1368" s="9" t="s">
        <v>3745</v>
      </c>
      <c r="H1368" s="12" t="s">
        <v>3746</v>
      </c>
      <c r="I1368" s="10">
        <v>45585</v>
      </c>
    </row>
    <row r="1369" spans="1:9" x14ac:dyDescent="0.15">
      <c r="A1369" s="9">
        <v>1368</v>
      </c>
      <c r="B1369" s="9" t="s">
        <v>9</v>
      </c>
      <c r="C1369" s="9">
        <v>1918</v>
      </c>
      <c r="D1369" s="10">
        <v>45663</v>
      </c>
      <c r="E1369" s="13" t="str">
        <f>+HYPERLINK("http://trademark.i-assist.jp/data/china/image_1918th/81484451.pdf","81484451")</f>
        <v>81484451</v>
      </c>
      <c r="F1369" s="12" t="s">
        <v>3747</v>
      </c>
      <c r="G1369" s="9" t="s">
        <v>3748</v>
      </c>
      <c r="H1369" s="9" t="s">
        <v>3749</v>
      </c>
      <c r="I1369" s="10">
        <v>45586</v>
      </c>
    </row>
    <row r="1370" spans="1:9" x14ac:dyDescent="0.15">
      <c r="A1370" s="9">
        <v>1369</v>
      </c>
      <c r="B1370" s="9" t="s">
        <v>9</v>
      </c>
      <c r="C1370" s="9">
        <v>1918</v>
      </c>
      <c r="D1370" s="10">
        <v>45663</v>
      </c>
      <c r="E1370" s="13" t="str">
        <f>+HYPERLINK("http://trademark.i-assist.jp/data/china/image_1918th/81484577.pdf","81484577")</f>
        <v>81484577</v>
      </c>
      <c r="F1370" s="12" t="s">
        <v>3750</v>
      </c>
      <c r="G1370" s="9" t="s">
        <v>3751</v>
      </c>
      <c r="H1370" s="9" t="s">
        <v>3752</v>
      </c>
      <c r="I1370" s="10">
        <v>45586</v>
      </c>
    </row>
    <row r="1371" spans="1:9" x14ac:dyDescent="0.15">
      <c r="A1371" s="9">
        <v>1370</v>
      </c>
      <c r="B1371" s="9" t="s">
        <v>9</v>
      </c>
      <c r="C1371" s="9">
        <v>1918</v>
      </c>
      <c r="D1371" s="10">
        <v>45663</v>
      </c>
      <c r="E1371" s="13" t="str">
        <f>+HYPERLINK("http://trademark.i-assist.jp/data/china/image_1918th/81484971.pdf","81484971")</f>
        <v>81484971</v>
      </c>
      <c r="F1371" s="12" t="s">
        <v>12</v>
      </c>
      <c r="G1371" s="9" t="s">
        <v>3753</v>
      </c>
      <c r="H1371" s="9" t="s">
        <v>3754</v>
      </c>
      <c r="I1371" s="10">
        <v>45586</v>
      </c>
    </row>
    <row r="1372" spans="1:9" x14ac:dyDescent="0.15">
      <c r="A1372" s="9">
        <v>1371</v>
      </c>
      <c r="B1372" s="9" t="s">
        <v>9</v>
      </c>
      <c r="C1372" s="9">
        <v>1918</v>
      </c>
      <c r="D1372" s="10">
        <v>45663</v>
      </c>
      <c r="E1372" s="13" t="str">
        <f>+HYPERLINK("http://trademark.i-assist.jp/data/china/image_1918th/81485005.pdf","81485005")</f>
        <v>81485005</v>
      </c>
      <c r="F1372" s="9" t="s">
        <v>3755</v>
      </c>
      <c r="G1372" s="9" t="s">
        <v>3756</v>
      </c>
      <c r="H1372" s="9" t="s">
        <v>3757</v>
      </c>
      <c r="I1372" s="10">
        <v>45586</v>
      </c>
    </row>
    <row r="1373" spans="1:9" x14ac:dyDescent="0.15">
      <c r="A1373" s="9">
        <v>1372</v>
      </c>
      <c r="B1373" s="9" t="s">
        <v>9</v>
      </c>
      <c r="C1373" s="9">
        <v>1918</v>
      </c>
      <c r="D1373" s="10">
        <v>45663</v>
      </c>
      <c r="E1373" s="13" t="str">
        <f>+HYPERLINK("http://trademark.i-assist.jp/data/china/image_1918th/81485233.pdf","81485233")</f>
        <v>81485233</v>
      </c>
      <c r="F1373" s="12" t="s">
        <v>3758</v>
      </c>
      <c r="G1373" s="12" t="s">
        <v>3759</v>
      </c>
      <c r="H1373" s="9" t="s">
        <v>3760</v>
      </c>
      <c r="I1373" s="10">
        <v>45586</v>
      </c>
    </row>
    <row r="1374" spans="1:9" x14ac:dyDescent="0.15">
      <c r="A1374" s="9">
        <v>1373</v>
      </c>
      <c r="B1374" s="9" t="s">
        <v>9</v>
      </c>
      <c r="C1374" s="9">
        <v>1918</v>
      </c>
      <c r="D1374" s="10">
        <v>45663</v>
      </c>
      <c r="E1374" s="13" t="str">
        <f>+HYPERLINK("http://trademark.i-assist.jp/data/china/image_1918th/81485502.pdf","81485502")</f>
        <v>81485502</v>
      </c>
      <c r="F1374" s="9" t="s">
        <v>3761</v>
      </c>
      <c r="G1374" s="9" t="s">
        <v>3762</v>
      </c>
      <c r="H1374" s="9" t="s">
        <v>3763</v>
      </c>
      <c r="I1374" s="10">
        <v>45586</v>
      </c>
    </row>
    <row r="1375" spans="1:9" x14ac:dyDescent="0.15">
      <c r="A1375" s="9">
        <v>1374</v>
      </c>
      <c r="B1375" s="9" t="s">
        <v>9</v>
      </c>
      <c r="C1375" s="9">
        <v>1918</v>
      </c>
      <c r="D1375" s="10">
        <v>45663</v>
      </c>
      <c r="E1375" s="13" t="str">
        <f>+HYPERLINK("http://trademark.i-assist.jp/data/china/image_1918th/81486035.pdf","81486035")</f>
        <v>81486035</v>
      </c>
      <c r="F1375" s="9" t="s">
        <v>3764</v>
      </c>
      <c r="G1375" s="9" t="s">
        <v>3765</v>
      </c>
      <c r="H1375" s="9" t="s">
        <v>3766</v>
      </c>
      <c r="I1375" s="10">
        <v>45586</v>
      </c>
    </row>
    <row r="1376" spans="1:9" x14ac:dyDescent="0.15">
      <c r="A1376" s="9">
        <v>1375</v>
      </c>
      <c r="B1376" s="9" t="s">
        <v>9</v>
      </c>
      <c r="C1376" s="9">
        <v>1918</v>
      </c>
      <c r="D1376" s="10">
        <v>45663</v>
      </c>
      <c r="E1376" s="13" t="str">
        <f>+HYPERLINK("http://trademark.i-assist.jp/data/china/image_1918th/81486699.pdf","81486699")</f>
        <v>81486699</v>
      </c>
      <c r="F1376" s="9" t="s">
        <v>3767</v>
      </c>
      <c r="G1376" s="9" t="s">
        <v>3768</v>
      </c>
      <c r="H1376" s="12" t="s">
        <v>3769</v>
      </c>
      <c r="I1376" s="10">
        <v>45586</v>
      </c>
    </row>
    <row r="1377" spans="1:9" x14ac:dyDescent="0.15">
      <c r="A1377" s="9">
        <v>1376</v>
      </c>
      <c r="B1377" s="9" t="s">
        <v>9</v>
      </c>
      <c r="C1377" s="9">
        <v>1918</v>
      </c>
      <c r="D1377" s="10">
        <v>45663</v>
      </c>
      <c r="E1377" s="13" t="str">
        <f>+HYPERLINK("http://trademark.i-assist.jp/data/china/image_1918th/81486797.pdf","81486797")</f>
        <v>81486797</v>
      </c>
      <c r="F1377" s="9" t="s">
        <v>3770</v>
      </c>
      <c r="G1377" s="12" t="s">
        <v>3771</v>
      </c>
      <c r="H1377" s="9" t="s">
        <v>3772</v>
      </c>
      <c r="I1377" s="10">
        <v>45586</v>
      </c>
    </row>
    <row r="1378" spans="1:9" x14ac:dyDescent="0.15">
      <c r="A1378" s="9">
        <v>1377</v>
      </c>
      <c r="B1378" s="9" t="s">
        <v>9</v>
      </c>
      <c r="C1378" s="9">
        <v>1918</v>
      </c>
      <c r="D1378" s="10">
        <v>45663</v>
      </c>
      <c r="E1378" s="13" t="str">
        <f>+HYPERLINK("http://trademark.i-assist.jp/data/china/image_1918th/81487050.pdf","81487050")</f>
        <v>81487050</v>
      </c>
      <c r="F1378" s="9" t="s">
        <v>3773</v>
      </c>
      <c r="G1378" s="9" t="s">
        <v>3774</v>
      </c>
      <c r="H1378" s="9" t="s">
        <v>3775</v>
      </c>
      <c r="I1378" s="10">
        <v>45586</v>
      </c>
    </row>
    <row r="1379" spans="1:9" x14ac:dyDescent="0.15">
      <c r="A1379" s="9">
        <v>1378</v>
      </c>
      <c r="B1379" s="9" t="s">
        <v>9</v>
      </c>
      <c r="C1379" s="9">
        <v>1918</v>
      </c>
      <c r="D1379" s="10">
        <v>45663</v>
      </c>
      <c r="E1379" s="13" t="str">
        <f>+HYPERLINK("http://trademark.i-assist.jp/data/china/image_1918th/81487181.pdf","81487181")</f>
        <v>81487181</v>
      </c>
      <c r="F1379" s="9" t="s">
        <v>3776</v>
      </c>
      <c r="G1379" s="9" t="s">
        <v>3777</v>
      </c>
      <c r="H1379" s="9" t="s">
        <v>3778</v>
      </c>
      <c r="I1379" s="10">
        <v>45586</v>
      </c>
    </row>
    <row r="1380" spans="1:9" x14ac:dyDescent="0.15">
      <c r="A1380" s="9">
        <v>1379</v>
      </c>
      <c r="B1380" s="9" t="s">
        <v>9</v>
      </c>
      <c r="C1380" s="9">
        <v>1918</v>
      </c>
      <c r="D1380" s="10">
        <v>45663</v>
      </c>
      <c r="E1380" s="13" t="str">
        <f>+HYPERLINK("http://trademark.i-assist.jp/data/china/image_1918th/81487198.pdf","81487198")</f>
        <v>81487198</v>
      </c>
      <c r="F1380" s="9" t="s">
        <v>3779</v>
      </c>
      <c r="G1380" s="9" t="s">
        <v>3780</v>
      </c>
      <c r="H1380" s="9" t="s">
        <v>3781</v>
      </c>
      <c r="I1380" s="10">
        <v>45586</v>
      </c>
    </row>
    <row r="1381" spans="1:9" x14ac:dyDescent="0.15">
      <c r="A1381" s="9">
        <v>1380</v>
      </c>
      <c r="B1381" s="9" t="s">
        <v>9</v>
      </c>
      <c r="C1381" s="9">
        <v>1918</v>
      </c>
      <c r="D1381" s="10">
        <v>45663</v>
      </c>
      <c r="E1381" s="13" t="str">
        <f>+HYPERLINK("http://trademark.i-assist.jp/data/china/image_1918th/81488766.pdf","81488766")</f>
        <v>81488766</v>
      </c>
      <c r="F1381" s="12" t="s">
        <v>3782</v>
      </c>
      <c r="G1381" s="12" t="s">
        <v>3783</v>
      </c>
      <c r="H1381" s="9" t="s">
        <v>3784</v>
      </c>
      <c r="I1381" s="10">
        <v>45586</v>
      </c>
    </row>
    <row r="1382" spans="1:9" x14ac:dyDescent="0.15">
      <c r="A1382" s="9">
        <v>1381</v>
      </c>
      <c r="B1382" s="9" t="s">
        <v>9</v>
      </c>
      <c r="C1382" s="9">
        <v>1918</v>
      </c>
      <c r="D1382" s="10">
        <v>45663</v>
      </c>
      <c r="E1382" s="13" t="str">
        <f>+HYPERLINK("http://trademark.i-assist.jp/data/china/image_1918th/81488940.pdf","81488940")</f>
        <v>81488940</v>
      </c>
      <c r="F1382" s="9" t="s">
        <v>3785</v>
      </c>
      <c r="G1382" s="9" t="s">
        <v>3562</v>
      </c>
      <c r="H1382" s="9" t="s">
        <v>3786</v>
      </c>
      <c r="I1382" s="10">
        <v>45586</v>
      </c>
    </row>
    <row r="1383" spans="1:9" x14ac:dyDescent="0.15">
      <c r="A1383" s="9">
        <v>1382</v>
      </c>
      <c r="B1383" s="9" t="s">
        <v>9</v>
      </c>
      <c r="C1383" s="9">
        <v>1918</v>
      </c>
      <c r="D1383" s="10">
        <v>45663</v>
      </c>
      <c r="E1383" s="13" t="str">
        <f>+HYPERLINK("http://trademark.i-assist.jp/data/china/image_1918th/81489346.pdf","81489346")</f>
        <v>81489346</v>
      </c>
      <c r="F1383" s="12" t="s">
        <v>3787</v>
      </c>
      <c r="G1383" s="9" t="s">
        <v>3788</v>
      </c>
      <c r="H1383" s="9" t="s">
        <v>3789</v>
      </c>
      <c r="I1383" s="10">
        <v>45586</v>
      </c>
    </row>
    <row r="1384" spans="1:9" x14ac:dyDescent="0.15">
      <c r="A1384" s="9">
        <v>1383</v>
      </c>
      <c r="B1384" s="9" t="s">
        <v>9</v>
      </c>
      <c r="C1384" s="9">
        <v>1918</v>
      </c>
      <c r="D1384" s="10">
        <v>45663</v>
      </c>
      <c r="E1384" s="13" t="str">
        <f>+HYPERLINK("http://trademark.i-assist.jp/data/china/image_1918th/81490425.pdf","81490425")</f>
        <v>81490425</v>
      </c>
      <c r="F1384" s="9" t="s">
        <v>3790</v>
      </c>
      <c r="G1384" s="12" t="s">
        <v>3791</v>
      </c>
      <c r="H1384" s="9" t="s">
        <v>3792</v>
      </c>
      <c r="I1384" s="10">
        <v>45586</v>
      </c>
    </row>
    <row r="1385" spans="1:9" x14ac:dyDescent="0.15">
      <c r="A1385" s="9">
        <v>1384</v>
      </c>
      <c r="B1385" s="9" t="s">
        <v>9</v>
      </c>
      <c r="C1385" s="9">
        <v>1918</v>
      </c>
      <c r="D1385" s="10">
        <v>45663</v>
      </c>
      <c r="E1385" s="13" t="str">
        <f>+HYPERLINK("http://trademark.i-assist.jp/data/china/image_1918th/81490555.pdf","81490555")</f>
        <v>81490555</v>
      </c>
      <c r="F1385" s="12" t="s">
        <v>12</v>
      </c>
      <c r="G1385" s="12" t="s">
        <v>3793</v>
      </c>
      <c r="H1385" s="9" t="s">
        <v>3794</v>
      </c>
      <c r="I1385" s="10">
        <v>45586</v>
      </c>
    </row>
    <row r="1386" spans="1:9" x14ac:dyDescent="0.15">
      <c r="A1386" s="9">
        <v>1385</v>
      </c>
      <c r="B1386" s="9" t="s">
        <v>9</v>
      </c>
      <c r="C1386" s="9">
        <v>1918</v>
      </c>
      <c r="D1386" s="10">
        <v>45663</v>
      </c>
      <c r="E1386" s="13" t="str">
        <f>+HYPERLINK("http://trademark.i-assist.jp/data/china/image_1918th/81491504.pdf","81491504")</f>
        <v>81491504</v>
      </c>
      <c r="F1386" s="9" t="s">
        <v>3795</v>
      </c>
      <c r="G1386" s="9" t="s">
        <v>3796</v>
      </c>
      <c r="H1386" s="12" t="s">
        <v>3797</v>
      </c>
      <c r="I1386" s="10">
        <v>45586</v>
      </c>
    </row>
    <row r="1387" spans="1:9" x14ac:dyDescent="0.15">
      <c r="A1387" s="9">
        <v>1386</v>
      </c>
      <c r="B1387" s="9" t="s">
        <v>9</v>
      </c>
      <c r="C1387" s="9">
        <v>1918</v>
      </c>
      <c r="D1387" s="10">
        <v>45663</v>
      </c>
      <c r="E1387" s="13" t="str">
        <f>+HYPERLINK("http://trademark.i-assist.jp/data/china/image_1918th/81491736.pdf","81491736")</f>
        <v>81491736</v>
      </c>
      <c r="F1387" s="9" t="s">
        <v>3798</v>
      </c>
      <c r="G1387" s="12" t="s">
        <v>3799</v>
      </c>
      <c r="H1387" s="9" t="s">
        <v>3800</v>
      </c>
      <c r="I1387" s="10">
        <v>45586</v>
      </c>
    </row>
    <row r="1388" spans="1:9" x14ac:dyDescent="0.15">
      <c r="A1388" s="9">
        <v>1387</v>
      </c>
      <c r="B1388" s="9" t="s">
        <v>9</v>
      </c>
      <c r="C1388" s="9">
        <v>1918</v>
      </c>
      <c r="D1388" s="10">
        <v>45663</v>
      </c>
      <c r="E1388" s="13" t="str">
        <f>+HYPERLINK("http://trademark.i-assist.jp/data/china/image_1918th/81491755.pdf","81491755")</f>
        <v>81491755</v>
      </c>
      <c r="F1388" s="12" t="s">
        <v>3801</v>
      </c>
      <c r="G1388" s="12" t="s">
        <v>3802</v>
      </c>
      <c r="H1388" s="9" t="s">
        <v>3803</v>
      </c>
      <c r="I1388" s="10">
        <v>45586</v>
      </c>
    </row>
    <row r="1389" spans="1:9" x14ac:dyDescent="0.15">
      <c r="A1389" s="9">
        <v>1388</v>
      </c>
      <c r="B1389" s="9" t="s">
        <v>9</v>
      </c>
      <c r="C1389" s="9">
        <v>1918</v>
      </c>
      <c r="D1389" s="10">
        <v>45663</v>
      </c>
      <c r="E1389" s="13" t="str">
        <f>+HYPERLINK("http://trademark.i-assist.jp/data/china/image_1918th/81491914.pdf","81491914")</f>
        <v>81491914</v>
      </c>
      <c r="F1389" s="9" t="s">
        <v>3804</v>
      </c>
      <c r="G1389" s="9" t="s">
        <v>3805</v>
      </c>
      <c r="H1389" s="12" t="s">
        <v>3806</v>
      </c>
      <c r="I1389" s="10">
        <v>45586</v>
      </c>
    </row>
    <row r="1390" spans="1:9" x14ac:dyDescent="0.15">
      <c r="A1390" s="9">
        <v>1389</v>
      </c>
      <c r="B1390" s="9" t="s">
        <v>9</v>
      </c>
      <c r="C1390" s="9">
        <v>1918</v>
      </c>
      <c r="D1390" s="10">
        <v>45663</v>
      </c>
      <c r="E1390" s="13" t="str">
        <f>+HYPERLINK("http://trademark.i-assist.jp/data/china/image_1918th/81491917.pdf","81491917")</f>
        <v>81491917</v>
      </c>
      <c r="F1390" s="9" t="s">
        <v>3807</v>
      </c>
      <c r="G1390" s="9" t="s">
        <v>3808</v>
      </c>
      <c r="H1390" s="12" t="s">
        <v>3809</v>
      </c>
      <c r="I1390" s="10">
        <v>45586</v>
      </c>
    </row>
    <row r="1391" spans="1:9" x14ac:dyDescent="0.15">
      <c r="A1391" s="9">
        <v>1390</v>
      </c>
      <c r="B1391" s="9" t="s">
        <v>9</v>
      </c>
      <c r="C1391" s="9">
        <v>1918</v>
      </c>
      <c r="D1391" s="10">
        <v>45663</v>
      </c>
      <c r="E1391" s="13" t="str">
        <f>+HYPERLINK("http://trademark.i-assist.jp/data/china/image_1918th/81492165.pdf","81492165")</f>
        <v>81492165</v>
      </c>
      <c r="F1391" s="9" t="s">
        <v>3810</v>
      </c>
      <c r="G1391" s="9" t="s">
        <v>3811</v>
      </c>
      <c r="H1391" s="9" t="s">
        <v>3812</v>
      </c>
      <c r="I1391" s="10">
        <v>45586</v>
      </c>
    </row>
    <row r="1392" spans="1:9" x14ac:dyDescent="0.15">
      <c r="A1392" s="9">
        <v>1391</v>
      </c>
      <c r="B1392" s="9" t="s">
        <v>9</v>
      </c>
      <c r="C1392" s="9">
        <v>1918</v>
      </c>
      <c r="D1392" s="10">
        <v>45663</v>
      </c>
      <c r="E1392" s="13" t="str">
        <f>+HYPERLINK("http://trademark.i-assist.jp/data/china/image_1918th/81492205.pdf","81492205")</f>
        <v>81492205</v>
      </c>
      <c r="F1392" s="9" t="s">
        <v>3813</v>
      </c>
      <c r="G1392" s="9" t="s">
        <v>3814</v>
      </c>
      <c r="H1392" s="9" t="s">
        <v>3815</v>
      </c>
      <c r="I1392" s="10">
        <v>45586</v>
      </c>
    </row>
    <row r="1393" spans="1:9" x14ac:dyDescent="0.15">
      <c r="A1393" s="9">
        <v>1392</v>
      </c>
      <c r="B1393" s="9" t="s">
        <v>9</v>
      </c>
      <c r="C1393" s="9">
        <v>1918</v>
      </c>
      <c r="D1393" s="10">
        <v>45663</v>
      </c>
      <c r="E1393" s="13" t="str">
        <f>+HYPERLINK("http://trademark.i-assist.jp/data/china/image_1918th/81492472.pdf","81492472")</f>
        <v>81492472</v>
      </c>
      <c r="F1393" s="9" t="s">
        <v>3816</v>
      </c>
      <c r="G1393" s="9" t="s">
        <v>3817</v>
      </c>
      <c r="H1393" s="9" t="s">
        <v>3818</v>
      </c>
      <c r="I1393" s="10">
        <v>45586</v>
      </c>
    </row>
    <row r="1394" spans="1:9" x14ac:dyDescent="0.15">
      <c r="A1394" s="9">
        <v>1393</v>
      </c>
      <c r="B1394" s="9" t="s">
        <v>9</v>
      </c>
      <c r="C1394" s="9">
        <v>1918</v>
      </c>
      <c r="D1394" s="10">
        <v>45663</v>
      </c>
      <c r="E1394" s="13" t="str">
        <f>+HYPERLINK("http://trademark.i-assist.jp/data/china/image_1918th/81492976.pdf","81492976")</f>
        <v>81492976</v>
      </c>
      <c r="F1394" s="12" t="s">
        <v>12</v>
      </c>
      <c r="G1394" s="12" t="s">
        <v>3819</v>
      </c>
      <c r="H1394" s="9" t="s">
        <v>3820</v>
      </c>
      <c r="I1394" s="10">
        <v>45586</v>
      </c>
    </row>
    <row r="1395" spans="1:9" x14ac:dyDescent="0.15">
      <c r="A1395" s="9">
        <v>1394</v>
      </c>
      <c r="B1395" s="9" t="s">
        <v>9</v>
      </c>
      <c r="C1395" s="9">
        <v>1918</v>
      </c>
      <c r="D1395" s="10">
        <v>45663</v>
      </c>
      <c r="E1395" s="13" t="str">
        <f>+HYPERLINK("http://trademark.i-assist.jp/data/china/image_1918th/81493039.pdf","81493039")</f>
        <v>81493039</v>
      </c>
      <c r="F1395" s="12" t="s">
        <v>3821</v>
      </c>
      <c r="G1395" s="9" t="s">
        <v>3822</v>
      </c>
      <c r="H1395" s="9" t="s">
        <v>3823</v>
      </c>
      <c r="I1395" s="10">
        <v>45586</v>
      </c>
    </row>
    <row r="1396" spans="1:9" x14ac:dyDescent="0.15">
      <c r="A1396" s="9">
        <v>1395</v>
      </c>
      <c r="B1396" s="9" t="s">
        <v>9</v>
      </c>
      <c r="C1396" s="9">
        <v>1918</v>
      </c>
      <c r="D1396" s="10">
        <v>45663</v>
      </c>
      <c r="E1396" s="13" t="str">
        <f>+HYPERLINK("http://trademark.i-assist.jp/data/china/image_1918th/81493118.pdf","81493118")</f>
        <v>81493118</v>
      </c>
      <c r="F1396" s="9" t="s">
        <v>3824</v>
      </c>
      <c r="G1396" s="9" t="s">
        <v>3825</v>
      </c>
      <c r="H1396" s="9" t="s">
        <v>3826</v>
      </c>
      <c r="I1396" s="10">
        <v>45586</v>
      </c>
    </row>
    <row r="1397" spans="1:9" x14ac:dyDescent="0.15">
      <c r="A1397" s="9">
        <v>1396</v>
      </c>
      <c r="B1397" s="9" t="s">
        <v>9</v>
      </c>
      <c r="C1397" s="9">
        <v>1918</v>
      </c>
      <c r="D1397" s="10">
        <v>45663</v>
      </c>
      <c r="E1397" s="13" t="str">
        <f>+HYPERLINK("http://trademark.i-assist.jp/data/china/image_1918th/81493273.pdf","81493273")</f>
        <v>81493273</v>
      </c>
      <c r="F1397" s="9" t="s">
        <v>3827</v>
      </c>
      <c r="G1397" s="12" t="s">
        <v>3828</v>
      </c>
      <c r="H1397" s="9" t="s">
        <v>3829</v>
      </c>
      <c r="I1397" s="10">
        <v>45586</v>
      </c>
    </row>
    <row r="1398" spans="1:9" x14ac:dyDescent="0.15">
      <c r="A1398" s="9">
        <v>1397</v>
      </c>
      <c r="B1398" s="9" t="s">
        <v>9</v>
      </c>
      <c r="C1398" s="9">
        <v>1918</v>
      </c>
      <c r="D1398" s="10">
        <v>45663</v>
      </c>
      <c r="E1398" s="13" t="str">
        <f>+HYPERLINK("http://trademark.i-assist.jp/data/china/image_1918th/81493396.pdf","81493396")</f>
        <v>81493396</v>
      </c>
      <c r="F1398" s="9" t="s">
        <v>3830</v>
      </c>
      <c r="G1398" s="9" t="s">
        <v>3831</v>
      </c>
      <c r="H1398" s="9" t="s">
        <v>3832</v>
      </c>
      <c r="I1398" s="10">
        <v>45586</v>
      </c>
    </row>
    <row r="1399" spans="1:9" x14ac:dyDescent="0.15">
      <c r="A1399" s="9">
        <v>1398</v>
      </c>
      <c r="B1399" s="9" t="s">
        <v>9</v>
      </c>
      <c r="C1399" s="9">
        <v>1918</v>
      </c>
      <c r="D1399" s="10">
        <v>45663</v>
      </c>
      <c r="E1399" s="13" t="str">
        <f>+HYPERLINK("http://trademark.i-assist.jp/data/china/image_1918th/81493515.pdf","81493515")</f>
        <v>81493515</v>
      </c>
      <c r="F1399" s="9" t="s">
        <v>3833</v>
      </c>
      <c r="G1399" s="9" t="s">
        <v>3834</v>
      </c>
      <c r="H1399" s="9" t="s">
        <v>3835</v>
      </c>
      <c r="I1399" s="10">
        <v>45586</v>
      </c>
    </row>
    <row r="1400" spans="1:9" x14ac:dyDescent="0.15">
      <c r="A1400" s="9">
        <v>1399</v>
      </c>
      <c r="B1400" s="9" t="s">
        <v>9</v>
      </c>
      <c r="C1400" s="9">
        <v>1918</v>
      </c>
      <c r="D1400" s="10">
        <v>45663</v>
      </c>
      <c r="E1400" s="13" t="str">
        <f>+HYPERLINK("http://trademark.i-assist.jp/data/china/image_1918th/81493885.pdf","81493885")</f>
        <v>81493885</v>
      </c>
      <c r="F1400" s="9" t="s">
        <v>3836</v>
      </c>
      <c r="G1400" s="9" t="s">
        <v>3817</v>
      </c>
      <c r="H1400" s="9" t="s">
        <v>3837</v>
      </c>
      <c r="I1400" s="10">
        <v>45586</v>
      </c>
    </row>
    <row r="1401" spans="1:9" x14ac:dyDescent="0.15">
      <c r="A1401" s="9">
        <v>1400</v>
      </c>
      <c r="B1401" s="9" t="s">
        <v>9</v>
      </c>
      <c r="C1401" s="9">
        <v>1918</v>
      </c>
      <c r="D1401" s="10">
        <v>45663</v>
      </c>
      <c r="E1401" s="13" t="str">
        <f>+HYPERLINK("http://trademark.i-assist.jp/data/china/image_1918th/81494083.pdf","81494083")</f>
        <v>81494083</v>
      </c>
      <c r="F1401" s="9" t="s">
        <v>3838</v>
      </c>
      <c r="G1401" s="12" t="s">
        <v>65</v>
      </c>
      <c r="H1401" s="9" t="s">
        <v>3839</v>
      </c>
      <c r="I1401" s="10">
        <v>45586</v>
      </c>
    </row>
    <row r="1402" spans="1:9" x14ac:dyDescent="0.15">
      <c r="A1402" s="9">
        <v>1401</v>
      </c>
      <c r="B1402" s="9" t="s">
        <v>9</v>
      </c>
      <c r="C1402" s="9">
        <v>1918</v>
      </c>
      <c r="D1402" s="10">
        <v>45663</v>
      </c>
      <c r="E1402" s="13" t="str">
        <f>+HYPERLINK("http://trademark.i-assist.jp/data/china/image_1918th/81494195.pdf","81494195")</f>
        <v>81494195</v>
      </c>
      <c r="F1402" s="9" t="s">
        <v>3770</v>
      </c>
      <c r="G1402" s="12" t="s">
        <v>3771</v>
      </c>
      <c r="H1402" s="9" t="s">
        <v>3840</v>
      </c>
      <c r="I1402" s="10">
        <v>45586</v>
      </c>
    </row>
    <row r="1403" spans="1:9" x14ac:dyDescent="0.15">
      <c r="A1403" s="9">
        <v>1402</v>
      </c>
      <c r="B1403" s="9" t="s">
        <v>9</v>
      </c>
      <c r="C1403" s="9">
        <v>1918</v>
      </c>
      <c r="D1403" s="10">
        <v>45663</v>
      </c>
      <c r="E1403" s="13" t="str">
        <f>+HYPERLINK("http://trademark.i-assist.jp/data/china/image_1918th/81494197.pdf","81494197")</f>
        <v>81494197</v>
      </c>
      <c r="F1403" s="12" t="s">
        <v>12</v>
      </c>
      <c r="G1403" s="9" t="s">
        <v>3841</v>
      </c>
      <c r="H1403" s="9" t="s">
        <v>3842</v>
      </c>
      <c r="I1403" s="10">
        <v>45586</v>
      </c>
    </row>
    <row r="1404" spans="1:9" x14ac:dyDescent="0.15">
      <c r="A1404" s="9">
        <v>1403</v>
      </c>
      <c r="B1404" s="9" t="s">
        <v>9</v>
      </c>
      <c r="C1404" s="9">
        <v>1918</v>
      </c>
      <c r="D1404" s="10">
        <v>45663</v>
      </c>
      <c r="E1404" s="13" t="str">
        <f>+HYPERLINK("http://trademark.i-assist.jp/data/china/image_1918th/81494232.pdf","81494232")</f>
        <v>81494232</v>
      </c>
      <c r="F1404" s="9" t="s">
        <v>3843</v>
      </c>
      <c r="G1404" s="9" t="s">
        <v>3844</v>
      </c>
      <c r="H1404" s="9" t="s">
        <v>3845</v>
      </c>
      <c r="I1404" s="10">
        <v>45586</v>
      </c>
    </row>
    <row r="1405" spans="1:9" x14ac:dyDescent="0.15">
      <c r="A1405" s="9">
        <v>1404</v>
      </c>
      <c r="B1405" s="9" t="s">
        <v>9</v>
      </c>
      <c r="C1405" s="9">
        <v>1918</v>
      </c>
      <c r="D1405" s="10">
        <v>45663</v>
      </c>
      <c r="E1405" s="13" t="str">
        <f>+HYPERLINK("http://trademark.i-assist.jp/data/china/image_1918th/81494702.pdf","81494702")</f>
        <v>81494702</v>
      </c>
      <c r="F1405" s="9" t="s">
        <v>3846</v>
      </c>
      <c r="G1405" s="9" t="s">
        <v>3847</v>
      </c>
      <c r="H1405" s="9" t="s">
        <v>3848</v>
      </c>
      <c r="I1405" s="10">
        <v>45586</v>
      </c>
    </row>
    <row r="1406" spans="1:9" x14ac:dyDescent="0.15">
      <c r="A1406" s="9">
        <v>1405</v>
      </c>
      <c r="B1406" s="9" t="s">
        <v>9</v>
      </c>
      <c r="C1406" s="9">
        <v>1918</v>
      </c>
      <c r="D1406" s="10">
        <v>45663</v>
      </c>
      <c r="E1406" s="13" t="str">
        <f>+HYPERLINK("http://trademark.i-assist.jp/data/china/image_1918th/81495092.pdf","81495092")</f>
        <v>81495092</v>
      </c>
      <c r="F1406" s="9" t="s">
        <v>3849</v>
      </c>
      <c r="G1406" s="12" t="s">
        <v>3850</v>
      </c>
      <c r="H1406" s="9" t="s">
        <v>3851</v>
      </c>
      <c r="I1406" s="10">
        <v>45586</v>
      </c>
    </row>
    <row r="1407" spans="1:9" x14ac:dyDescent="0.15">
      <c r="A1407" s="9">
        <v>1406</v>
      </c>
      <c r="B1407" s="9" t="s">
        <v>9</v>
      </c>
      <c r="C1407" s="9">
        <v>1918</v>
      </c>
      <c r="D1407" s="10">
        <v>45663</v>
      </c>
      <c r="E1407" s="13" t="str">
        <f>+HYPERLINK("http://trademark.i-assist.jp/data/china/image_1918th/81495263.pdf","81495263")</f>
        <v>81495263</v>
      </c>
      <c r="F1407" s="9" t="s">
        <v>3852</v>
      </c>
      <c r="G1407" s="9" t="s">
        <v>3853</v>
      </c>
      <c r="H1407" s="9" t="s">
        <v>3854</v>
      </c>
      <c r="I1407" s="10">
        <v>45586</v>
      </c>
    </row>
    <row r="1408" spans="1:9" x14ac:dyDescent="0.15">
      <c r="A1408" s="9">
        <v>1407</v>
      </c>
      <c r="B1408" s="9" t="s">
        <v>9</v>
      </c>
      <c r="C1408" s="9">
        <v>1918</v>
      </c>
      <c r="D1408" s="10">
        <v>45663</v>
      </c>
      <c r="E1408" s="13" t="str">
        <f>+HYPERLINK("http://trademark.i-assist.jp/data/china/image_1918th/81495647.pdf","81495647")</f>
        <v>81495647</v>
      </c>
      <c r="F1408" s="9" t="s">
        <v>3855</v>
      </c>
      <c r="G1408" s="9" t="s">
        <v>3856</v>
      </c>
      <c r="H1408" s="9" t="s">
        <v>3857</v>
      </c>
      <c r="I1408" s="10">
        <v>45586</v>
      </c>
    </row>
    <row r="1409" spans="1:9" x14ac:dyDescent="0.15">
      <c r="A1409" s="9">
        <v>1408</v>
      </c>
      <c r="B1409" s="9" t="s">
        <v>9</v>
      </c>
      <c r="C1409" s="9">
        <v>1918</v>
      </c>
      <c r="D1409" s="10">
        <v>45663</v>
      </c>
      <c r="E1409" s="13" t="str">
        <f>+HYPERLINK("http://trademark.i-assist.jp/data/china/image_1918th/81496469.pdf","81496469")</f>
        <v>81496469</v>
      </c>
      <c r="F1409" s="9" t="s">
        <v>3858</v>
      </c>
      <c r="G1409" s="9" t="s">
        <v>3859</v>
      </c>
      <c r="H1409" s="9" t="s">
        <v>3860</v>
      </c>
      <c r="I1409" s="10">
        <v>45586</v>
      </c>
    </row>
    <row r="1410" spans="1:9" x14ac:dyDescent="0.15">
      <c r="A1410" s="9">
        <v>1409</v>
      </c>
      <c r="B1410" s="9" t="s">
        <v>9</v>
      </c>
      <c r="C1410" s="9">
        <v>1918</v>
      </c>
      <c r="D1410" s="10">
        <v>45663</v>
      </c>
      <c r="E1410" s="13" t="str">
        <f>+HYPERLINK("http://trademark.i-assist.jp/data/china/image_1918th/81496564.pdf","81496564")</f>
        <v>81496564</v>
      </c>
      <c r="F1410" s="12" t="s">
        <v>3861</v>
      </c>
      <c r="G1410" s="9" t="s">
        <v>3777</v>
      </c>
      <c r="H1410" s="12" t="s">
        <v>3862</v>
      </c>
      <c r="I1410" s="10">
        <v>45586</v>
      </c>
    </row>
    <row r="1411" spans="1:9" x14ac:dyDescent="0.15">
      <c r="A1411" s="9">
        <v>1410</v>
      </c>
      <c r="B1411" s="9" t="s">
        <v>9</v>
      </c>
      <c r="C1411" s="9">
        <v>1918</v>
      </c>
      <c r="D1411" s="10">
        <v>45663</v>
      </c>
      <c r="E1411" s="13" t="str">
        <f>+HYPERLINK("http://trademark.i-assist.jp/data/china/image_1918th/81496766.pdf","81496766")</f>
        <v>81496766</v>
      </c>
      <c r="F1411" s="12" t="s">
        <v>3863</v>
      </c>
      <c r="G1411" s="9" t="s">
        <v>3864</v>
      </c>
      <c r="H1411" s="9" t="s">
        <v>3865</v>
      </c>
      <c r="I1411" s="10">
        <v>45586</v>
      </c>
    </row>
    <row r="1412" spans="1:9" x14ac:dyDescent="0.15">
      <c r="A1412" s="9">
        <v>1411</v>
      </c>
      <c r="B1412" s="9" t="s">
        <v>9</v>
      </c>
      <c r="C1412" s="9">
        <v>1918</v>
      </c>
      <c r="D1412" s="10">
        <v>45663</v>
      </c>
      <c r="E1412" s="13" t="str">
        <f>+HYPERLINK("http://trademark.i-assist.jp/data/china/image_1918th/81496882.pdf","81496882")</f>
        <v>81496882</v>
      </c>
      <c r="F1412" s="12" t="s">
        <v>12</v>
      </c>
      <c r="G1412" s="9" t="s">
        <v>3866</v>
      </c>
      <c r="H1412" s="9" t="s">
        <v>3867</v>
      </c>
      <c r="I1412" s="10">
        <v>45586</v>
      </c>
    </row>
    <row r="1413" spans="1:9" x14ac:dyDescent="0.15">
      <c r="A1413" s="9">
        <v>1412</v>
      </c>
      <c r="B1413" s="9" t="s">
        <v>9</v>
      </c>
      <c r="C1413" s="9">
        <v>1918</v>
      </c>
      <c r="D1413" s="10">
        <v>45663</v>
      </c>
      <c r="E1413" s="13" t="str">
        <f>+HYPERLINK("http://trademark.i-assist.jp/data/china/image_1918th/81497032.pdf","81497032")</f>
        <v>81497032</v>
      </c>
      <c r="F1413" s="9" t="s">
        <v>3868</v>
      </c>
      <c r="G1413" s="9" t="s">
        <v>3834</v>
      </c>
      <c r="H1413" s="9" t="s">
        <v>3869</v>
      </c>
      <c r="I1413" s="10">
        <v>45586</v>
      </c>
    </row>
    <row r="1414" spans="1:9" x14ac:dyDescent="0.15">
      <c r="A1414" s="9">
        <v>1413</v>
      </c>
      <c r="B1414" s="9" t="s">
        <v>9</v>
      </c>
      <c r="C1414" s="9">
        <v>1918</v>
      </c>
      <c r="D1414" s="10">
        <v>45663</v>
      </c>
      <c r="E1414" s="13" t="str">
        <f>+HYPERLINK("http://trademark.i-assist.jp/data/china/image_1918th/81497428.pdf","81497428")</f>
        <v>81497428</v>
      </c>
      <c r="F1414" s="9" t="s">
        <v>3870</v>
      </c>
      <c r="G1414" s="9" t="s">
        <v>3753</v>
      </c>
      <c r="H1414" s="9" t="s">
        <v>3871</v>
      </c>
      <c r="I1414" s="10">
        <v>45586</v>
      </c>
    </row>
    <row r="1415" spans="1:9" x14ac:dyDescent="0.15">
      <c r="A1415" s="9">
        <v>1414</v>
      </c>
      <c r="B1415" s="9" t="s">
        <v>9</v>
      </c>
      <c r="C1415" s="9">
        <v>1918</v>
      </c>
      <c r="D1415" s="10">
        <v>45663</v>
      </c>
      <c r="E1415" s="13" t="str">
        <f>+HYPERLINK("http://trademark.i-assist.jp/data/china/image_1918th/81498163.pdf","81498163")</f>
        <v>81498163</v>
      </c>
      <c r="F1415" s="9" t="s">
        <v>3872</v>
      </c>
      <c r="G1415" s="9" t="s">
        <v>3873</v>
      </c>
      <c r="H1415" s="12" t="s">
        <v>3874</v>
      </c>
      <c r="I1415" s="10">
        <v>45586</v>
      </c>
    </row>
    <row r="1416" spans="1:9" x14ac:dyDescent="0.15">
      <c r="A1416" s="9">
        <v>1415</v>
      </c>
      <c r="B1416" s="9" t="s">
        <v>9</v>
      </c>
      <c r="C1416" s="9">
        <v>1918</v>
      </c>
      <c r="D1416" s="10">
        <v>45663</v>
      </c>
      <c r="E1416" s="13" t="str">
        <f>+HYPERLINK("http://trademark.i-assist.jp/data/china/image_1918th/81498218.pdf","81498218")</f>
        <v>81498218</v>
      </c>
      <c r="F1416" s="9" t="s">
        <v>3875</v>
      </c>
      <c r="G1416" s="9" t="s">
        <v>3876</v>
      </c>
      <c r="H1416" s="9" t="s">
        <v>3877</v>
      </c>
      <c r="I1416" s="10">
        <v>45586</v>
      </c>
    </row>
    <row r="1417" spans="1:9" x14ac:dyDescent="0.15">
      <c r="A1417" s="9">
        <v>1416</v>
      </c>
      <c r="B1417" s="9" t="s">
        <v>9</v>
      </c>
      <c r="C1417" s="9">
        <v>1918</v>
      </c>
      <c r="D1417" s="10">
        <v>45663</v>
      </c>
      <c r="E1417" s="13" t="str">
        <f>+HYPERLINK("http://trademark.i-assist.jp/data/china/image_1918th/81498281.pdf","81498281")</f>
        <v>81498281</v>
      </c>
      <c r="F1417" s="12" t="s">
        <v>12</v>
      </c>
      <c r="G1417" s="9" t="s">
        <v>3878</v>
      </c>
      <c r="H1417" s="9" t="s">
        <v>3879</v>
      </c>
      <c r="I1417" s="10">
        <v>45586</v>
      </c>
    </row>
    <row r="1418" spans="1:9" x14ac:dyDescent="0.15">
      <c r="A1418" s="9">
        <v>1417</v>
      </c>
      <c r="B1418" s="9" t="s">
        <v>9</v>
      </c>
      <c r="C1418" s="9">
        <v>1918</v>
      </c>
      <c r="D1418" s="10">
        <v>45663</v>
      </c>
      <c r="E1418" s="13" t="str">
        <f>+HYPERLINK("http://trademark.i-assist.jp/data/china/image_1918th/81498649.pdf","81498649")</f>
        <v>81498649</v>
      </c>
      <c r="F1418" s="9" t="s">
        <v>3880</v>
      </c>
      <c r="G1418" s="12" t="s">
        <v>3881</v>
      </c>
      <c r="H1418" s="9" t="s">
        <v>3882</v>
      </c>
      <c r="I1418" s="10">
        <v>45586</v>
      </c>
    </row>
    <row r="1419" spans="1:9" x14ac:dyDescent="0.15">
      <c r="A1419" s="9">
        <v>1418</v>
      </c>
      <c r="B1419" s="9" t="s">
        <v>9</v>
      </c>
      <c r="C1419" s="9">
        <v>1918</v>
      </c>
      <c r="D1419" s="10">
        <v>45663</v>
      </c>
      <c r="E1419" s="13" t="str">
        <f>+HYPERLINK("http://trademark.i-assist.jp/data/china/image_1918th/81498743.pdf","81498743")</f>
        <v>81498743</v>
      </c>
      <c r="F1419" s="9" t="s">
        <v>3883</v>
      </c>
      <c r="G1419" s="9" t="s">
        <v>3777</v>
      </c>
      <c r="H1419" s="9" t="s">
        <v>3884</v>
      </c>
      <c r="I1419" s="10">
        <v>45586</v>
      </c>
    </row>
    <row r="1420" spans="1:9" x14ac:dyDescent="0.15">
      <c r="A1420" s="9">
        <v>1419</v>
      </c>
      <c r="B1420" s="9" t="s">
        <v>9</v>
      </c>
      <c r="C1420" s="9">
        <v>1918</v>
      </c>
      <c r="D1420" s="10">
        <v>45663</v>
      </c>
      <c r="E1420" s="13" t="str">
        <f>+HYPERLINK("http://trademark.i-assist.jp/data/china/image_1918th/81499632.pdf","81499632")</f>
        <v>81499632</v>
      </c>
      <c r="F1420" s="9" t="s">
        <v>3885</v>
      </c>
      <c r="G1420" s="12" t="s">
        <v>3759</v>
      </c>
      <c r="H1420" s="9" t="s">
        <v>3886</v>
      </c>
      <c r="I1420" s="10">
        <v>45586</v>
      </c>
    </row>
    <row r="1421" spans="1:9" x14ac:dyDescent="0.15">
      <c r="A1421" s="9">
        <v>1420</v>
      </c>
      <c r="B1421" s="9" t="s">
        <v>9</v>
      </c>
      <c r="C1421" s="9">
        <v>1918</v>
      </c>
      <c r="D1421" s="10">
        <v>45663</v>
      </c>
      <c r="E1421" s="13" t="str">
        <f>+HYPERLINK("http://trademark.i-assist.jp/data/china/image_1918th/81500062.pdf","81500062")</f>
        <v>81500062</v>
      </c>
      <c r="F1421" s="9" t="s">
        <v>3887</v>
      </c>
      <c r="G1421" s="9" t="s">
        <v>3888</v>
      </c>
      <c r="H1421" s="9" t="s">
        <v>3889</v>
      </c>
      <c r="I1421" s="10">
        <v>45586</v>
      </c>
    </row>
    <row r="1422" spans="1:9" x14ac:dyDescent="0.15">
      <c r="A1422" s="9">
        <v>1421</v>
      </c>
      <c r="B1422" s="9" t="s">
        <v>9</v>
      </c>
      <c r="C1422" s="9">
        <v>1918</v>
      </c>
      <c r="D1422" s="10">
        <v>45663</v>
      </c>
      <c r="E1422" s="13" t="str">
        <f>+HYPERLINK("http://trademark.i-assist.jp/data/china/image_1918th/81500207.pdf","81500207")</f>
        <v>81500207</v>
      </c>
      <c r="F1422" s="12" t="s">
        <v>3890</v>
      </c>
      <c r="G1422" s="12" t="s">
        <v>3891</v>
      </c>
      <c r="H1422" s="9" t="s">
        <v>3892</v>
      </c>
      <c r="I1422" s="10">
        <v>45586</v>
      </c>
    </row>
    <row r="1423" spans="1:9" x14ac:dyDescent="0.15">
      <c r="A1423" s="9">
        <v>1422</v>
      </c>
      <c r="B1423" s="9" t="s">
        <v>9</v>
      </c>
      <c r="C1423" s="9">
        <v>1918</v>
      </c>
      <c r="D1423" s="10">
        <v>45663</v>
      </c>
      <c r="E1423" s="13" t="str">
        <f>+HYPERLINK("http://trademark.i-assist.jp/data/china/image_1918th/81500400.pdf","81500400")</f>
        <v>81500400</v>
      </c>
      <c r="F1423" s="9" t="s">
        <v>3893</v>
      </c>
      <c r="G1423" s="12" t="s">
        <v>3894</v>
      </c>
      <c r="H1423" s="9" t="s">
        <v>3895</v>
      </c>
      <c r="I1423" s="10">
        <v>45586</v>
      </c>
    </row>
    <row r="1424" spans="1:9" x14ac:dyDescent="0.15">
      <c r="A1424" s="9">
        <v>1423</v>
      </c>
      <c r="B1424" s="9" t="s">
        <v>9</v>
      </c>
      <c r="C1424" s="9">
        <v>1918</v>
      </c>
      <c r="D1424" s="10">
        <v>45663</v>
      </c>
      <c r="E1424" s="13" t="str">
        <f>+HYPERLINK("http://trademark.i-assist.jp/data/china/image_1918th/81500427.pdf","81500427")</f>
        <v>81500427</v>
      </c>
      <c r="F1424" s="12" t="s">
        <v>3896</v>
      </c>
      <c r="G1424" s="9" t="s">
        <v>3897</v>
      </c>
      <c r="H1424" s="9" t="s">
        <v>3898</v>
      </c>
      <c r="I1424" s="10">
        <v>45586</v>
      </c>
    </row>
    <row r="1425" spans="1:9" x14ac:dyDescent="0.15">
      <c r="A1425" s="9">
        <v>1424</v>
      </c>
      <c r="B1425" s="9" t="s">
        <v>9</v>
      </c>
      <c r="C1425" s="9">
        <v>1918</v>
      </c>
      <c r="D1425" s="10">
        <v>45663</v>
      </c>
      <c r="E1425" s="13" t="str">
        <f>+HYPERLINK("http://trademark.i-assist.jp/data/china/image_1918th/81500919.pdf","81500919")</f>
        <v>81500919</v>
      </c>
      <c r="F1425" s="12" t="s">
        <v>12</v>
      </c>
      <c r="G1425" s="12" t="s">
        <v>3899</v>
      </c>
      <c r="H1425" s="9" t="s">
        <v>3900</v>
      </c>
      <c r="I1425" s="10">
        <v>45586</v>
      </c>
    </row>
    <row r="1426" spans="1:9" x14ac:dyDescent="0.15">
      <c r="A1426" s="9">
        <v>1425</v>
      </c>
      <c r="B1426" s="9" t="s">
        <v>9</v>
      </c>
      <c r="C1426" s="9">
        <v>1918</v>
      </c>
      <c r="D1426" s="10">
        <v>45663</v>
      </c>
      <c r="E1426" s="13" t="str">
        <f>+HYPERLINK("http://trademark.i-assist.jp/data/china/image_1918th/81501038.pdf","81501038")</f>
        <v>81501038</v>
      </c>
      <c r="F1426" s="9" t="s">
        <v>3901</v>
      </c>
      <c r="G1426" s="9" t="s">
        <v>3902</v>
      </c>
      <c r="H1426" s="9" t="s">
        <v>3903</v>
      </c>
      <c r="I1426" s="10">
        <v>45586</v>
      </c>
    </row>
    <row r="1427" spans="1:9" x14ac:dyDescent="0.15">
      <c r="A1427" s="9">
        <v>1426</v>
      </c>
      <c r="B1427" s="9" t="s">
        <v>9</v>
      </c>
      <c r="C1427" s="9">
        <v>1918</v>
      </c>
      <c r="D1427" s="10">
        <v>45663</v>
      </c>
      <c r="E1427" s="13" t="str">
        <f>+HYPERLINK("http://trademark.i-assist.jp/data/china/image_1918th/81501101.pdf","81501101")</f>
        <v>81501101</v>
      </c>
      <c r="F1427" s="12" t="s">
        <v>12</v>
      </c>
      <c r="G1427" s="9" t="s">
        <v>3904</v>
      </c>
      <c r="H1427" s="9" t="s">
        <v>3905</v>
      </c>
      <c r="I1427" s="10">
        <v>45586</v>
      </c>
    </row>
    <row r="1428" spans="1:9" x14ac:dyDescent="0.15">
      <c r="A1428" s="9">
        <v>1427</v>
      </c>
      <c r="B1428" s="9" t="s">
        <v>9</v>
      </c>
      <c r="C1428" s="9">
        <v>1918</v>
      </c>
      <c r="D1428" s="10">
        <v>45663</v>
      </c>
      <c r="E1428" s="13" t="str">
        <f>+HYPERLINK("http://trademark.i-assist.jp/data/china/image_1918th/81501875.pdf","81501875")</f>
        <v>81501875</v>
      </c>
      <c r="F1428" s="9" t="s">
        <v>3906</v>
      </c>
      <c r="G1428" s="12" t="s">
        <v>2856</v>
      </c>
      <c r="H1428" s="12" t="s">
        <v>3907</v>
      </c>
      <c r="I1428" s="10">
        <v>45586</v>
      </c>
    </row>
    <row r="1429" spans="1:9" x14ac:dyDescent="0.15">
      <c r="A1429" s="9">
        <v>1428</v>
      </c>
      <c r="B1429" s="9" t="s">
        <v>9</v>
      </c>
      <c r="C1429" s="9">
        <v>1918</v>
      </c>
      <c r="D1429" s="10">
        <v>45663</v>
      </c>
      <c r="E1429" s="13" t="str">
        <f>+HYPERLINK("http://trademark.i-assist.jp/data/china/image_1918th/81502019.pdf","81502019")</f>
        <v>81502019</v>
      </c>
      <c r="F1429" s="12" t="s">
        <v>3908</v>
      </c>
      <c r="G1429" s="9" t="s">
        <v>3909</v>
      </c>
      <c r="H1429" s="9" t="s">
        <v>3910</v>
      </c>
      <c r="I1429" s="10">
        <v>45586</v>
      </c>
    </row>
    <row r="1430" spans="1:9" x14ac:dyDescent="0.15">
      <c r="A1430" s="9">
        <v>1429</v>
      </c>
      <c r="B1430" s="9" t="s">
        <v>9</v>
      </c>
      <c r="C1430" s="9">
        <v>1918</v>
      </c>
      <c r="D1430" s="10">
        <v>45663</v>
      </c>
      <c r="E1430" s="13" t="str">
        <f>+HYPERLINK("http://trademark.i-assist.jp/data/china/image_1918th/81502277.pdf","81502277")</f>
        <v>81502277</v>
      </c>
      <c r="F1430" s="12" t="s">
        <v>12</v>
      </c>
      <c r="G1430" s="9" t="s">
        <v>3911</v>
      </c>
      <c r="H1430" s="9" t="s">
        <v>3912</v>
      </c>
      <c r="I1430" s="10">
        <v>45586</v>
      </c>
    </row>
    <row r="1431" spans="1:9" x14ac:dyDescent="0.15">
      <c r="A1431" s="9">
        <v>1430</v>
      </c>
      <c r="B1431" s="9" t="s">
        <v>9</v>
      </c>
      <c r="C1431" s="9">
        <v>1918</v>
      </c>
      <c r="D1431" s="10">
        <v>45663</v>
      </c>
      <c r="E1431" s="13" t="str">
        <f>+HYPERLINK("http://trademark.i-assist.jp/data/china/image_1918th/81502321.pdf","81502321")</f>
        <v>81502321</v>
      </c>
      <c r="F1431" s="9" t="s">
        <v>3913</v>
      </c>
      <c r="G1431" s="12" t="s">
        <v>3914</v>
      </c>
      <c r="H1431" s="9" t="s">
        <v>3915</v>
      </c>
      <c r="I1431" s="10">
        <v>45586</v>
      </c>
    </row>
    <row r="1432" spans="1:9" x14ac:dyDescent="0.15">
      <c r="A1432" s="9">
        <v>1431</v>
      </c>
      <c r="B1432" s="9" t="s">
        <v>9</v>
      </c>
      <c r="C1432" s="9">
        <v>1918</v>
      </c>
      <c r="D1432" s="10">
        <v>45663</v>
      </c>
      <c r="E1432" s="13" t="str">
        <f>+HYPERLINK("http://trademark.i-assist.jp/data/china/image_1918th/81502624.pdf","81502624")</f>
        <v>81502624</v>
      </c>
      <c r="F1432" s="9" t="s">
        <v>3916</v>
      </c>
      <c r="G1432" s="9" t="s">
        <v>3917</v>
      </c>
      <c r="H1432" s="9" t="s">
        <v>3918</v>
      </c>
      <c r="I1432" s="10">
        <v>45586</v>
      </c>
    </row>
    <row r="1433" spans="1:9" x14ac:dyDescent="0.15">
      <c r="A1433" s="9">
        <v>1432</v>
      </c>
      <c r="B1433" s="9" t="s">
        <v>9</v>
      </c>
      <c r="C1433" s="9">
        <v>1918</v>
      </c>
      <c r="D1433" s="10">
        <v>45663</v>
      </c>
      <c r="E1433" s="13" t="str">
        <f>+HYPERLINK("http://trademark.i-assist.jp/data/china/image_1918th/81502958.pdf","81502958")</f>
        <v>81502958</v>
      </c>
      <c r="F1433" s="9" t="s">
        <v>3919</v>
      </c>
      <c r="G1433" s="12" t="s">
        <v>3920</v>
      </c>
      <c r="H1433" s="9" t="s">
        <v>3921</v>
      </c>
      <c r="I1433" s="10">
        <v>45586</v>
      </c>
    </row>
    <row r="1434" spans="1:9" x14ac:dyDescent="0.15">
      <c r="A1434" s="9">
        <v>1433</v>
      </c>
      <c r="B1434" s="9" t="s">
        <v>9</v>
      </c>
      <c r="C1434" s="9">
        <v>1918</v>
      </c>
      <c r="D1434" s="10">
        <v>45663</v>
      </c>
      <c r="E1434" s="13" t="str">
        <f>+HYPERLINK("http://trademark.i-assist.jp/data/china/image_1918th/81502964.pdf","81502964")</f>
        <v>81502964</v>
      </c>
      <c r="F1434" s="9" t="s">
        <v>3922</v>
      </c>
      <c r="G1434" s="12" t="s">
        <v>3920</v>
      </c>
      <c r="H1434" s="9" t="s">
        <v>3923</v>
      </c>
      <c r="I1434" s="10">
        <v>45586</v>
      </c>
    </row>
    <row r="1435" spans="1:9" x14ac:dyDescent="0.15">
      <c r="A1435" s="9">
        <v>1434</v>
      </c>
      <c r="B1435" s="9" t="s">
        <v>9</v>
      </c>
      <c r="C1435" s="9">
        <v>1918</v>
      </c>
      <c r="D1435" s="10">
        <v>45663</v>
      </c>
      <c r="E1435" s="13" t="str">
        <f>+HYPERLINK("http://trademark.i-assist.jp/data/china/image_1918th/81503020.pdf","81503020")</f>
        <v>81503020</v>
      </c>
      <c r="F1435" s="12" t="s">
        <v>3924</v>
      </c>
      <c r="G1435" s="9" t="s">
        <v>3925</v>
      </c>
      <c r="H1435" s="9" t="s">
        <v>3926</v>
      </c>
      <c r="I1435" s="10">
        <v>45586</v>
      </c>
    </row>
    <row r="1436" spans="1:9" x14ac:dyDescent="0.15">
      <c r="A1436" s="9">
        <v>1435</v>
      </c>
      <c r="B1436" s="9" t="s">
        <v>9</v>
      </c>
      <c r="C1436" s="9">
        <v>1918</v>
      </c>
      <c r="D1436" s="10">
        <v>45663</v>
      </c>
      <c r="E1436" s="13" t="str">
        <f>+HYPERLINK("http://trademark.i-assist.jp/data/china/image_1918th/81503704.pdf","81503704")</f>
        <v>81503704</v>
      </c>
      <c r="F1436" s="9" t="s">
        <v>3927</v>
      </c>
      <c r="G1436" s="9" t="s">
        <v>3888</v>
      </c>
      <c r="H1436" s="9" t="s">
        <v>3928</v>
      </c>
      <c r="I1436" s="10">
        <v>45586</v>
      </c>
    </row>
    <row r="1437" spans="1:9" x14ac:dyDescent="0.15">
      <c r="A1437" s="9">
        <v>1436</v>
      </c>
      <c r="B1437" s="9" t="s">
        <v>9</v>
      </c>
      <c r="C1437" s="9">
        <v>1918</v>
      </c>
      <c r="D1437" s="10">
        <v>45663</v>
      </c>
      <c r="E1437" s="13" t="str">
        <f>+HYPERLINK("http://trademark.i-assist.jp/data/china/image_1918th/81503787.pdf","81503787")</f>
        <v>81503787</v>
      </c>
      <c r="F1437" s="9" t="s">
        <v>3929</v>
      </c>
      <c r="G1437" s="9" t="s">
        <v>66</v>
      </c>
      <c r="H1437" s="9" t="s">
        <v>3930</v>
      </c>
      <c r="I1437" s="10">
        <v>45586</v>
      </c>
    </row>
    <row r="1438" spans="1:9" x14ac:dyDescent="0.15">
      <c r="A1438" s="9">
        <v>1437</v>
      </c>
      <c r="B1438" s="9" t="s">
        <v>9</v>
      </c>
      <c r="C1438" s="9">
        <v>1918</v>
      </c>
      <c r="D1438" s="10">
        <v>45663</v>
      </c>
      <c r="E1438" s="13" t="str">
        <f>+HYPERLINK("http://trademark.i-assist.jp/data/china/image_1918th/81503898.pdf","81503898")</f>
        <v>81503898</v>
      </c>
      <c r="F1438" s="9" t="s">
        <v>3931</v>
      </c>
      <c r="G1438" s="9" t="s">
        <v>3756</v>
      </c>
      <c r="H1438" s="12" t="s">
        <v>3932</v>
      </c>
      <c r="I1438" s="10">
        <v>45586</v>
      </c>
    </row>
    <row r="1439" spans="1:9" x14ac:dyDescent="0.15">
      <c r="A1439" s="9">
        <v>1438</v>
      </c>
      <c r="B1439" s="9" t="s">
        <v>9</v>
      </c>
      <c r="C1439" s="9">
        <v>1918</v>
      </c>
      <c r="D1439" s="10">
        <v>45663</v>
      </c>
      <c r="E1439" s="13" t="str">
        <f>+HYPERLINK("http://trademark.i-assist.jp/data/china/image_1918th/81504203.pdf","81504203")</f>
        <v>81504203</v>
      </c>
      <c r="F1439" s="9" t="s">
        <v>3933</v>
      </c>
      <c r="G1439" s="9" t="s">
        <v>3934</v>
      </c>
      <c r="H1439" s="9" t="s">
        <v>3935</v>
      </c>
      <c r="I1439" s="10">
        <v>45586</v>
      </c>
    </row>
    <row r="1440" spans="1:9" x14ac:dyDescent="0.15">
      <c r="A1440" s="9">
        <v>1439</v>
      </c>
      <c r="B1440" s="9" t="s">
        <v>9</v>
      </c>
      <c r="C1440" s="9">
        <v>1918</v>
      </c>
      <c r="D1440" s="10">
        <v>45663</v>
      </c>
      <c r="E1440" s="13" t="str">
        <f>+HYPERLINK("http://trademark.i-assist.jp/data/china/image_1918th/81504372.pdf","81504372")</f>
        <v>81504372</v>
      </c>
      <c r="F1440" s="12" t="s">
        <v>12</v>
      </c>
      <c r="G1440" s="12" t="s">
        <v>3899</v>
      </c>
      <c r="H1440" s="12" t="s">
        <v>3936</v>
      </c>
      <c r="I1440" s="10">
        <v>45586</v>
      </c>
    </row>
    <row r="1441" spans="1:9" x14ac:dyDescent="0.15">
      <c r="A1441" s="9">
        <v>1440</v>
      </c>
      <c r="B1441" s="9" t="s">
        <v>9</v>
      </c>
      <c r="C1441" s="9">
        <v>1918</v>
      </c>
      <c r="D1441" s="10">
        <v>45663</v>
      </c>
      <c r="E1441" s="13" t="str">
        <f>+HYPERLINK("http://trademark.i-assist.jp/data/china/image_1918th/81505181.pdf","81505181")</f>
        <v>81505181</v>
      </c>
      <c r="F1441" s="12" t="s">
        <v>3937</v>
      </c>
      <c r="G1441" s="9" t="s">
        <v>3938</v>
      </c>
      <c r="H1441" s="9" t="s">
        <v>3939</v>
      </c>
      <c r="I1441" s="10">
        <v>45586</v>
      </c>
    </row>
    <row r="1442" spans="1:9" x14ac:dyDescent="0.15">
      <c r="A1442" s="9">
        <v>1441</v>
      </c>
      <c r="B1442" s="9" t="s">
        <v>9</v>
      </c>
      <c r="C1442" s="9">
        <v>1918</v>
      </c>
      <c r="D1442" s="10">
        <v>45663</v>
      </c>
      <c r="E1442" s="13" t="str">
        <f>+HYPERLINK("http://trademark.i-assist.jp/data/china/image_1918th/81505518.pdf","81505518")</f>
        <v>81505518</v>
      </c>
      <c r="F1442" s="9" t="s">
        <v>3940</v>
      </c>
      <c r="G1442" s="9" t="s">
        <v>3917</v>
      </c>
      <c r="H1442" s="9" t="s">
        <v>3941</v>
      </c>
      <c r="I1442" s="10">
        <v>45586</v>
      </c>
    </row>
    <row r="1443" spans="1:9" x14ac:dyDescent="0.15">
      <c r="A1443" s="9">
        <v>1442</v>
      </c>
      <c r="B1443" s="9" t="s">
        <v>9</v>
      </c>
      <c r="C1443" s="9">
        <v>1918</v>
      </c>
      <c r="D1443" s="10">
        <v>45663</v>
      </c>
      <c r="E1443" s="13" t="str">
        <f>+HYPERLINK("http://trademark.i-assist.jp/data/china/image_1918th/81505602.pdf","81505602")</f>
        <v>81505602</v>
      </c>
      <c r="F1443" s="9" t="s">
        <v>3942</v>
      </c>
      <c r="G1443" s="9" t="s">
        <v>3942</v>
      </c>
      <c r="H1443" s="9" t="s">
        <v>3943</v>
      </c>
      <c r="I1443" s="10">
        <v>45586</v>
      </c>
    </row>
    <row r="1444" spans="1:9" x14ac:dyDescent="0.15">
      <c r="A1444" s="9">
        <v>1443</v>
      </c>
      <c r="B1444" s="9" t="s">
        <v>9</v>
      </c>
      <c r="C1444" s="9">
        <v>1918</v>
      </c>
      <c r="D1444" s="10">
        <v>45663</v>
      </c>
      <c r="E1444" s="13" t="str">
        <f>+HYPERLINK("http://trademark.i-assist.jp/data/china/image_1918th/81506124.pdf","81506124")</f>
        <v>81506124</v>
      </c>
      <c r="F1444" s="9" t="s">
        <v>3944</v>
      </c>
      <c r="G1444" s="12" t="s">
        <v>3945</v>
      </c>
      <c r="H1444" s="12" t="s">
        <v>3946</v>
      </c>
      <c r="I1444" s="10">
        <v>45586</v>
      </c>
    </row>
    <row r="1445" spans="1:9" x14ac:dyDescent="0.15">
      <c r="A1445" s="9">
        <v>1444</v>
      </c>
      <c r="B1445" s="9" t="s">
        <v>9</v>
      </c>
      <c r="C1445" s="9">
        <v>1918</v>
      </c>
      <c r="D1445" s="10">
        <v>45663</v>
      </c>
      <c r="E1445" s="13" t="str">
        <f>+HYPERLINK("http://trademark.i-assist.jp/data/china/image_1918th/81506876.pdf","81506876")</f>
        <v>81506876</v>
      </c>
      <c r="F1445" s="12" t="s">
        <v>3947</v>
      </c>
      <c r="G1445" s="9" t="s">
        <v>3948</v>
      </c>
      <c r="H1445" s="9" t="s">
        <v>3949</v>
      </c>
      <c r="I1445" s="10">
        <v>45586</v>
      </c>
    </row>
    <row r="1446" spans="1:9" x14ac:dyDescent="0.15">
      <c r="A1446" s="9">
        <v>1445</v>
      </c>
      <c r="B1446" s="9" t="s">
        <v>9</v>
      </c>
      <c r="C1446" s="9">
        <v>1918</v>
      </c>
      <c r="D1446" s="10">
        <v>45663</v>
      </c>
      <c r="E1446" s="13" t="str">
        <f>+HYPERLINK("http://trademark.i-assist.jp/data/china/image_1918th/81507424.pdf","81507424")</f>
        <v>81507424</v>
      </c>
      <c r="F1446" s="9" t="s">
        <v>3950</v>
      </c>
      <c r="G1446" s="9" t="s">
        <v>40</v>
      </c>
      <c r="H1446" s="9" t="s">
        <v>3951</v>
      </c>
      <c r="I1446" s="10">
        <v>45586</v>
      </c>
    </row>
    <row r="1447" spans="1:9" x14ac:dyDescent="0.15">
      <c r="A1447" s="9">
        <v>1446</v>
      </c>
      <c r="B1447" s="9" t="s">
        <v>9</v>
      </c>
      <c r="C1447" s="9">
        <v>1918</v>
      </c>
      <c r="D1447" s="10">
        <v>45663</v>
      </c>
      <c r="E1447" s="13" t="str">
        <f>+HYPERLINK("http://trademark.i-assist.jp/data/china/image_1918th/81508229.pdf","81508229")</f>
        <v>81508229</v>
      </c>
      <c r="F1447" s="12" t="s">
        <v>3952</v>
      </c>
      <c r="G1447" s="9" t="s">
        <v>23</v>
      </c>
      <c r="H1447" s="9" t="s">
        <v>3953</v>
      </c>
      <c r="I1447" s="10">
        <v>45587</v>
      </c>
    </row>
    <row r="1448" spans="1:9" x14ac:dyDescent="0.15">
      <c r="A1448" s="9">
        <v>1447</v>
      </c>
      <c r="B1448" s="9" t="s">
        <v>9</v>
      </c>
      <c r="C1448" s="9">
        <v>1918</v>
      </c>
      <c r="D1448" s="10">
        <v>45663</v>
      </c>
      <c r="E1448" s="13" t="str">
        <f>+HYPERLINK("http://trademark.i-assist.jp/data/china/image_1918th/81509171.pdf","81509171")</f>
        <v>81509171</v>
      </c>
      <c r="F1448" s="12" t="s">
        <v>12</v>
      </c>
      <c r="G1448" s="9" t="s">
        <v>3954</v>
      </c>
      <c r="H1448" s="9" t="s">
        <v>3955</v>
      </c>
      <c r="I1448" s="10">
        <v>45587</v>
      </c>
    </row>
    <row r="1449" spans="1:9" x14ac:dyDescent="0.15">
      <c r="A1449" s="9">
        <v>1448</v>
      </c>
      <c r="B1449" s="9" t="s">
        <v>9</v>
      </c>
      <c r="C1449" s="9">
        <v>1918</v>
      </c>
      <c r="D1449" s="10">
        <v>45663</v>
      </c>
      <c r="E1449" s="13" t="str">
        <f>+HYPERLINK("http://trademark.i-assist.jp/data/china/image_1918th/81510220.pdf","81510220")</f>
        <v>81510220</v>
      </c>
      <c r="F1449" s="9" t="s">
        <v>3956</v>
      </c>
      <c r="G1449" s="9" t="s">
        <v>3957</v>
      </c>
      <c r="H1449" s="12" t="s">
        <v>3958</v>
      </c>
      <c r="I1449" s="10">
        <v>45587</v>
      </c>
    </row>
    <row r="1450" spans="1:9" x14ac:dyDescent="0.15">
      <c r="A1450" s="9">
        <v>1449</v>
      </c>
      <c r="B1450" s="9" t="s">
        <v>9</v>
      </c>
      <c r="C1450" s="9">
        <v>1918</v>
      </c>
      <c r="D1450" s="10">
        <v>45663</v>
      </c>
      <c r="E1450" s="13" t="str">
        <f>+HYPERLINK("http://trademark.i-assist.jp/data/china/image_1918th/81510336.pdf","81510336")</f>
        <v>81510336</v>
      </c>
      <c r="F1450" s="9" t="s">
        <v>3959</v>
      </c>
      <c r="G1450" s="9" t="s">
        <v>3960</v>
      </c>
      <c r="H1450" s="12" t="s">
        <v>3961</v>
      </c>
      <c r="I1450" s="10">
        <v>45587</v>
      </c>
    </row>
    <row r="1451" spans="1:9" x14ac:dyDescent="0.15">
      <c r="A1451" s="9">
        <v>1450</v>
      </c>
      <c r="B1451" s="9" t="s">
        <v>9</v>
      </c>
      <c r="C1451" s="9">
        <v>1918</v>
      </c>
      <c r="D1451" s="10">
        <v>45663</v>
      </c>
      <c r="E1451" s="13" t="str">
        <f>+HYPERLINK("http://trademark.i-assist.jp/data/china/image_1918th/81510519.pdf","81510519")</f>
        <v>81510519</v>
      </c>
      <c r="F1451" s="9" t="s">
        <v>3962</v>
      </c>
      <c r="G1451" s="9" t="s">
        <v>3963</v>
      </c>
      <c r="H1451" s="9" t="s">
        <v>3964</v>
      </c>
      <c r="I1451" s="10">
        <v>45587</v>
      </c>
    </row>
    <row r="1452" spans="1:9" x14ac:dyDescent="0.15">
      <c r="A1452" s="9">
        <v>1451</v>
      </c>
      <c r="B1452" s="9" t="s">
        <v>9</v>
      </c>
      <c r="C1452" s="9">
        <v>1918</v>
      </c>
      <c r="D1452" s="10">
        <v>45663</v>
      </c>
      <c r="E1452" s="13" t="str">
        <f>+HYPERLINK("http://trademark.i-assist.jp/data/china/image_1918th/81511398.pdf","81511398")</f>
        <v>81511398</v>
      </c>
      <c r="F1452" s="9" t="s">
        <v>3965</v>
      </c>
      <c r="G1452" s="12" t="s">
        <v>3966</v>
      </c>
      <c r="H1452" s="9" t="s">
        <v>3967</v>
      </c>
      <c r="I1452" s="10">
        <v>45587</v>
      </c>
    </row>
    <row r="1453" spans="1:9" x14ac:dyDescent="0.15">
      <c r="A1453" s="9">
        <v>1452</v>
      </c>
      <c r="B1453" s="9" t="s">
        <v>9</v>
      </c>
      <c r="C1453" s="9">
        <v>1918</v>
      </c>
      <c r="D1453" s="10">
        <v>45663</v>
      </c>
      <c r="E1453" s="13" t="str">
        <f>+HYPERLINK("http://trademark.i-assist.jp/data/china/image_1918th/81511537.pdf","81511537")</f>
        <v>81511537</v>
      </c>
      <c r="F1453" s="12" t="s">
        <v>3968</v>
      </c>
      <c r="G1453" s="9" t="s">
        <v>23</v>
      </c>
      <c r="H1453" s="9" t="s">
        <v>3969</v>
      </c>
      <c r="I1453" s="10">
        <v>45587</v>
      </c>
    </row>
    <row r="1454" spans="1:9" x14ac:dyDescent="0.15">
      <c r="A1454" s="9">
        <v>1453</v>
      </c>
      <c r="B1454" s="9" t="s">
        <v>9</v>
      </c>
      <c r="C1454" s="9">
        <v>1918</v>
      </c>
      <c r="D1454" s="10">
        <v>45663</v>
      </c>
      <c r="E1454" s="13" t="str">
        <f>+HYPERLINK("http://trademark.i-assist.jp/data/china/image_1918th/81512487.pdf","81512487")</f>
        <v>81512487</v>
      </c>
      <c r="F1454" s="9" t="s">
        <v>3970</v>
      </c>
      <c r="G1454" s="12" t="s">
        <v>3971</v>
      </c>
      <c r="H1454" s="9" t="s">
        <v>3972</v>
      </c>
      <c r="I1454" s="10">
        <v>45587</v>
      </c>
    </row>
    <row r="1455" spans="1:9" x14ac:dyDescent="0.15">
      <c r="A1455" s="9">
        <v>1454</v>
      </c>
      <c r="B1455" s="9" t="s">
        <v>9</v>
      </c>
      <c r="C1455" s="9">
        <v>1918</v>
      </c>
      <c r="D1455" s="10">
        <v>45663</v>
      </c>
      <c r="E1455" s="13" t="str">
        <f>+HYPERLINK("http://trademark.i-assist.jp/data/china/image_1918th/81512711.pdf","81512711")</f>
        <v>81512711</v>
      </c>
      <c r="F1455" s="9" t="s">
        <v>3973</v>
      </c>
      <c r="G1455" s="9" t="s">
        <v>3974</v>
      </c>
      <c r="H1455" s="9" t="s">
        <v>3975</v>
      </c>
      <c r="I1455" s="10">
        <v>45587</v>
      </c>
    </row>
    <row r="1456" spans="1:9" x14ac:dyDescent="0.15">
      <c r="A1456" s="9">
        <v>1455</v>
      </c>
      <c r="B1456" s="9" t="s">
        <v>9</v>
      </c>
      <c r="C1456" s="9">
        <v>1918</v>
      </c>
      <c r="D1456" s="10">
        <v>45663</v>
      </c>
      <c r="E1456" s="13" t="str">
        <f>+HYPERLINK("http://trademark.i-assist.jp/data/china/image_1918th/81512855.pdf","81512855")</f>
        <v>81512855</v>
      </c>
      <c r="F1456" s="9" t="s">
        <v>3976</v>
      </c>
      <c r="G1456" s="9" t="s">
        <v>3977</v>
      </c>
      <c r="H1456" s="9" t="s">
        <v>3978</v>
      </c>
      <c r="I1456" s="10">
        <v>45587</v>
      </c>
    </row>
    <row r="1457" spans="1:9" x14ac:dyDescent="0.15">
      <c r="A1457" s="9">
        <v>1456</v>
      </c>
      <c r="B1457" s="9" t="s">
        <v>9</v>
      </c>
      <c r="C1457" s="9">
        <v>1918</v>
      </c>
      <c r="D1457" s="10">
        <v>45663</v>
      </c>
      <c r="E1457" s="13" t="str">
        <f>+HYPERLINK("http://trademark.i-assist.jp/data/china/image_1918th/81513039.pdf","81513039")</f>
        <v>81513039</v>
      </c>
      <c r="F1457" s="9" t="s">
        <v>3979</v>
      </c>
      <c r="G1457" s="12" t="s">
        <v>3980</v>
      </c>
      <c r="H1457" s="9" t="s">
        <v>3981</v>
      </c>
      <c r="I1457" s="10">
        <v>45587</v>
      </c>
    </row>
    <row r="1458" spans="1:9" x14ac:dyDescent="0.15">
      <c r="A1458" s="9">
        <v>1457</v>
      </c>
      <c r="B1458" s="9" t="s">
        <v>9</v>
      </c>
      <c r="C1458" s="9">
        <v>1918</v>
      </c>
      <c r="D1458" s="10">
        <v>45663</v>
      </c>
      <c r="E1458" s="13" t="str">
        <f>+HYPERLINK("http://trademark.i-assist.jp/data/china/image_1918th/81513824.pdf","81513824")</f>
        <v>81513824</v>
      </c>
      <c r="F1458" s="12" t="s">
        <v>3982</v>
      </c>
      <c r="G1458" s="12" t="s">
        <v>3983</v>
      </c>
      <c r="H1458" s="9" t="s">
        <v>3984</v>
      </c>
      <c r="I1458" s="10">
        <v>45587</v>
      </c>
    </row>
    <row r="1459" spans="1:9" x14ac:dyDescent="0.15">
      <c r="A1459" s="9">
        <v>1458</v>
      </c>
      <c r="B1459" s="9" t="s">
        <v>9</v>
      </c>
      <c r="C1459" s="9">
        <v>1918</v>
      </c>
      <c r="D1459" s="10">
        <v>45663</v>
      </c>
      <c r="E1459" s="13" t="str">
        <f>+HYPERLINK("http://trademark.i-assist.jp/data/china/image_1918th/81515454.pdf","81515454")</f>
        <v>81515454</v>
      </c>
      <c r="F1459" s="12" t="s">
        <v>3985</v>
      </c>
      <c r="G1459" s="9" t="s">
        <v>3986</v>
      </c>
      <c r="H1459" s="9" t="s">
        <v>3987</v>
      </c>
      <c r="I1459" s="10">
        <v>45587</v>
      </c>
    </row>
    <row r="1460" spans="1:9" x14ac:dyDescent="0.15">
      <c r="A1460" s="9">
        <v>1459</v>
      </c>
      <c r="B1460" s="9" t="s">
        <v>9</v>
      </c>
      <c r="C1460" s="9">
        <v>1918</v>
      </c>
      <c r="D1460" s="10">
        <v>45663</v>
      </c>
      <c r="E1460" s="13" t="str">
        <f>+HYPERLINK("http://trademark.i-assist.jp/data/china/image_1918th/81515968.pdf","81515968")</f>
        <v>81515968</v>
      </c>
      <c r="F1460" s="12" t="s">
        <v>12</v>
      </c>
      <c r="G1460" s="9" t="s">
        <v>3988</v>
      </c>
      <c r="H1460" s="9" t="s">
        <v>3989</v>
      </c>
      <c r="I1460" s="10">
        <v>45587</v>
      </c>
    </row>
    <row r="1461" spans="1:9" x14ac:dyDescent="0.15">
      <c r="A1461" s="9">
        <v>1460</v>
      </c>
      <c r="B1461" s="9" t="s">
        <v>9</v>
      </c>
      <c r="C1461" s="9">
        <v>1918</v>
      </c>
      <c r="D1461" s="10">
        <v>45663</v>
      </c>
      <c r="E1461" s="13" t="str">
        <f>+HYPERLINK("http://trademark.i-assist.jp/data/china/image_1918th/81517291.pdf","81517291")</f>
        <v>81517291</v>
      </c>
      <c r="F1461" s="9" t="s">
        <v>3990</v>
      </c>
      <c r="G1461" s="12" t="s">
        <v>3991</v>
      </c>
      <c r="H1461" s="9" t="s">
        <v>3992</v>
      </c>
      <c r="I1461" s="10">
        <v>45587</v>
      </c>
    </row>
    <row r="1462" spans="1:9" x14ac:dyDescent="0.15">
      <c r="A1462" s="9">
        <v>1461</v>
      </c>
      <c r="B1462" s="9" t="s">
        <v>9</v>
      </c>
      <c r="C1462" s="9">
        <v>1918</v>
      </c>
      <c r="D1462" s="10">
        <v>45663</v>
      </c>
      <c r="E1462" s="13" t="str">
        <f>+HYPERLINK("http://trademark.i-assist.jp/data/china/image_1918th/81520513.pdf","81520513")</f>
        <v>81520513</v>
      </c>
      <c r="F1462" s="12" t="s">
        <v>3993</v>
      </c>
      <c r="G1462" s="9" t="s">
        <v>3994</v>
      </c>
      <c r="H1462" s="9" t="s">
        <v>3995</v>
      </c>
      <c r="I1462" s="10">
        <v>45587</v>
      </c>
    </row>
    <row r="1463" spans="1:9" x14ac:dyDescent="0.15">
      <c r="A1463" s="9">
        <v>1462</v>
      </c>
      <c r="B1463" s="9" t="s">
        <v>9</v>
      </c>
      <c r="C1463" s="9">
        <v>1918</v>
      </c>
      <c r="D1463" s="10">
        <v>45663</v>
      </c>
      <c r="E1463" s="13" t="str">
        <f>+HYPERLINK("http://trademark.i-assist.jp/data/china/image_1918th/81520924.pdf","81520924")</f>
        <v>81520924</v>
      </c>
      <c r="F1463" s="9" t="s">
        <v>3996</v>
      </c>
      <c r="G1463" s="9" t="s">
        <v>3997</v>
      </c>
      <c r="H1463" s="9" t="s">
        <v>3998</v>
      </c>
      <c r="I1463" s="10">
        <v>45587</v>
      </c>
    </row>
    <row r="1464" spans="1:9" x14ac:dyDescent="0.15">
      <c r="A1464" s="9">
        <v>1463</v>
      </c>
      <c r="B1464" s="9" t="s">
        <v>9</v>
      </c>
      <c r="C1464" s="9">
        <v>1918</v>
      </c>
      <c r="D1464" s="10">
        <v>45663</v>
      </c>
      <c r="E1464" s="13" t="str">
        <f>+HYPERLINK("http://trademark.i-assist.jp/data/china/image_1918th/81521791.pdf","81521791")</f>
        <v>81521791</v>
      </c>
      <c r="F1464" s="12" t="s">
        <v>3999</v>
      </c>
      <c r="G1464" s="12" t="s">
        <v>4000</v>
      </c>
      <c r="H1464" s="9" t="s">
        <v>4001</v>
      </c>
      <c r="I1464" s="10">
        <v>45587</v>
      </c>
    </row>
    <row r="1465" spans="1:9" x14ac:dyDescent="0.15">
      <c r="A1465" s="9">
        <v>1464</v>
      </c>
      <c r="B1465" s="9" t="s">
        <v>9</v>
      </c>
      <c r="C1465" s="9">
        <v>1918</v>
      </c>
      <c r="D1465" s="10">
        <v>45663</v>
      </c>
      <c r="E1465" s="13" t="str">
        <f>+HYPERLINK("http://trademark.i-assist.jp/data/china/image_1918th/81522660.pdf","81522660")</f>
        <v>81522660</v>
      </c>
      <c r="F1465" s="9" t="s">
        <v>4002</v>
      </c>
      <c r="G1465" s="12" t="s">
        <v>4003</v>
      </c>
      <c r="H1465" s="9" t="s">
        <v>4004</v>
      </c>
      <c r="I1465" s="10">
        <v>45587</v>
      </c>
    </row>
    <row r="1466" spans="1:9" x14ac:dyDescent="0.15">
      <c r="A1466" s="9">
        <v>1465</v>
      </c>
      <c r="B1466" s="9" t="s">
        <v>9</v>
      </c>
      <c r="C1466" s="9">
        <v>1918</v>
      </c>
      <c r="D1466" s="10">
        <v>45663</v>
      </c>
      <c r="E1466" s="13" t="str">
        <f>+HYPERLINK("http://trademark.i-assist.jp/data/china/image_1918th/81522772.pdf","81522772")</f>
        <v>81522772</v>
      </c>
      <c r="F1466" s="9" t="s">
        <v>4005</v>
      </c>
      <c r="G1466" s="9" t="s">
        <v>3977</v>
      </c>
      <c r="H1466" s="9" t="s">
        <v>4006</v>
      </c>
      <c r="I1466" s="10">
        <v>45587</v>
      </c>
    </row>
    <row r="1467" spans="1:9" x14ac:dyDescent="0.15">
      <c r="A1467" s="9">
        <v>1466</v>
      </c>
      <c r="B1467" s="9" t="s">
        <v>9</v>
      </c>
      <c r="C1467" s="9">
        <v>1918</v>
      </c>
      <c r="D1467" s="10">
        <v>45663</v>
      </c>
      <c r="E1467" s="13" t="str">
        <f>+HYPERLINK("http://trademark.i-assist.jp/data/china/image_1918th/81523007.pdf","81523007")</f>
        <v>81523007</v>
      </c>
      <c r="F1467" s="9" t="s">
        <v>4007</v>
      </c>
      <c r="G1467" s="9" t="s">
        <v>4008</v>
      </c>
      <c r="H1467" s="9" t="s">
        <v>4009</v>
      </c>
      <c r="I1467" s="10">
        <v>45587</v>
      </c>
    </row>
    <row r="1468" spans="1:9" x14ac:dyDescent="0.15">
      <c r="A1468" s="9">
        <v>1467</v>
      </c>
      <c r="B1468" s="9" t="s">
        <v>9</v>
      </c>
      <c r="C1468" s="9">
        <v>1918</v>
      </c>
      <c r="D1468" s="10">
        <v>45663</v>
      </c>
      <c r="E1468" s="13" t="str">
        <f>+HYPERLINK("http://trademark.i-assist.jp/data/china/image_1918th/81524171.pdf","81524171")</f>
        <v>81524171</v>
      </c>
      <c r="F1468" s="9" t="s">
        <v>4010</v>
      </c>
      <c r="G1468" s="9" t="s">
        <v>4011</v>
      </c>
      <c r="H1468" s="9" t="s">
        <v>4012</v>
      </c>
      <c r="I1468" s="10">
        <v>45587</v>
      </c>
    </row>
    <row r="1469" spans="1:9" x14ac:dyDescent="0.15">
      <c r="A1469" s="9">
        <v>1468</v>
      </c>
      <c r="B1469" s="9" t="s">
        <v>9</v>
      </c>
      <c r="C1469" s="9">
        <v>1918</v>
      </c>
      <c r="D1469" s="10">
        <v>45663</v>
      </c>
      <c r="E1469" s="13" t="str">
        <f>+HYPERLINK("http://trademark.i-assist.jp/data/china/image_1918th/81524265.pdf","81524265")</f>
        <v>81524265</v>
      </c>
      <c r="F1469" s="9" t="s">
        <v>4013</v>
      </c>
      <c r="G1469" s="9" t="s">
        <v>4014</v>
      </c>
      <c r="H1469" s="9" t="s">
        <v>4015</v>
      </c>
      <c r="I1469" s="10">
        <v>45587</v>
      </c>
    </row>
    <row r="1470" spans="1:9" x14ac:dyDescent="0.15">
      <c r="A1470" s="9">
        <v>1469</v>
      </c>
      <c r="B1470" s="9" t="s">
        <v>9</v>
      </c>
      <c r="C1470" s="9">
        <v>1918</v>
      </c>
      <c r="D1470" s="10">
        <v>45663</v>
      </c>
      <c r="E1470" s="13" t="str">
        <f>+HYPERLINK("http://trademark.i-assist.jp/data/china/image_1918th/81524760.pdf","81524760")</f>
        <v>81524760</v>
      </c>
      <c r="F1470" s="12" t="s">
        <v>4016</v>
      </c>
      <c r="G1470" s="9" t="s">
        <v>4017</v>
      </c>
      <c r="H1470" s="9" t="s">
        <v>4018</v>
      </c>
      <c r="I1470" s="10">
        <v>45587</v>
      </c>
    </row>
    <row r="1471" spans="1:9" x14ac:dyDescent="0.15">
      <c r="A1471" s="9">
        <v>1470</v>
      </c>
      <c r="B1471" s="9" t="s">
        <v>9</v>
      </c>
      <c r="C1471" s="9">
        <v>1918</v>
      </c>
      <c r="D1471" s="10">
        <v>45663</v>
      </c>
      <c r="E1471" s="13" t="str">
        <f>+HYPERLINK("http://trademark.i-assist.jp/data/china/image_1918th/81524863.pdf","81524863")</f>
        <v>81524863</v>
      </c>
      <c r="F1471" s="9" t="s">
        <v>4019</v>
      </c>
      <c r="G1471" s="9" t="s">
        <v>3974</v>
      </c>
      <c r="H1471" s="9" t="s">
        <v>4020</v>
      </c>
      <c r="I1471" s="10">
        <v>45587</v>
      </c>
    </row>
    <row r="1472" spans="1:9" x14ac:dyDescent="0.15">
      <c r="A1472" s="9">
        <v>1471</v>
      </c>
      <c r="B1472" s="9" t="s">
        <v>9</v>
      </c>
      <c r="C1472" s="9">
        <v>1918</v>
      </c>
      <c r="D1472" s="10">
        <v>45663</v>
      </c>
      <c r="E1472" s="13" t="str">
        <f>+HYPERLINK("http://trademark.i-assist.jp/data/china/image_1918th/81524932.pdf","81524932")</f>
        <v>81524932</v>
      </c>
      <c r="F1472" s="11" t="s">
        <v>4021</v>
      </c>
      <c r="G1472" s="9" t="s">
        <v>4022</v>
      </c>
      <c r="H1472" s="9" t="s">
        <v>4023</v>
      </c>
      <c r="I1472" s="10">
        <v>45587</v>
      </c>
    </row>
    <row r="1473" spans="1:9" x14ac:dyDescent="0.15">
      <c r="A1473" s="9">
        <v>1472</v>
      </c>
      <c r="B1473" s="9" t="s">
        <v>9</v>
      </c>
      <c r="C1473" s="9">
        <v>1918</v>
      </c>
      <c r="D1473" s="10">
        <v>45663</v>
      </c>
      <c r="E1473" s="13" t="str">
        <f>+HYPERLINK("http://trademark.i-assist.jp/data/china/image_1918th/81527620.pdf","81527620")</f>
        <v>81527620</v>
      </c>
      <c r="F1473" s="9" t="s">
        <v>4024</v>
      </c>
      <c r="G1473" s="9" t="s">
        <v>4025</v>
      </c>
      <c r="H1473" s="9" t="s">
        <v>4026</v>
      </c>
      <c r="I1473" s="10">
        <v>45587</v>
      </c>
    </row>
    <row r="1474" spans="1:9" x14ac:dyDescent="0.15">
      <c r="A1474" s="9">
        <v>1473</v>
      </c>
      <c r="B1474" s="9" t="s">
        <v>9</v>
      </c>
      <c r="C1474" s="9">
        <v>1918</v>
      </c>
      <c r="D1474" s="10">
        <v>45663</v>
      </c>
      <c r="E1474" s="13" t="str">
        <f>+HYPERLINK("http://trademark.i-assist.jp/data/china/image_1918th/81528958.pdf","81528958")</f>
        <v>81528958</v>
      </c>
      <c r="F1474" s="9" t="s">
        <v>4027</v>
      </c>
      <c r="G1474" s="9" t="s">
        <v>4028</v>
      </c>
      <c r="H1474" s="9" t="s">
        <v>4029</v>
      </c>
      <c r="I1474" s="10">
        <v>45587</v>
      </c>
    </row>
    <row r="1475" spans="1:9" x14ac:dyDescent="0.15">
      <c r="A1475" s="9">
        <v>1474</v>
      </c>
      <c r="B1475" s="9" t="s">
        <v>9</v>
      </c>
      <c r="C1475" s="9">
        <v>1918</v>
      </c>
      <c r="D1475" s="10">
        <v>45663</v>
      </c>
      <c r="E1475" s="13" t="str">
        <f>+HYPERLINK("http://trademark.i-assist.jp/data/china/image_1918th/81529582.pdf","81529582")</f>
        <v>81529582</v>
      </c>
      <c r="F1475" s="9" t="s">
        <v>4030</v>
      </c>
      <c r="G1475" s="9" t="s">
        <v>4031</v>
      </c>
      <c r="H1475" s="9" t="s">
        <v>4032</v>
      </c>
      <c r="I1475" s="10">
        <v>45587</v>
      </c>
    </row>
    <row r="1476" spans="1:9" x14ac:dyDescent="0.15">
      <c r="A1476" s="9">
        <v>1475</v>
      </c>
      <c r="B1476" s="9" t="s">
        <v>9</v>
      </c>
      <c r="C1476" s="9">
        <v>1918</v>
      </c>
      <c r="D1476" s="10">
        <v>45663</v>
      </c>
      <c r="E1476" s="13" t="str">
        <f>+HYPERLINK("http://trademark.i-assist.jp/data/china/image_1918th/81530220.pdf","81530220")</f>
        <v>81530220</v>
      </c>
      <c r="F1476" s="9" t="s">
        <v>4033</v>
      </c>
      <c r="G1476" s="9" t="s">
        <v>3977</v>
      </c>
      <c r="H1476" s="9" t="s">
        <v>4034</v>
      </c>
      <c r="I1476" s="10">
        <v>45587</v>
      </c>
    </row>
    <row r="1477" spans="1:9" x14ac:dyDescent="0.15">
      <c r="A1477" s="9">
        <v>1476</v>
      </c>
      <c r="B1477" s="9" t="s">
        <v>9</v>
      </c>
      <c r="C1477" s="9">
        <v>1918</v>
      </c>
      <c r="D1477" s="10">
        <v>45663</v>
      </c>
      <c r="E1477" s="13" t="str">
        <f>+HYPERLINK("http://trademark.i-assist.jp/data/china/image_1918th/81530701.pdf","81530701")</f>
        <v>81530701</v>
      </c>
      <c r="F1477" s="12" t="s">
        <v>12</v>
      </c>
      <c r="G1477" s="12" t="s">
        <v>4000</v>
      </c>
      <c r="H1477" s="9" t="s">
        <v>4035</v>
      </c>
      <c r="I1477" s="10">
        <v>45587</v>
      </c>
    </row>
    <row r="1478" spans="1:9" x14ac:dyDescent="0.15">
      <c r="A1478" s="9">
        <v>1477</v>
      </c>
      <c r="B1478" s="9" t="s">
        <v>9</v>
      </c>
      <c r="C1478" s="9">
        <v>1918</v>
      </c>
      <c r="D1478" s="10">
        <v>45663</v>
      </c>
      <c r="E1478" s="13" t="str">
        <f>+HYPERLINK("http://trademark.i-assist.jp/data/china/image_1918th/81531591.pdf","81531591")</f>
        <v>81531591</v>
      </c>
      <c r="F1478" s="9" t="s">
        <v>4036</v>
      </c>
      <c r="G1478" s="9" t="s">
        <v>4037</v>
      </c>
      <c r="H1478" s="9" t="s">
        <v>4038</v>
      </c>
      <c r="I1478" s="10">
        <v>45587</v>
      </c>
    </row>
    <row r="1479" spans="1:9" x14ac:dyDescent="0.15">
      <c r="A1479" s="9">
        <v>1478</v>
      </c>
      <c r="B1479" s="9" t="s">
        <v>9</v>
      </c>
      <c r="C1479" s="9">
        <v>1918</v>
      </c>
      <c r="D1479" s="10">
        <v>45663</v>
      </c>
      <c r="E1479" s="13" t="str">
        <f>+HYPERLINK("http://trademark.i-assist.jp/data/china/image_1918th/81955816.pdf","81955816")</f>
        <v>81955816</v>
      </c>
      <c r="F1479" s="9" t="s">
        <v>4039</v>
      </c>
      <c r="G1479" s="12" t="s">
        <v>17</v>
      </c>
      <c r="H1479" s="9" t="s">
        <v>4040</v>
      </c>
      <c r="I1479" s="10">
        <v>45610</v>
      </c>
    </row>
    <row r="1480" spans="1:9" x14ac:dyDescent="0.15">
      <c r="A1480" s="9">
        <v>1479</v>
      </c>
      <c r="B1480" s="9" t="s">
        <v>9</v>
      </c>
      <c r="C1480" s="9">
        <v>1918</v>
      </c>
      <c r="D1480" s="10">
        <v>45663</v>
      </c>
      <c r="E1480" s="13" t="str">
        <f>+HYPERLINK("http://trademark.i-assist.jp/data/china/image_1918th/81957384.pdf","81957384")</f>
        <v>81957384</v>
      </c>
      <c r="F1480" s="9" t="s">
        <v>4041</v>
      </c>
      <c r="G1480" s="12" t="s">
        <v>17</v>
      </c>
      <c r="H1480" s="9" t="s">
        <v>4042</v>
      </c>
      <c r="I1480" s="10">
        <v>45610</v>
      </c>
    </row>
    <row r="1481" spans="1:9" x14ac:dyDescent="0.15">
      <c r="A1481" s="9">
        <v>1480</v>
      </c>
      <c r="B1481" s="9" t="s">
        <v>9</v>
      </c>
      <c r="C1481" s="9">
        <v>1918</v>
      </c>
      <c r="D1481" s="10">
        <v>45663</v>
      </c>
      <c r="E1481" s="13" t="str">
        <f>+HYPERLINK("http://trademark.i-assist.jp/data/china/image_1918th/81960161.pdf","81960161")</f>
        <v>81960161</v>
      </c>
      <c r="F1481" s="9" t="s">
        <v>4043</v>
      </c>
      <c r="G1481" s="12" t="s">
        <v>17</v>
      </c>
      <c r="H1481" s="9" t="s">
        <v>4044</v>
      </c>
      <c r="I1481" s="10">
        <v>45610</v>
      </c>
    </row>
    <row r="1482" spans="1:9" x14ac:dyDescent="0.15">
      <c r="A1482" s="9">
        <v>1481</v>
      </c>
      <c r="B1482" s="9" t="s">
        <v>9</v>
      </c>
      <c r="C1482" s="9">
        <v>1918</v>
      </c>
      <c r="D1482" s="10">
        <v>45663</v>
      </c>
      <c r="E1482" s="13" t="str">
        <f>+HYPERLINK("http://trademark.i-assist.jp/data/china/image_1918th/81962708.pdf","81962708")</f>
        <v>81962708</v>
      </c>
      <c r="F1482" s="11" t="s">
        <v>4045</v>
      </c>
      <c r="G1482" s="12" t="s">
        <v>17</v>
      </c>
      <c r="H1482" s="9" t="s">
        <v>4046</v>
      </c>
      <c r="I1482" s="10">
        <v>45610</v>
      </c>
    </row>
    <row r="1483" spans="1:9" x14ac:dyDescent="0.15">
      <c r="A1483" s="9">
        <v>1482</v>
      </c>
      <c r="B1483" s="9" t="s">
        <v>9</v>
      </c>
      <c r="C1483" s="9">
        <v>1918</v>
      </c>
      <c r="D1483" s="10">
        <v>45663</v>
      </c>
      <c r="E1483" s="13" t="str">
        <f>+HYPERLINK("http://trademark.i-assist.jp/data/china/image_1918th/81963043.pdf","81963043")</f>
        <v>81963043</v>
      </c>
      <c r="F1483" s="9" t="s">
        <v>4047</v>
      </c>
      <c r="G1483" s="12" t="s">
        <v>17</v>
      </c>
      <c r="H1483" s="9" t="s">
        <v>4048</v>
      </c>
      <c r="I1483" s="10">
        <v>45610</v>
      </c>
    </row>
    <row r="1484" spans="1:9" x14ac:dyDescent="0.15">
      <c r="A1484" s="9">
        <v>1483</v>
      </c>
      <c r="B1484" s="9" t="s">
        <v>9</v>
      </c>
      <c r="C1484" s="9">
        <v>1918</v>
      </c>
      <c r="D1484" s="10">
        <v>45663</v>
      </c>
      <c r="E1484" s="13" t="str">
        <f>+HYPERLINK("http://trademark.i-assist.jp/data/china/image_1918th/81963331.pdf","81963331")</f>
        <v>81963331</v>
      </c>
      <c r="F1484" s="9" t="s">
        <v>4049</v>
      </c>
      <c r="G1484" s="12" t="s">
        <v>17</v>
      </c>
      <c r="H1484" s="9" t="s">
        <v>4050</v>
      </c>
      <c r="I1484" s="10">
        <v>45610</v>
      </c>
    </row>
    <row r="1485" spans="1:9" x14ac:dyDescent="0.15">
      <c r="A1485" s="9">
        <v>1484</v>
      </c>
      <c r="B1485" s="9" t="s">
        <v>9</v>
      </c>
      <c r="C1485" s="9">
        <v>1918</v>
      </c>
      <c r="D1485" s="10">
        <v>45663</v>
      </c>
      <c r="E1485" s="13" t="str">
        <f>+HYPERLINK("http://trademark.i-assist.jp/data/china/image_1918th/81963772.pdf","81963772")</f>
        <v>81963772</v>
      </c>
      <c r="F1485" s="9" t="s">
        <v>4051</v>
      </c>
      <c r="G1485" s="12" t="s">
        <v>17</v>
      </c>
      <c r="H1485" s="9" t="s">
        <v>4052</v>
      </c>
      <c r="I1485" s="10">
        <v>45610</v>
      </c>
    </row>
    <row r="1486" spans="1:9" x14ac:dyDescent="0.15">
      <c r="A1486" s="9">
        <v>1485</v>
      </c>
      <c r="B1486" s="9" t="s">
        <v>9</v>
      </c>
      <c r="C1486" s="9">
        <v>1918</v>
      </c>
      <c r="D1486" s="10">
        <v>45663</v>
      </c>
      <c r="E1486" s="13" t="str">
        <f>+HYPERLINK("http://trademark.i-assist.jp/data/china/image_1918th/81965571.pdf","81965571")</f>
        <v>81965571</v>
      </c>
      <c r="F1486" s="9" t="s">
        <v>4053</v>
      </c>
      <c r="G1486" s="12" t="s">
        <v>17</v>
      </c>
      <c r="H1486" s="9" t="s">
        <v>4054</v>
      </c>
      <c r="I1486" s="10">
        <v>45610</v>
      </c>
    </row>
    <row r="1487" spans="1:9" x14ac:dyDescent="0.15">
      <c r="A1487" s="9">
        <v>1486</v>
      </c>
      <c r="B1487" s="9" t="s">
        <v>9</v>
      </c>
      <c r="C1487" s="9">
        <v>1918</v>
      </c>
      <c r="D1487" s="10">
        <v>45663</v>
      </c>
      <c r="E1487" s="13" t="str">
        <f>+HYPERLINK("http://trademark.i-assist.jp/data/china/image_1918th/81965849.pdf","81965849")</f>
        <v>81965849</v>
      </c>
      <c r="F1487" s="12" t="s">
        <v>4055</v>
      </c>
      <c r="G1487" s="12" t="s">
        <v>17</v>
      </c>
      <c r="H1487" s="9" t="s">
        <v>4056</v>
      </c>
      <c r="I1487" s="10">
        <v>45610</v>
      </c>
    </row>
    <row r="1488" spans="1:9" x14ac:dyDescent="0.15">
      <c r="A1488" s="9">
        <v>1487</v>
      </c>
      <c r="B1488" s="9" t="s">
        <v>9</v>
      </c>
      <c r="C1488" s="9">
        <v>1918</v>
      </c>
      <c r="D1488" s="10">
        <v>45663</v>
      </c>
      <c r="E1488" s="13" t="str">
        <f>+HYPERLINK("http://trademark.i-assist.jp/data/china/image_1918th/81966197.pdf","81966197")</f>
        <v>81966197</v>
      </c>
      <c r="F1488" s="9" t="s">
        <v>4057</v>
      </c>
      <c r="G1488" s="12" t="s">
        <v>17</v>
      </c>
      <c r="H1488" s="9" t="s">
        <v>4058</v>
      </c>
      <c r="I1488" s="10">
        <v>45610</v>
      </c>
    </row>
    <row r="1489" spans="1:9" x14ac:dyDescent="0.15">
      <c r="A1489" s="9">
        <v>1488</v>
      </c>
      <c r="B1489" s="9" t="s">
        <v>9</v>
      </c>
      <c r="C1489" s="9">
        <v>1918</v>
      </c>
      <c r="D1489" s="10">
        <v>45663</v>
      </c>
      <c r="E1489" s="13" t="str">
        <f>+HYPERLINK("http://trademark.i-assist.jp/data/china/image_1918th/81966563.pdf","81966563")</f>
        <v>81966563</v>
      </c>
      <c r="F1489" s="9" t="s">
        <v>4059</v>
      </c>
      <c r="G1489" s="12" t="s">
        <v>17</v>
      </c>
      <c r="H1489" s="9" t="s">
        <v>4060</v>
      </c>
      <c r="I1489" s="10">
        <v>45610</v>
      </c>
    </row>
    <row r="1490" spans="1:9" x14ac:dyDescent="0.15">
      <c r="A1490" s="9">
        <v>1489</v>
      </c>
      <c r="B1490" s="9" t="s">
        <v>9</v>
      </c>
      <c r="C1490" s="9">
        <v>1918</v>
      </c>
      <c r="D1490" s="10">
        <v>45663</v>
      </c>
      <c r="E1490" s="13" t="str">
        <f>+HYPERLINK("http://trademark.i-assist.jp/data/china/image_1918th/81967071.pdf","81967071")</f>
        <v>81967071</v>
      </c>
      <c r="F1490" s="9" t="s">
        <v>4061</v>
      </c>
      <c r="G1490" s="12" t="s">
        <v>17</v>
      </c>
      <c r="H1490" s="9" t="s">
        <v>4062</v>
      </c>
      <c r="I1490" s="10">
        <v>45610</v>
      </c>
    </row>
    <row r="1491" spans="1:9" x14ac:dyDescent="0.15">
      <c r="A1491" s="9">
        <v>1490</v>
      </c>
      <c r="B1491" s="9" t="s">
        <v>9</v>
      </c>
      <c r="C1491" s="9">
        <v>1918</v>
      </c>
      <c r="D1491" s="10">
        <v>45663</v>
      </c>
      <c r="E1491" s="13" t="str">
        <f>+HYPERLINK("http://trademark.i-assist.jp/data/china/image_1918th/81969837.pdf","81969837")</f>
        <v>81969837</v>
      </c>
      <c r="F1491" s="9" t="s">
        <v>4063</v>
      </c>
      <c r="G1491" s="12" t="s">
        <v>17</v>
      </c>
      <c r="H1491" s="9" t="s">
        <v>4064</v>
      </c>
      <c r="I1491" s="10">
        <v>45610</v>
      </c>
    </row>
    <row r="1492" spans="1:9" x14ac:dyDescent="0.15">
      <c r="A1492" s="9">
        <v>1491</v>
      </c>
      <c r="B1492" s="9" t="s">
        <v>9</v>
      </c>
      <c r="C1492" s="9">
        <v>1918</v>
      </c>
      <c r="D1492" s="10">
        <v>45663</v>
      </c>
      <c r="E1492" s="13" t="str">
        <f>+HYPERLINK("http://trademark.i-assist.jp/data/china/image_1918th/81970189.pdf","81970189")</f>
        <v>81970189</v>
      </c>
      <c r="F1492" s="9" t="s">
        <v>4065</v>
      </c>
      <c r="G1492" s="12" t="s">
        <v>17</v>
      </c>
      <c r="H1492" s="9" t="s">
        <v>4066</v>
      </c>
      <c r="I1492" s="10">
        <v>45610</v>
      </c>
    </row>
    <row r="1493" spans="1:9" x14ac:dyDescent="0.15">
      <c r="A1493" s="9">
        <v>1492</v>
      </c>
      <c r="B1493" s="9" t="s">
        <v>9</v>
      </c>
      <c r="C1493" s="9">
        <v>1918</v>
      </c>
      <c r="D1493" s="10">
        <v>45663</v>
      </c>
      <c r="E1493" s="13" t="str">
        <f>+HYPERLINK("http://trademark.i-assist.jp/data/china/image_1918th/81972321.pdf","81972321")</f>
        <v>81972321</v>
      </c>
      <c r="F1493" s="12" t="s">
        <v>4067</v>
      </c>
      <c r="G1493" s="12" t="s">
        <v>17</v>
      </c>
      <c r="H1493" s="9" t="s">
        <v>4068</v>
      </c>
      <c r="I1493" s="10">
        <v>45610</v>
      </c>
    </row>
    <row r="1494" spans="1:9" x14ac:dyDescent="0.15">
      <c r="A1494" s="9">
        <v>1493</v>
      </c>
      <c r="B1494" s="9" t="s">
        <v>9</v>
      </c>
      <c r="C1494" s="9">
        <v>1918</v>
      </c>
      <c r="D1494" s="10">
        <v>45663</v>
      </c>
      <c r="E1494" s="13" t="str">
        <f>+HYPERLINK("http://trademark.i-assist.jp/data/china/image_1918th/81972419.pdf","81972419")</f>
        <v>81972419</v>
      </c>
      <c r="F1494" s="9" t="s">
        <v>4069</v>
      </c>
      <c r="G1494" s="12" t="s">
        <v>17</v>
      </c>
      <c r="H1494" s="9" t="s">
        <v>4070</v>
      </c>
      <c r="I1494" s="10">
        <v>45610</v>
      </c>
    </row>
    <row r="1495" spans="1:9" x14ac:dyDescent="0.15">
      <c r="A1495" s="9">
        <v>1494</v>
      </c>
      <c r="B1495" s="9" t="s">
        <v>9</v>
      </c>
      <c r="C1495" s="9">
        <v>1918</v>
      </c>
      <c r="D1495" s="10">
        <v>45663</v>
      </c>
      <c r="E1495" s="13" t="str">
        <f>+HYPERLINK("http://trademark.i-assist.jp/data/china/image_1918th/81972937.pdf","81972937")</f>
        <v>81972937</v>
      </c>
      <c r="F1495" s="9" t="s">
        <v>4071</v>
      </c>
      <c r="G1495" s="12" t="s">
        <v>17</v>
      </c>
      <c r="H1495" s="9" t="s">
        <v>4072</v>
      </c>
      <c r="I1495" s="10">
        <v>45610</v>
      </c>
    </row>
    <row r="1496" spans="1:9" x14ac:dyDescent="0.15">
      <c r="A1496" s="9">
        <v>1495</v>
      </c>
      <c r="B1496" s="9" t="s">
        <v>9</v>
      </c>
      <c r="C1496" s="9">
        <v>1918</v>
      </c>
      <c r="D1496" s="10">
        <v>45663</v>
      </c>
      <c r="E1496" s="13" t="str">
        <f>+HYPERLINK("http://trademark.i-assist.jp/data/china/image_1918th/81974449.pdf","81974449")</f>
        <v>81974449</v>
      </c>
      <c r="F1496" s="9" t="s">
        <v>4073</v>
      </c>
      <c r="G1496" s="12" t="s">
        <v>17</v>
      </c>
      <c r="H1496" s="9" t="s">
        <v>4074</v>
      </c>
      <c r="I1496" s="10">
        <v>45610</v>
      </c>
    </row>
    <row r="1497" spans="1:9" x14ac:dyDescent="0.15">
      <c r="A1497" s="9">
        <v>1496</v>
      </c>
      <c r="B1497" s="9" t="s">
        <v>9</v>
      </c>
      <c r="C1497" s="9">
        <v>1918</v>
      </c>
      <c r="D1497" s="10">
        <v>45663</v>
      </c>
      <c r="E1497" s="13" t="str">
        <f>+HYPERLINK("http://trademark.i-assist.jp/data/china/image_1918th/81976500.pdf","81976500")</f>
        <v>81976500</v>
      </c>
      <c r="F1497" s="12" t="s">
        <v>4075</v>
      </c>
      <c r="G1497" s="12" t="s">
        <v>17</v>
      </c>
      <c r="H1497" s="9" t="s">
        <v>4076</v>
      </c>
      <c r="I1497" s="10">
        <v>45610</v>
      </c>
    </row>
    <row r="1498" spans="1:9" x14ac:dyDescent="0.15">
      <c r="A1498" s="9">
        <v>1497</v>
      </c>
      <c r="B1498" s="9" t="s">
        <v>9</v>
      </c>
      <c r="C1498" s="9">
        <v>1918</v>
      </c>
      <c r="D1498" s="10">
        <v>45663</v>
      </c>
      <c r="E1498" s="13" t="str">
        <f>+HYPERLINK("http://trademark.i-assist.jp/data/china/image_1918th/81976838.pdf","81976838")</f>
        <v>81976838</v>
      </c>
      <c r="F1498" s="12" t="s">
        <v>4077</v>
      </c>
      <c r="G1498" s="12" t="s">
        <v>17</v>
      </c>
      <c r="H1498" s="9" t="s">
        <v>4078</v>
      </c>
      <c r="I1498" s="10">
        <v>45610</v>
      </c>
    </row>
    <row r="1499" spans="1:9" x14ac:dyDescent="0.15">
      <c r="A1499" s="9">
        <v>1498</v>
      </c>
      <c r="B1499" s="9" t="s">
        <v>9</v>
      </c>
      <c r="C1499" s="9">
        <v>1918</v>
      </c>
      <c r="D1499" s="10">
        <v>45663</v>
      </c>
      <c r="E1499" s="13" t="str">
        <f>+HYPERLINK("http://trademark.i-assist.jp/data/china/image_1918th/81977652.pdf","81977652")</f>
        <v>81977652</v>
      </c>
      <c r="F1499" s="12" t="s">
        <v>4079</v>
      </c>
      <c r="G1499" s="12" t="s">
        <v>17</v>
      </c>
      <c r="H1499" s="9" t="s">
        <v>4080</v>
      </c>
      <c r="I1499" s="10">
        <v>45610</v>
      </c>
    </row>
    <row r="1500" spans="1:9" x14ac:dyDescent="0.15">
      <c r="A1500" s="9">
        <v>1499</v>
      </c>
      <c r="B1500" s="9" t="s">
        <v>9</v>
      </c>
      <c r="C1500" s="9">
        <v>1918</v>
      </c>
      <c r="D1500" s="10">
        <v>45663</v>
      </c>
      <c r="E1500" s="13" t="str">
        <f>+HYPERLINK("http://trademark.i-assist.jp/data/china/image_1918th/81977660.pdf","81977660")</f>
        <v>81977660</v>
      </c>
      <c r="F1500" s="12" t="s">
        <v>4081</v>
      </c>
      <c r="G1500" s="12" t="s">
        <v>17</v>
      </c>
      <c r="H1500" s="9" t="s">
        <v>4082</v>
      </c>
      <c r="I1500" s="10">
        <v>45610</v>
      </c>
    </row>
    <row r="1501" spans="1:9" x14ac:dyDescent="0.15">
      <c r="A1501" s="9">
        <v>1500</v>
      </c>
      <c r="B1501" s="9" t="s">
        <v>9</v>
      </c>
      <c r="C1501" s="9">
        <v>1918</v>
      </c>
      <c r="D1501" s="10">
        <v>45663</v>
      </c>
      <c r="E1501" s="13" t="str">
        <f>+HYPERLINK("http://trademark.i-assist.jp/data/china/image_1918th/81978144.pdf","81978144")</f>
        <v>81978144</v>
      </c>
      <c r="F1501" s="9" t="s">
        <v>4083</v>
      </c>
      <c r="G1501" s="12" t="s">
        <v>17</v>
      </c>
      <c r="H1501" s="9" t="s">
        <v>4084</v>
      </c>
      <c r="I1501" s="10">
        <v>45610</v>
      </c>
    </row>
    <row r="1502" spans="1:9" x14ac:dyDescent="0.15">
      <c r="A1502" s="9">
        <v>1501</v>
      </c>
      <c r="B1502" s="9" t="s">
        <v>9</v>
      </c>
      <c r="C1502" s="9">
        <v>1918</v>
      </c>
      <c r="D1502" s="10">
        <v>45663</v>
      </c>
      <c r="E1502" s="13" t="str">
        <f>+HYPERLINK("http://trademark.i-assist.jp/data/china/image_1918th/81979313.pdf","81979313")</f>
        <v>81979313</v>
      </c>
      <c r="F1502" s="9" t="s">
        <v>4085</v>
      </c>
      <c r="G1502" s="12" t="s">
        <v>17</v>
      </c>
      <c r="H1502" s="9" t="s">
        <v>4086</v>
      </c>
      <c r="I1502" s="10">
        <v>45610</v>
      </c>
    </row>
  </sheetData>
  <autoFilter ref="A1:I1" xr:uid="{3B0FB343-47C0-4CE0-8FAB-E7608847F386}"/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1918th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2025-03-25T06:43:27Z</dcterms:modified>
</cp:coreProperties>
</file>